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8321082-8D1B-4B95-BD77-450E2DAEE0BD}" xr6:coauthVersionLast="45" xr6:coauthVersionMax="46" xr10:uidLastSave="{00000000-0000-0000-0000-000000000000}"/>
  <bookViews>
    <workbookView xWindow="-120" yWindow="-120" windowWidth="29040" windowHeight="15840" activeTab="1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R32" i="5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N110" i="27" l="1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T21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T18" i="27"/>
  <c r="K28" i="27"/>
  <c r="V18" i="27"/>
  <c r="G16" i="46" l="1"/>
  <c r="S12" i="52"/>
  <c r="S11" i="52"/>
  <c r="H16" i="46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L10" i="46" s="1"/>
  <c r="I24" i="22"/>
  <c r="AC14" i="52"/>
  <c r="AB14" i="52" s="1"/>
  <c r="T20" i="52"/>
  <c r="AC38" i="28"/>
  <c r="S54" i="51"/>
  <c r="V35" i="52"/>
  <c r="K23" i="22"/>
  <c r="AC36" i="52"/>
  <c r="AB36" i="52" s="1"/>
  <c r="AB59" i="52"/>
  <c r="L19" i="46" s="1"/>
  <c r="AB60" i="52"/>
  <c r="L20" i="46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Y28" i="22" s="1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AE13" i="22" l="1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<sst xmlns="http://schemas.openxmlformats.org/spreadsheetml/2006/main" count="68504" uniqueCount="894">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</sst>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40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32" fillId="2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46" fillId="17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1" fillId="5" borderId="0" xfId="0" applyFont="1" applyFill="1" applyAlignment="1">
      <alignment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" xfId="0" applyNumberFormat="1" applyFont="1" applyFill="1" applyBorder="1" applyAlignment="1">
      <alignment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94" fillId="11" borderId="154" xfId="0" applyFont="1" applyFill="1" applyBorder="1" applyAlignment="1">
      <alignment vertic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96" fillId="11" borderId="0" xfId="0" applyFont="1" applyFill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82" fillId="10" borderId="2" xfId="0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20</xdr:row>
      <xdr:rowOff>158316</xdr:rowOff>
    </xdr:from>
    <xdr:to>
      <xdr:col>12</xdr:col>
      <xdr:colOff>1084268</xdr:colOff>
      <xdr:row>23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0"/>
    <tableColumn id="2" xr3:uid="{96BAEC97-2ACF-4A34-B257-6E9F45283D27}" name="Detached" dataDxfId="1">
      <calculatedColumnFormula>S85/AG85*AG85</calculatedColumnFormula>
    </tableColumn>
    <tableColumn id="3" xr3:uid="{9DF096E0-120A-4543-A6A2-D95695579FF8}" name="Attached" dataDxfId="4">
      <calculatedColumnFormula array="1">SUM((T85:U85)/AG85)*AG85</calculatedColumnFormula>
    </tableColumn>
    <tableColumn id="4" xr3:uid="{C86FFDAC-54CF-49D5-B11F-C2E365ED6217}" name="Apartments" dataDxfId="3">
      <calculatedColumnFormula array="1">SUM((V85:Y85)/AG85)*AG85</calculatedColumnFormula>
    </tableColumn>
    <tableColumn id="5" xr3:uid="{47784C07-400C-4D61-BBC0-5E2619012207}" name="Not Stated" dataDxfId="2">
      <calculatedColumnFormula>Z85/AG85*AG85</calculatedColumnFormula>
    </tableColumn>
    <tableColumn id="6" xr3:uid="{802D838E-C585-40C6-8DF7-A9064AB0F3C1}" name="Total Residence" dataDxfId="142">
      <calculatedColumnFormula>SUM(S85:Z85)</calculatedColumnFormula>
    </tableColumn>
    <tableColumn id="7" xr3:uid="{1F62F34D-70C9-43C8-B41A-0A65E998D203}" name="House Stock" dataDxfId="141"/>
    <tableColumn id="8" xr3:uid="{8C2BEBB6-BC1C-4269-90AA-2803071E539F}" name="Ratio" dataDxfId="140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9" dataDxfId="137" headerRowBorderDxfId="138" tableBorderDxfId="136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5"/>
    <tableColumn id="2" xr3:uid="{B5B58BBD-58D1-4769-8742-648475464B4C}" name="Apartment" dataDxfId="134"/>
    <tableColumn id="3" xr3:uid="{A3481B69-8D8A-451F-8C8A-77F4076F1210}" name="Attached" dataDxfId="133"/>
    <tableColumn id="4" xr3:uid="{1589639B-5089-4715-969D-552E0A2734A3}" name="Detached" dataDxfId="132"/>
    <tableColumn id="5" xr3:uid="{45B78410-557B-4FEF-85A1-7912EED6288E}" name="Sum" dataDxfId="131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30" dataDxfId="128" headerRowBorderDxfId="129" tableBorderDxfId="127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6"/>
    <tableColumn id="2" xr3:uid="{596E7502-37B3-43D8-935D-27523A036B07}" name="Apartment" dataDxfId="125"/>
    <tableColumn id="3" xr3:uid="{C0DF3C0B-CA49-4C0C-B100-DE02FF1A8777}" name="Attached" dataDxfId="124"/>
    <tableColumn id="4" xr3:uid="{7DE38B67-A899-4847-BF6E-1AC8523790AF}" name="Detached" dataDxfId="123"/>
    <tableColumn id="5" xr3:uid="{9CFFA1EF-7E96-4A5D-9174-2F0CB71A4440}" name="Sum" dataDxfId="122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21"/>
    <tableColumn id="6" xr3:uid="{A059AE6E-8676-49B8-88EB-A0A2C5822D7A}" name="Floor Area (m2)" dataDxfId="120"/>
    <tableColumn id="7" xr3:uid="{F30E8A92-C2F2-4B48-B8C9-8C565F9BC379}" name="BerRating" dataDxfId="119"/>
    <tableColumn id="8" xr3:uid="{4D19991B-27C9-4C72-AD44-133CA40230EA}" name="PrimaryEnergyMainSpace" dataDxfId="118"/>
    <tableColumn id="9" xr3:uid="{2D4629D6-CD55-4A4B-91E7-F6A649F20BC3}" name="DeliveredEnergyMainSpace" dataDxfId="117"/>
    <tableColumn id="10" xr3:uid="{ECA1EAAF-3A02-43C8-8C9D-69836FCD7F4B}" name="Avg. HSMainSystemEfficiency" dataDxfId="116"/>
    <tableColumn id="11" xr3:uid="{9664BB98-3377-4DC6-A878-76C87925B826}" name="PrimaryEnergySecondarySpace" dataDxfId="115"/>
    <tableColumn id="12" xr3:uid="{54D208C6-87F2-487B-AFB2-68E871BAEF0B}" name="DeliveredEnergySecondarySpace" dataDxfId="114"/>
    <tableColumn id="13" xr3:uid="{8501683D-B91E-4E73-9063-52CEBA59A47C}" name="PrimaryEnergyLighting" dataDxfId="113"/>
    <tableColumn id="14" xr3:uid="{C3741AC8-8B58-44DF-9AD5-83A8A7432939}" name="DeliveredLightingEnergy" dataDxfId="112"/>
    <tableColumn id="15" xr3:uid="{911493A7-84F8-4604-AD90-0697B8576A31}" name="PrimaryEnergyPumpsFans" dataDxfId="111"/>
    <tableColumn id="24" xr3:uid="{F49D93D1-A080-4495-8C83-C1041C97DDE3}" name="DeliveredEnergyPumpsFans" dataDxfId="110"/>
    <tableColumn id="23" xr3:uid="{3CEEA488-2CA8-4D7C-82E9-23C4CFAF4632}" name="PrimaryEnergyMainWater" dataDxfId="109"/>
    <tableColumn id="22" xr3:uid="{159BA0EA-907C-420F-8682-461AC0ECE885}" name="DeliveredEnergyMainWater" dataDxfId="108"/>
    <tableColumn id="21" xr3:uid="{F8DFF044-1D46-4AA3-A2E3-ECE928197AF2}" name="PrimaryEnergySupplementaryWater" dataDxfId="107"/>
    <tableColumn id="20" xr3:uid="{0E4BF917-31D8-4B35-B40E-EF0FD920254D}" name="DeliveredEnergySupplementaryWater" dataDxfId="106"/>
    <tableColumn id="19" xr3:uid="{5F814D11-37A6-4B99-B633-2884F355FE8C}" name="TotalDeliveredEnergy" dataDxfId="105"/>
    <tableColumn id="17" xr3:uid="{3C959419-0D70-4D29-95DC-87641B14BC27}" name="CalculatedDeliveredEnergy" dataDxfId="104">
      <calculatedColumnFormula>SUM(ABS(J7),ABS(M7),ABS(O7),ABS(Q7),ABS(S7),ABS(U7))</calculatedColumnFormula>
    </tableColumn>
    <tableColumn id="25" xr3:uid="{E2A708DE-434E-41F3-8BEE-84CB3B63293E}" name="CalculatedPrimaryEnergy" dataDxfId="103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102"/>
    <tableColumn id="4" xr3:uid="{5ECEA210-31E4-4BB9-AD80-DDFFD912ACDF}" name="MainWaterHeatingFuel" dataDxfId="101"/>
    <tableColumn id="5" xr3:uid="{669BCA4A-83FF-49E8-A59E-216B194A31B9}" name="SupplWHFuelName" dataDxfId="100"/>
    <tableColumn id="6" xr3:uid="{886337F8-5AFF-4A7A-91F4-79109FC04F74}" name="Count of EnergyRating" dataDxfId="99"/>
    <tableColumn id="7" xr3:uid="{74A9355A-9C40-4ABE-819D-C17CF4E6C388}" name="Floor Area (m2)" dataDxfId="98"/>
    <tableColumn id="8" xr3:uid="{1E4F32B6-C57C-4764-B29E-79F450C7D99D}" name="BerRating" dataDxfId="97"/>
    <tableColumn id="9" xr3:uid="{59416566-4F68-4A0B-85FB-BAC88B15D463}" name="PrimaryEnergyMainSpace" dataDxfId="96"/>
    <tableColumn id="13" xr3:uid="{0E3EDD86-970C-44B3-A78B-924A5A594F3C}" name="DeliveredEnergyMainSpace" dataDxfId="95"/>
    <tableColumn id="10" xr3:uid="{9B2E811E-10C7-4543-A328-A0D4E6169CB8}" name="Avg. HSMainSystemEfficiency" dataDxfId="94"/>
    <tableColumn id="11" xr3:uid="{3292BFAC-9EB6-4025-8204-EADF01810411}" name="PrimaryEnergySecondarySpace" dataDxfId="93"/>
    <tableColumn id="12" xr3:uid="{D6C73573-8AF3-4E14-8C39-5018D8475CF9}" name="DeliveredEnergySecondarySpace" dataDxfId="92"/>
    <tableColumn id="14" xr3:uid="{73069199-8486-4560-98BB-1821381BFB69}" name="PrimaryEnergyLighting" dataDxfId="91"/>
    <tableColumn id="20" xr3:uid="{8B48CB3C-3B63-40D4-8537-058DB0AAE1A2}" name="DeliveredLightingEnergy" dataDxfId="90"/>
    <tableColumn id="19" xr3:uid="{C29E1288-C432-4C8F-B90F-F8B6A964755C}" name="PrimaryEnergyPumpsFans" dataDxfId="89"/>
    <tableColumn id="18" xr3:uid="{FFF6D09C-99F4-44ED-866E-A3AD645E700B}" name="DeliveredEnergyPumpsFans" dataDxfId="88"/>
    <tableColumn id="17" xr3:uid="{8E8C3AB4-C75E-4617-97B6-E1390F7ACE23}" name="PrimaryEnergyMainWater" dataDxfId="87"/>
    <tableColumn id="21" xr3:uid="{4D2542B8-3E81-47B0-B623-10BD4B8EB06E}" name="DeliveredEnergyMainWater" dataDxfId="86"/>
    <tableColumn id="16" xr3:uid="{8362ED86-8A41-48F8-8695-45C8D1FD4575}" name="PrimaryEnergySupplementaryWater" dataDxfId="85"/>
    <tableColumn id="15" xr3:uid="{71CC2515-A8AE-4D29-AE39-0DB607FB472E}" name="DeliveredEnergySupplementaryWater" dataDxfId="84">
      <calculatedColumnFormula>SUM(ABS(#REF!), ABS(#REF!),ABS(#REF!),ABS(#REF!),ABS(#REF!),ABS(#REF!))</calculatedColumnFormula>
    </tableColumn>
    <tableColumn id="22" xr3:uid="{BCE9DC6F-04CD-4804-80C7-232399C171C8}" name="TotalDeliveredEnergy" dataDxfId="83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82"/>
    <tableColumn id="6" xr3:uid="{6C8C9047-8044-4BB9-B261-272B38ACA6F2}" name="Floor Area (m2)" dataDxfId="81"/>
    <tableColumn id="7" xr3:uid="{8C2DA10B-CA7E-40F7-92A3-E1B66D113124}" name="BerRating" dataDxfId="80"/>
    <tableColumn id="8" xr3:uid="{65385AF6-4852-4B2D-884B-2D2B68A67AC7}" name="PrimaryEnergyMainSpace" dataDxfId="79"/>
    <tableColumn id="9" xr3:uid="{C5E385A2-5F6F-4893-A786-2D88CED3E17E}" name="DeliveredEnergyMainSpace" dataDxfId="78"/>
    <tableColumn id="10" xr3:uid="{A66C45D0-18FC-4E70-9050-358603A70873}" name="Avg. HSMainSystemEfficiency" dataDxfId="77"/>
    <tableColumn id="11" xr3:uid="{151F0E48-5A21-4CF7-9A6B-643A40B20EC6}" name="PrimaryEnergySecondarySpace" dataDxfId="76"/>
    <tableColumn id="12" xr3:uid="{D216F541-EEB7-4839-BA91-5D0A90A1D165}" name="DeliveredEnergySecondarySpace" dataDxfId="75"/>
    <tableColumn id="13" xr3:uid="{4972F16E-6965-4CFB-A773-4DFA8FC13D61}" name="PrimaryEnergyLighting" dataDxfId="74"/>
    <tableColumn id="14" xr3:uid="{CFA95CEF-0DEC-4C75-A39B-EC7733E788D2}" name="DeliveredLightingEnergy" dataDxfId="73"/>
    <tableColumn id="15" xr3:uid="{CFAF5EB8-8CB2-4F4D-B3F6-7DE8C1F7F991}" name="PrimaryEnergyPumpsFans" dataDxfId="72"/>
    <tableColumn id="24" xr3:uid="{83554BB5-61A8-4986-BD83-1E416EC0EB37}" name="DeliveredEnergyPumpsFans" dataDxfId="71"/>
    <tableColumn id="23" xr3:uid="{5E705E4C-4E02-4862-90B6-C5893F8D4065}" name="PrimaryEnergyMainWater" dataDxfId="70"/>
    <tableColumn id="22" xr3:uid="{F8F4C948-746D-47EB-866A-1BCC03C85414}" name="DeliveredEnergyMainWater" dataDxfId="69"/>
    <tableColumn id="21" xr3:uid="{3016F69D-750D-4ACA-87D3-16EA8AC43A9F}" name="PrimaryEnergySupplementaryWater" dataDxfId="68"/>
    <tableColumn id="20" xr3:uid="{4E6E219C-1739-4E1D-9880-8DD8B8360924}" name="DeliveredEnergySupplementaryWater" dataDxfId="67"/>
    <tableColumn id="19" xr3:uid="{E175D695-E94B-4A84-9E1D-358A80143EFB}" name="TotalDeliveredEnergy" dataDxfId="66"/>
    <tableColumn id="17" xr3:uid="{1725EF49-91C8-47EE-896B-F086F0B050FA}" name="CalculatedDeliveredEnergy" dataDxfId="65">
      <calculatedColumnFormula>SUM(ABS(J7),ABS(M7),ABS(O7),ABS(Q7),ABS(S7),ABS(U7))</calculatedColumnFormula>
    </tableColumn>
    <tableColumn id="25" xr3:uid="{7014D6FF-755A-483D-A093-7B04E0539CD6}" name="CalculatedPrimaryEnergy" dataDxfId="64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63"/>
    <tableColumn id="4" xr3:uid="{23ABCD2C-6BA2-4CCC-AC6B-39C67D17A4D0}" name="MainWaterHeatingFuel" dataDxfId="62"/>
    <tableColumn id="5" xr3:uid="{C4EF1B18-946B-4DBA-B6F9-B9CEA6F8F8EE}" name="SupplWHFuelName" dataDxfId="61"/>
    <tableColumn id="6" xr3:uid="{4A059165-8933-416C-9BF8-88BEA9CF42A1}" name="Count of EnergyRating" dataDxfId="60"/>
    <tableColumn id="7" xr3:uid="{F1D0B0FC-131D-4ACA-9395-65FA1E99B29F}" name="Floor Area (m2)" dataDxfId="59"/>
    <tableColumn id="8" xr3:uid="{2109C7F5-F09B-4D0B-872D-6032A57C46C2}" name="BerRating" dataDxfId="58"/>
    <tableColumn id="9" xr3:uid="{7DA0B498-A1CB-45EA-B6DB-B9AE456A3EF1}" name="PrimaryEnergyMainSpace" dataDxfId="57"/>
    <tableColumn id="13" xr3:uid="{9B89BD2B-3BA2-4EF3-B907-5B71124E9D91}" name="DeliveredEnergyMainSpace" dataDxfId="56"/>
    <tableColumn id="10" xr3:uid="{70D5E91D-B718-4B82-9AB5-4AB76BC475A5}" name="Avg. HSMainSystemEfficiency" dataDxfId="55"/>
    <tableColumn id="11" xr3:uid="{979F7BE7-595E-4998-9A78-F68F8FC42795}" name="PrimaryEnergySecondarySpace" dataDxfId="54"/>
    <tableColumn id="12" xr3:uid="{1D17B1FF-2FC0-46A6-B168-03EF35846A2E}" name="DeliveredEnergySecondarySpace" dataDxfId="53"/>
    <tableColumn id="14" xr3:uid="{039EB663-60A1-4B3C-9B29-F75E4B96D226}" name="PrimaryEnergyLighting" dataDxfId="52"/>
    <tableColumn id="20" xr3:uid="{34B5AF7B-31D4-4996-AAEA-905DD48D1890}" name="DeliveredLightingEnergy" dataDxfId="51"/>
    <tableColumn id="19" xr3:uid="{59FD46FB-7C41-40A9-9873-5E6E052CB8EF}" name="PrimaryEnergyPumpsFans" dataDxfId="50"/>
    <tableColumn id="18" xr3:uid="{92327A22-5874-4C10-BFA4-6A9E600AD080}" name="DeliveredEnergyPumpsFans" dataDxfId="49"/>
    <tableColumn id="17" xr3:uid="{D930EEF8-F4BE-4AC3-BDD3-7C8460E2B565}" name="PrimaryEnergyMainWater" dataDxfId="48"/>
    <tableColumn id="21" xr3:uid="{5A309E19-16A4-433C-9E4B-AAA7B1B24F6D}" name="DeliveredEnergyMainWater" dataDxfId="47"/>
    <tableColumn id="16" xr3:uid="{D54817B0-F835-4C9B-9E31-08062BA432D8}" name="PrimaryEnergySupplementaryWater" dataDxfId="46"/>
    <tableColumn id="15" xr3:uid="{F615EA97-A0E1-4BDC-BE82-B3055596F132}" name="DeliveredEnergySupplementaryWater" dataDxfId="45">
      <calculatedColumnFormula>SUM(ABS(#REF!), ABS(#REF!),ABS(#REF!),ABS(#REF!),ABS(#REF!),ABS(#REF!))</calculatedColumnFormula>
    </tableColumn>
    <tableColumn id="22" xr3:uid="{DE4FD950-42BB-4B40-BC59-C87C0E98225C}" name="TotalDeliveredEnergy" dataDxfId="44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43"/>
    <tableColumn id="6" xr3:uid="{6D2A3978-E681-4EAC-93E4-3FB057572A32}" name="Floor Area (m2)" dataDxfId="42"/>
    <tableColumn id="7" xr3:uid="{AA969558-0C26-4908-9DAB-6BE3A4CD9A5F}" name="BerRating" dataDxfId="41"/>
    <tableColumn id="8" xr3:uid="{19C43895-2933-4981-B5E8-A39D211F7B64}" name="PrimaryEnergyMainSpace" dataDxfId="40"/>
    <tableColumn id="9" xr3:uid="{19719C12-4AF1-4877-9B96-06DB09117111}" name="DeliveredEnergyMainSpace" dataDxfId="39"/>
    <tableColumn id="10" xr3:uid="{1041BAED-81AB-4D60-A363-88D03CCFC76E}" name="Avg. HSMainSystemEfficiency" dataDxfId="38"/>
    <tableColumn id="11" xr3:uid="{382F0C58-9487-4DE3-884A-46CDDDED24EF}" name="PrimaryEnergySecondarySpace" dataDxfId="37"/>
    <tableColumn id="12" xr3:uid="{5ACFD186-E354-49E6-B3C7-A76354220E3F}" name="DeliveredEnergySecondarySpace" dataDxfId="36"/>
    <tableColumn id="13" xr3:uid="{B0A15977-D13B-4816-879E-5F7D7DDF0266}" name="PrimaryEnergyLighting" dataDxfId="35"/>
    <tableColumn id="14" xr3:uid="{DAFCC0CC-3130-4C0F-870F-7B7E4A04EA93}" name="DeliveredLightingEnergy" dataDxfId="34"/>
    <tableColumn id="15" xr3:uid="{5457854B-472F-473F-9EF4-C87A449E8328}" name="PrimaryEnergyPumpsFans" dataDxfId="33"/>
    <tableColumn id="24" xr3:uid="{24E0CE14-E7E2-41F5-83B9-E5B6BDBCDF40}" name="DeliveredEnergyPumpsFans" dataDxfId="32"/>
    <tableColumn id="23" xr3:uid="{AC73380F-4188-476B-A9F3-C3B11F51E761}" name="PrimaryEnergyMainWater" dataDxfId="31"/>
    <tableColumn id="22" xr3:uid="{C78CAB35-A152-4AED-92D4-96359F6A0BC9}" name="DeliveredEnergyMainWater" dataDxfId="30"/>
    <tableColumn id="21" xr3:uid="{85C24508-98E8-48B7-88AB-C19E8EE1E1B6}" name="PrimaryEnergySupplementaryWater" dataDxfId="29"/>
    <tableColumn id="20" xr3:uid="{94CF8964-60FB-42E6-AB4D-825F261C9B40}" name="DeliveredEnergySupplementaryWater" dataDxfId="28"/>
    <tableColumn id="19" xr3:uid="{66C30ECF-EBA4-4EB8-B1C3-734DD7AA3079}" name="TotalDeliveredEnergy" dataDxfId="27"/>
    <tableColumn id="17" xr3:uid="{75AE0158-9541-41AE-B72B-867E2EC7B666}" name="CalculatedDeliveredEnergy" dataDxfId="26">
      <calculatedColumnFormula>SUM(ABS(J7),ABS(M7),ABS(O7),ABS(Q7),ABS(S7),ABS(U7))</calculatedColumnFormula>
    </tableColumn>
    <tableColumn id="25" xr3:uid="{D2211670-3541-44F5-A261-D0342E8FBA91}" name="CalculatedPrimaryEnergy" dataDxfId="25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24"/>
    <tableColumn id="4" xr3:uid="{F829DFF3-7B8F-4DC4-B81D-A60624A69859}" name="MainWaterHeatingFuel" dataDxfId="23"/>
    <tableColumn id="5" xr3:uid="{9D899E3C-E933-4F72-B04E-EA67855240BC}" name="SupplWHFuelName" dataDxfId="22"/>
    <tableColumn id="6" xr3:uid="{2BDF39A8-0EDB-41C7-9E67-4A22B4659E94}" name="Count of EnergyRating" dataDxfId="21"/>
    <tableColumn id="7" xr3:uid="{8B7EEE88-9D94-4A83-940F-312B932B464E}" name="Floor Area (m2)" dataDxfId="20"/>
    <tableColumn id="8" xr3:uid="{A121F83E-C34D-4318-A61E-3FD728AFDF21}" name="BerRating" dataDxfId="19"/>
    <tableColumn id="9" xr3:uid="{76615A38-3E90-4E20-8371-38C9441D4DA6}" name="PrimaryEnergyMainSpace" dataDxfId="18"/>
    <tableColumn id="13" xr3:uid="{CFA74B60-EBC2-45B7-B090-C52A4FEDC663}" name="DeliveredEnergyMainSpace" dataDxfId="17"/>
    <tableColumn id="10" xr3:uid="{50B4CDF2-EC43-4E10-8B33-7DAF2205A8DA}" name="Avg. HSMainSystemEfficiency" dataDxfId="16"/>
    <tableColumn id="11" xr3:uid="{C44447A3-F0B0-4CDF-9563-AC7CE94C17C7}" name="PrimaryEnergySecondarySpace" dataDxfId="15"/>
    <tableColumn id="12" xr3:uid="{2EF93E04-5541-438A-81D6-AB000F591EA0}" name="DeliveredEnergySecondarySpace" dataDxfId="14"/>
    <tableColumn id="14" xr3:uid="{8794168B-A094-46FF-BF0E-C2AC841827AF}" name="PrimaryEnergyLighting" dataDxfId="13"/>
    <tableColumn id="20" xr3:uid="{1CB9E793-6F90-421F-8546-3FA5720E5052}" name="DeliveredLightingEnergy" dataDxfId="12"/>
    <tableColumn id="19" xr3:uid="{2C385480-827C-435E-9C3C-6C471E8984A2}" name="PrimaryEnergyPumpsFans" dataDxfId="11"/>
    <tableColumn id="18" xr3:uid="{8A9DDF54-5576-49EF-B441-86AB22DEC715}" name="DeliveredEnergyPumpsFans" dataDxfId="10"/>
    <tableColumn id="17" xr3:uid="{91B34B1C-03DD-44C2-97BA-804F1873BA53}" name="PrimaryEnergyMainWater" dataDxfId="9"/>
    <tableColumn id="21" xr3:uid="{6BB07D26-5C61-4DC1-94BD-AE456B3DCEC4}" name="DeliveredEnergyMainWater" dataDxfId="8"/>
    <tableColumn id="16" xr3:uid="{FDBA8E64-5575-48F9-985B-8E8D25503349}" name="PrimaryEnergySupplementaryWater" dataDxfId="7"/>
    <tableColumn id="15" xr3:uid="{FDCD2094-98B0-4C05-AF78-A2166A988222}" name="DeliveredEnergySupplementaryWater" dataDxfId="6">
      <calculatedColumnFormula>SUM(ABS(#REF!), ABS(#REF!),ABS(#REF!),ABS(#REF!),ABS(#REF!),ABS(#REF!))</calculatedColumnFormula>
    </tableColumn>
    <tableColumn id="22" xr3:uid="{9FA898EC-D144-4BEC-92B3-19CCC25639A5}" name="TotalDeliveredEnergy" dataDxfId="5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992" t="s">
        <v>745</v>
      </c>
      <c r="B17" s="992"/>
      <c r="C17" s="992"/>
      <c r="D17" s="992"/>
      <c r="E17" s="992"/>
      <c r="F17" s="992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993" t="s">
        <v>588</v>
      </c>
      <c r="C20" s="993"/>
      <c r="D20" s="993"/>
      <c r="E20" s="993"/>
      <c r="F20" s="993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589</v>
      </c>
      <c r="B21" s="994" t="s">
        <v>1</v>
      </c>
      <c r="C21" s="994"/>
      <c r="D21" s="994"/>
      <c r="E21" s="994"/>
      <c r="F21" s="994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994" t="s">
        <v>590</v>
      </c>
      <c r="C22" s="994"/>
      <c r="D22" s="994"/>
      <c r="E22" s="994"/>
      <c r="F22" s="994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591</v>
      </c>
      <c r="B23" s="410" t="s">
        <v>878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1030" t="s">
        <v>879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995"/>
      <c r="B25" s="995"/>
      <c r="C25" s="995"/>
      <c r="D25" s="995"/>
      <c r="E25" s="995"/>
      <c r="F25" s="995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991"/>
      <c r="B26" s="991"/>
      <c r="C26" s="991"/>
      <c r="D26" s="991"/>
      <c r="E26" s="991"/>
      <c r="F26" s="991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abSelected="1" topLeftCell="A17" workbookViewId="0">
      <selection activeCell="H39" sqref="H39"/>
    </sheetView>
  </sheetViews>
  <sheetFormatPr defaultColWidth="9.140625" defaultRowHeight="14.25"/>
  <cols>
    <col min="1" max="1" width="3.7109375" style="532" customWidth="1"/>
    <col min="2" max="2" width="19.5703125" style="532" customWidth="1"/>
    <col min="3" max="3" width="93.5703125" style="532" bestFit="1" customWidth="1"/>
    <col min="4" max="4" width="11.28515625" style="532" customWidth="1"/>
    <col min="5" max="5" width="11.42578125" style="532" customWidth="1"/>
    <col min="6" max="6" width="15.28515625" style="532" customWidth="1"/>
    <col min="7" max="7" width="18.5703125" style="532" customWidth="1"/>
    <col min="8" max="8" width="96.5703125" style="532" customWidth="1"/>
    <col min="9" max="16384" width="9.140625" style="532"/>
  </cols>
  <sheetData>
    <row r="1" spans="2:20" ht="15" thickBot="1"/>
    <row r="2" spans="2:20" ht="19.5" thickBot="1">
      <c r="B2" s="996" t="s">
        <v>4</v>
      </c>
      <c r="C2" s="997"/>
      <c r="D2" s="997"/>
      <c r="E2" s="998"/>
      <c r="G2" s="996" t="s">
        <v>5</v>
      </c>
      <c r="H2" s="998"/>
      <c r="I2" s="533"/>
      <c r="J2" s="533"/>
      <c r="K2" s="534"/>
      <c r="L2" s="534"/>
      <c r="M2" s="534"/>
      <c r="N2" s="534"/>
      <c r="O2" s="534"/>
      <c r="P2" s="534"/>
      <c r="Q2" s="534"/>
      <c r="R2" s="534"/>
      <c r="S2" s="534"/>
      <c r="T2" s="534"/>
    </row>
    <row r="3" spans="2:20" ht="15.75" thickBot="1">
      <c r="B3" s="556" t="s">
        <v>592</v>
      </c>
      <c r="C3" s="557" t="s">
        <v>6</v>
      </c>
      <c r="D3" s="557" t="s">
        <v>7</v>
      </c>
      <c r="E3" s="558" t="s">
        <v>748</v>
      </c>
      <c r="G3" s="536"/>
      <c r="H3" s="586" t="s">
        <v>593</v>
      </c>
      <c r="I3" s="533"/>
      <c r="J3" s="533"/>
      <c r="K3" s="534"/>
      <c r="L3" s="534"/>
      <c r="M3" s="534"/>
      <c r="N3" s="534"/>
      <c r="O3" s="534"/>
      <c r="P3" s="534"/>
      <c r="Q3" s="534"/>
      <c r="R3" s="534"/>
      <c r="S3" s="534"/>
      <c r="T3" s="534"/>
    </row>
    <row r="4" spans="2:20">
      <c r="B4" s="559" t="s">
        <v>746</v>
      </c>
      <c r="C4" s="560" t="s">
        <v>747</v>
      </c>
      <c r="D4" s="561">
        <v>44136</v>
      </c>
      <c r="E4" s="562" t="s">
        <v>749</v>
      </c>
      <c r="G4" s="540"/>
      <c r="H4" s="587" t="s">
        <v>595</v>
      </c>
      <c r="I4" s="533"/>
      <c r="J4" s="533"/>
      <c r="K4" s="534"/>
      <c r="L4" s="534"/>
      <c r="M4" s="534"/>
      <c r="N4" s="534"/>
      <c r="O4" s="534"/>
      <c r="P4" s="534"/>
      <c r="Q4" s="534"/>
      <c r="R4" s="534"/>
      <c r="S4" s="534"/>
      <c r="T4" s="534"/>
    </row>
    <row r="5" spans="2:20">
      <c r="B5" s="563" t="s">
        <v>8</v>
      </c>
      <c r="C5" s="537" t="s">
        <v>594</v>
      </c>
      <c r="D5" s="541">
        <v>44169</v>
      </c>
      <c r="E5" s="564" t="s">
        <v>750</v>
      </c>
      <c r="G5" s="542"/>
      <c r="H5" s="587" t="s">
        <v>597</v>
      </c>
      <c r="I5" s="533"/>
      <c r="J5" s="533"/>
      <c r="K5" s="534"/>
      <c r="L5" s="534"/>
      <c r="M5" s="534"/>
      <c r="N5" s="534"/>
      <c r="O5" s="534"/>
      <c r="P5" s="534"/>
      <c r="Q5" s="534"/>
      <c r="R5" s="534"/>
      <c r="S5" s="534"/>
      <c r="T5" s="534"/>
    </row>
    <row r="6" spans="2:20">
      <c r="B6" s="563" t="s">
        <v>751</v>
      </c>
      <c r="C6" s="537" t="s">
        <v>752</v>
      </c>
      <c r="D6" s="541">
        <v>44166</v>
      </c>
      <c r="E6" s="564" t="s">
        <v>750</v>
      </c>
      <c r="G6" s="543"/>
      <c r="H6" s="587" t="s">
        <v>881</v>
      </c>
      <c r="I6" s="533"/>
      <c r="J6" s="533"/>
      <c r="K6" s="534"/>
      <c r="L6" s="534"/>
      <c r="M6" s="534"/>
      <c r="N6" s="534"/>
      <c r="O6" s="534"/>
      <c r="P6" s="534"/>
      <c r="Q6" s="534"/>
      <c r="R6" s="534"/>
      <c r="S6" s="534"/>
      <c r="T6" s="534"/>
    </row>
    <row r="7" spans="2:20" ht="15" thickBot="1">
      <c r="B7" s="563" t="s">
        <v>754</v>
      </c>
      <c r="C7" s="537" t="s">
        <v>596</v>
      </c>
      <c r="D7" s="538">
        <v>43862</v>
      </c>
      <c r="E7" s="564" t="s">
        <v>750</v>
      </c>
      <c r="G7" s="545"/>
      <c r="H7" s="588" t="s">
        <v>9</v>
      </c>
      <c r="I7" s="533"/>
      <c r="J7" s="533"/>
      <c r="K7" s="534"/>
      <c r="L7" s="534"/>
      <c r="M7" s="534"/>
      <c r="N7" s="534"/>
      <c r="O7" s="534"/>
      <c r="P7" s="534"/>
      <c r="Q7" s="534"/>
      <c r="R7" s="534"/>
      <c r="S7" s="534"/>
      <c r="T7" s="534"/>
    </row>
    <row r="8" spans="2:20">
      <c r="B8" s="563" t="s">
        <v>598</v>
      </c>
      <c r="C8" s="537" t="s">
        <v>753</v>
      </c>
      <c r="D8" s="538">
        <v>44166</v>
      </c>
      <c r="E8" s="564" t="s">
        <v>750</v>
      </c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</row>
    <row r="9" spans="2:20">
      <c r="B9" s="563" t="s">
        <v>755</v>
      </c>
      <c r="C9" s="537" t="s">
        <v>756</v>
      </c>
      <c r="D9" s="538">
        <v>44044</v>
      </c>
      <c r="E9" s="564" t="s">
        <v>750</v>
      </c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</row>
    <row r="10" spans="2:20" ht="15" thickBot="1">
      <c r="B10" s="563" t="s">
        <v>757</v>
      </c>
      <c r="C10" s="537" t="s">
        <v>599</v>
      </c>
      <c r="D10" s="538">
        <v>44136</v>
      </c>
      <c r="E10" s="564" t="s">
        <v>750</v>
      </c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</row>
    <row r="11" spans="2:20" ht="19.5" thickBot="1">
      <c r="B11" s="563" t="s">
        <v>758</v>
      </c>
      <c r="C11" s="537" t="s">
        <v>600</v>
      </c>
      <c r="D11" s="538">
        <v>44013</v>
      </c>
      <c r="E11" s="564" t="s">
        <v>750</v>
      </c>
      <c r="G11" s="996" t="s">
        <v>13</v>
      </c>
      <c r="H11" s="998"/>
      <c r="I11" s="546"/>
      <c r="J11" s="546"/>
      <c r="K11" s="546"/>
      <c r="L11" s="546"/>
      <c r="M11" s="546"/>
      <c r="N11" s="546"/>
      <c r="O11" s="546"/>
      <c r="P11" s="546"/>
      <c r="Q11" s="546"/>
      <c r="R11" s="546"/>
      <c r="S11" s="546"/>
      <c r="T11" s="546"/>
    </row>
    <row r="12" spans="2:20" ht="15">
      <c r="B12" s="563" t="s">
        <v>759</v>
      </c>
      <c r="C12" s="537" t="s">
        <v>601</v>
      </c>
      <c r="D12" s="538">
        <v>44136</v>
      </c>
      <c r="E12" s="564" t="s">
        <v>749</v>
      </c>
      <c r="G12" s="547" t="s">
        <v>14</v>
      </c>
      <c r="H12" s="548" t="s">
        <v>607</v>
      </c>
    </row>
    <row r="13" spans="2:20" ht="15">
      <c r="B13" s="563" t="s">
        <v>760</v>
      </c>
      <c r="C13" s="537" t="s">
        <v>762</v>
      </c>
      <c r="D13" s="538">
        <v>44136</v>
      </c>
      <c r="E13" s="564" t="s">
        <v>750</v>
      </c>
      <c r="G13" s="549" t="s">
        <v>608</v>
      </c>
      <c r="H13" s="550" t="s">
        <v>15</v>
      </c>
    </row>
    <row r="14" spans="2:20" ht="15">
      <c r="B14" s="563" t="s">
        <v>761</v>
      </c>
      <c r="C14" s="537" t="s">
        <v>763</v>
      </c>
      <c r="D14" s="538">
        <v>44105</v>
      </c>
      <c r="E14" s="564" t="s">
        <v>750</v>
      </c>
      <c r="G14" s="549" t="s">
        <v>16</v>
      </c>
      <c r="H14" s="589" t="s">
        <v>764</v>
      </c>
    </row>
    <row r="15" spans="2:20" ht="15">
      <c r="B15" s="563" t="s">
        <v>602</v>
      </c>
      <c r="C15" s="537" t="s">
        <v>603</v>
      </c>
      <c r="D15" s="538">
        <v>44105</v>
      </c>
      <c r="E15" s="564" t="s">
        <v>750</v>
      </c>
      <c r="G15" s="551" t="s">
        <v>609</v>
      </c>
      <c r="H15" s="552">
        <v>2018</v>
      </c>
    </row>
    <row r="16" spans="2:20">
      <c r="B16" s="563" t="s">
        <v>10</v>
      </c>
      <c r="C16" s="537" t="s">
        <v>604</v>
      </c>
      <c r="D16" s="538">
        <v>44166</v>
      </c>
      <c r="E16" s="564" t="s">
        <v>750</v>
      </c>
    </row>
    <row r="17" spans="2:8" ht="15" thickBot="1">
      <c r="B17" s="563" t="s">
        <v>11</v>
      </c>
      <c r="C17" s="537" t="s">
        <v>605</v>
      </c>
      <c r="D17" s="538">
        <v>44166</v>
      </c>
      <c r="E17" s="564" t="s">
        <v>750</v>
      </c>
    </row>
    <row r="18" spans="2:8" ht="19.5" thickBot="1">
      <c r="B18" s="565" t="s">
        <v>12</v>
      </c>
      <c r="C18" s="566" t="s">
        <v>606</v>
      </c>
      <c r="D18" s="567">
        <v>44166</v>
      </c>
      <c r="E18" s="568" t="s">
        <v>750</v>
      </c>
      <c r="G18" s="1031" t="s">
        <v>612</v>
      </c>
      <c r="H18" s="1032"/>
    </row>
    <row r="19" spans="2:8" ht="15">
      <c r="B19" s="534"/>
      <c r="C19" s="534"/>
      <c r="D19" s="1123"/>
      <c r="E19" s="546"/>
      <c r="G19" s="574" t="s">
        <v>19</v>
      </c>
      <c r="H19" s="574" t="s">
        <v>777</v>
      </c>
    </row>
    <row r="20" spans="2:8">
      <c r="B20" s="534"/>
      <c r="C20" s="534"/>
      <c r="D20" s="1123"/>
      <c r="E20" s="546"/>
      <c r="G20" s="539"/>
      <c r="H20" s="539"/>
    </row>
    <row r="21" spans="2:8" ht="15" customHeight="1">
      <c r="B21" s="534"/>
      <c r="C21" s="534"/>
      <c r="D21" s="1123"/>
      <c r="E21" s="546"/>
      <c r="G21" s="539"/>
      <c r="H21" s="539"/>
    </row>
    <row r="22" spans="2:8" ht="15" customHeight="1">
      <c r="B22" s="534"/>
      <c r="C22" s="534"/>
      <c r="D22" s="1123"/>
      <c r="E22" s="546"/>
      <c r="G22" s="539"/>
      <c r="H22" s="539"/>
    </row>
    <row r="23" spans="2:8" ht="15" customHeight="1">
      <c r="B23" s="534"/>
      <c r="C23" s="534"/>
      <c r="D23" s="1123"/>
      <c r="E23" s="546"/>
      <c r="G23" s="539"/>
      <c r="H23" s="539"/>
    </row>
    <row r="24" spans="2:8" ht="15" customHeight="1">
      <c r="B24" s="534"/>
      <c r="C24" s="534"/>
      <c r="D24" s="1123"/>
      <c r="E24" s="546"/>
      <c r="G24" s="539"/>
      <c r="H24" s="539"/>
    </row>
    <row r="25" spans="2:8" ht="15" hidden="1" customHeight="1">
      <c r="B25" s="534"/>
      <c r="C25" s="534"/>
      <c r="D25" s="1123"/>
      <c r="E25" s="546"/>
      <c r="G25" s="539"/>
      <c r="H25" s="539"/>
    </row>
    <row r="26" spans="2:8" ht="15" customHeight="1"/>
    <row r="27" spans="2:8" ht="15" customHeight="1" thickBot="1">
      <c r="B27" s="1135" t="s">
        <v>610</v>
      </c>
      <c r="C27" s="1134"/>
      <c r="D27" s="1134"/>
      <c r="E27" s="1134"/>
      <c r="F27" s="1134"/>
    </row>
    <row r="28" spans="2:8" ht="15" customHeight="1">
      <c r="B28" s="570" t="s">
        <v>592</v>
      </c>
      <c r="C28" s="571" t="s">
        <v>6</v>
      </c>
      <c r="D28" s="572" t="s">
        <v>7</v>
      </c>
      <c r="E28" s="573" t="s">
        <v>748</v>
      </c>
      <c r="F28" s="573" t="s">
        <v>888</v>
      </c>
    </row>
    <row r="29" spans="2:8" ht="15" customHeight="1">
      <c r="B29" s="580" t="s">
        <v>17</v>
      </c>
      <c r="C29" s="575" t="s">
        <v>611</v>
      </c>
      <c r="D29" s="575"/>
      <c r="E29" s="581"/>
      <c r="F29" s="1136" t="s">
        <v>889</v>
      </c>
    </row>
    <row r="30" spans="2:8" ht="15">
      <c r="B30" s="1124" t="s">
        <v>18</v>
      </c>
      <c r="C30" s="1132" t="s">
        <v>613</v>
      </c>
      <c r="D30" s="1132"/>
      <c r="E30" s="1133"/>
      <c r="F30" s="1127" t="s">
        <v>318</v>
      </c>
    </row>
    <row r="31" spans="2:8" ht="15">
      <c r="B31" s="580" t="s">
        <v>20</v>
      </c>
      <c r="C31" s="539" t="s">
        <v>21</v>
      </c>
      <c r="D31" s="576" t="s">
        <v>22</v>
      </c>
      <c r="E31" s="564" t="s">
        <v>750</v>
      </c>
      <c r="F31" s="1136" t="s">
        <v>889</v>
      </c>
      <c r="G31" s="500" t="s">
        <v>887</v>
      </c>
    </row>
    <row r="32" spans="2:8" ht="15">
      <c r="B32" s="1124" t="s">
        <v>23</v>
      </c>
      <c r="C32" s="1132" t="s">
        <v>614</v>
      </c>
      <c r="D32" s="1126">
        <v>44044</v>
      </c>
      <c r="E32" s="1133" t="s">
        <v>750</v>
      </c>
      <c r="F32" s="1127" t="s">
        <v>318</v>
      </c>
    </row>
    <row r="33" spans="1:7" ht="17.25" customHeight="1">
      <c r="B33" s="580" t="s">
        <v>615</v>
      </c>
      <c r="C33" s="578" t="s">
        <v>616</v>
      </c>
      <c r="D33" s="577">
        <v>43952</v>
      </c>
      <c r="E33" s="564" t="s">
        <v>750</v>
      </c>
      <c r="F33" s="1137" t="s">
        <v>889</v>
      </c>
    </row>
    <row r="34" spans="1:7" ht="15">
      <c r="B34" s="580" t="s">
        <v>24</v>
      </c>
      <c r="C34" s="578" t="s">
        <v>617</v>
      </c>
      <c r="D34" s="577">
        <v>43952</v>
      </c>
      <c r="E34" s="564" t="s">
        <v>750</v>
      </c>
      <c r="F34" s="1136" t="s">
        <v>889</v>
      </c>
      <c r="G34" s="500" t="s">
        <v>885</v>
      </c>
    </row>
    <row r="35" spans="1:7" ht="15" hidden="1">
      <c r="B35" s="580" t="s">
        <v>765</v>
      </c>
      <c r="C35" s="578" t="s">
        <v>768</v>
      </c>
      <c r="D35" s="577">
        <v>43983</v>
      </c>
      <c r="E35" s="564" t="s">
        <v>750</v>
      </c>
      <c r="F35" s="564" t="s">
        <v>750</v>
      </c>
    </row>
    <row r="36" spans="1:7" ht="15" hidden="1">
      <c r="B36" s="580" t="s">
        <v>766</v>
      </c>
      <c r="C36" s="578" t="s">
        <v>767</v>
      </c>
      <c r="D36" s="577">
        <v>43983</v>
      </c>
      <c r="E36" s="564" t="s">
        <v>750</v>
      </c>
      <c r="F36" s="564" t="s">
        <v>750</v>
      </c>
    </row>
    <row r="37" spans="1:7" ht="15">
      <c r="B37" s="580" t="s">
        <v>769</v>
      </c>
      <c r="C37" s="579" t="s">
        <v>884</v>
      </c>
      <c r="D37" s="577">
        <v>43983</v>
      </c>
      <c r="E37" s="564" t="s">
        <v>750</v>
      </c>
      <c r="F37" s="1137" t="s">
        <v>889</v>
      </c>
      <c r="G37" s="500" t="s">
        <v>883</v>
      </c>
    </row>
    <row r="38" spans="1:7" ht="15">
      <c r="B38" s="580" t="s">
        <v>770</v>
      </c>
      <c r="C38" s="579" t="s">
        <v>587</v>
      </c>
      <c r="D38" s="577">
        <v>43983</v>
      </c>
      <c r="E38" s="564" t="s">
        <v>750</v>
      </c>
      <c r="F38" s="1137" t="s">
        <v>889</v>
      </c>
      <c r="G38" s="500" t="s">
        <v>883</v>
      </c>
    </row>
    <row r="39" spans="1:7" ht="15">
      <c r="B39" s="580" t="s">
        <v>772</v>
      </c>
      <c r="C39" s="579" t="s">
        <v>890</v>
      </c>
      <c r="D39" s="577">
        <v>43983</v>
      </c>
      <c r="E39" s="564" t="s">
        <v>750</v>
      </c>
      <c r="F39" s="1137" t="s">
        <v>889</v>
      </c>
      <c r="G39" s="500" t="s">
        <v>891</v>
      </c>
    </row>
    <row r="40" spans="1:7" ht="15">
      <c r="B40" s="580" t="s">
        <v>771</v>
      </c>
      <c r="C40" s="579" t="s">
        <v>586</v>
      </c>
      <c r="D40" s="577">
        <v>43983</v>
      </c>
      <c r="E40" s="564" t="s">
        <v>750</v>
      </c>
      <c r="F40" s="1137" t="s">
        <v>889</v>
      </c>
    </row>
    <row r="41" spans="1:7" ht="15">
      <c r="B41" s="580" t="s">
        <v>773</v>
      </c>
      <c r="C41" s="579" t="s">
        <v>774</v>
      </c>
      <c r="D41" s="577">
        <v>44044</v>
      </c>
      <c r="E41" s="564" t="s">
        <v>750</v>
      </c>
      <c r="F41" s="1136" t="s">
        <v>889</v>
      </c>
    </row>
    <row r="42" spans="1:7" ht="15">
      <c r="A42" s="546"/>
      <c r="B42" s="1124" t="s">
        <v>776</v>
      </c>
      <c r="C42" s="1125" t="s">
        <v>775</v>
      </c>
      <c r="D42" s="1126">
        <v>44044</v>
      </c>
      <c r="E42" s="1127" t="s">
        <v>750</v>
      </c>
      <c r="F42" s="1127" t="s">
        <v>318</v>
      </c>
    </row>
    <row r="43" spans="1:7" ht="15.75" thickBot="1">
      <c r="A43" s="546"/>
      <c r="B43" s="1128" t="s">
        <v>776</v>
      </c>
      <c r="C43" s="1129" t="s">
        <v>775</v>
      </c>
      <c r="D43" s="1130">
        <v>44044</v>
      </c>
      <c r="E43" s="1131" t="s">
        <v>750</v>
      </c>
      <c r="F43" s="1131" t="s">
        <v>318</v>
      </c>
    </row>
    <row r="44" spans="1:7" ht="15">
      <c r="A44" s="546"/>
      <c r="B44" s="1138" t="s">
        <v>766</v>
      </c>
      <c r="C44" s="1139" t="s">
        <v>892</v>
      </c>
      <c r="D44" s="577">
        <v>44044</v>
      </c>
      <c r="E44" s="564" t="s">
        <v>750</v>
      </c>
      <c r="F44" s="1137" t="s">
        <v>889</v>
      </c>
      <c r="G44" s="532" t="s">
        <v>893</v>
      </c>
    </row>
    <row r="45" spans="1:7" ht="15" thickBot="1">
      <c r="A45" s="546"/>
      <c r="F45" s="546"/>
    </row>
    <row r="46" spans="1:7" ht="19.5" thickBot="1">
      <c r="B46" s="996" t="s">
        <v>618</v>
      </c>
      <c r="C46" s="997"/>
      <c r="D46" s="997"/>
      <c r="E46" s="998"/>
    </row>
    <row r="47" spans="1:7" ht="15">
      <c r="B47" s="553" t="s">
        <v>619</v>
      </c>
      <c r="C47" s="554" t="s">
        <v>6</v>
      </c>
      <c r="D47" s="535" t="s">
        <v>7</v>
      </c>
      <c r="E47" s="535" t="s">
        <v>748</v>
      </c>
    </row>
    <row r="48" spans="1:7" ht="15">
      <c r="B48" s="574">
        <v>1</v>
      </c>
      <c r="C48" s="575" t="s">
        <v>880</v>
      </c>
      <c r="D48" s="584">
        <v>44166</v>
      </c>
      <c r="E48" s="585" t="s">
        <v>750</v>
      </c>
      <c r="G48" s="532" t="s">
        <v>886</v>
      </c>
    </row>
    <row r="49" spans="2:5" ht="15">
      <c r="B49" s="574"/>
      <c r="C49" s="539"/>
      <c r="D49" s="539"/>
      <c r="E49" s="576"/>
    </row>
    <row r="50" spans="2:5" ht="15">
      <c r="B50" s="555"/>
      <c r="C50" s="546"/>
      <c r="D50" s="546"/>
      <c r="E50" s="582"/>
    </row>
    <row r="51" spans="2:5" ht="15">
      <c r="B51" s="555"/>
      <c r="C51" s="583"/>
      <c r="D51" s="583"/>
      <c r="E51" s="569"/>
    </row>
    <row r="52" spans="2:5" ht="15">
      <c r="B52" s="555"/>
      <c r="C52" s="583"/>
      <c r="D52" s="583"/>
      <c r="E52" s="569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1" t="str" cm="1">
        <f t="array" ref="C3">INDEX(C5:C7,$A$4)</f>
        <v>IE</v>
      </c>
      <c r="D3" s="481" t="str" cm="1">
        <f t="array" ref="D3">INDEX(D5:D7,$A$4)</f>
        <v>National</v>
      </c>
      <c r="E3" s="481" t="str" cm="1">
        <f t="array" ref="E3">INDEX(E5:E7,$A$4)</f>
        <v>IE-CW</v>
      </c>
      <c r="F3" s="481" t="str" cm="1">
        <f t="array" ref="F3">INDEX(F5:F7,$A$4)</f>
        <v>IE-D</v>
      </c>
      <c r="G3" s="481" t="str" cm="1">
        <f t="array" ref="G3">INDEX(G5:G7,$A$4)</f>
        <v>IE-KE</v>
      </c>
      <c r="H3" s="481" t="str" cm="1">
        <f t="array" ref="H3">INDEX(H5:H7,$A$4)</f>
        <v>IE-KK</v>
      </c>
      <c r="I3" s="481" t="str" cm="1">
        <f t="array" ref="I3">INDEX(I5:I7,$A$4)</f>
        <v>IE-LS</v>
      </c>
      <c r="J3" s="481" t="str" cm="1">
        <f t="array" ref="J3">INDEX(J5:J7,$A$4)</f>
        <v>IE-LD</v>
      </c>
      <c r="K3" s="481" t="str" cm="1">
        <f t="array" ref="K3">INDEX(K5:K7,$A$4)</f>
        <v>IE-LH</v>
      </c>
      <c r="L3" s="481" t="str" cm="1">
        <f t="array" ref="L3">INDEX(L5:L7,$A$4)</f>
        <v>IE-MH</v>
      </c>
      <c r="M3" s="481" t="str" cm="1">
        <f t="array" ref="M3">INDEX(M5:M7,$A$4)</f>
        <v>IE-OY</v>
      </c>
      <c r="N3" s="481" t="str" cm="1">
        <f t="array" ref="N3">INDEX(N5:N7,$A$4)</f>
        <v>IE-WH</v>
      </c>
      <c r="O3" s="481" t="str" cm="1">
        <f t="array" ref="O3">INDEX(O5:O7,$A$4)</f>
        <v>IE-WX</v>
      </c>
      <c r="P3" s="481" t="str" cm="1">
        <f t="array" ref="P3">INDEX(P5:P7,$A$4)</f>
        <v>IE-WW</v>
      </c>
      <c r="Q3" s="481" t="str" cm="1">
        <f t="array" ref="Q3">INDEX(Q5:Q7,$A$4)</f>
        <v>IE-CE</v>
      </c>
      <c r="R3" s="481" t="str" cm="1">
        <f t="array" ref="R3">INDEX(R5:R7,$A$4)</f>
        <v>IE-CO</v>
      </c>
      <c r="S3" s="481" t="str" cm="1">
        <f t="array" ref="S3">INDEX(S5:S7,$A$4)</f>
        <v>IE-KY</v>
      </c>
      <c r="T3" s="481" t="str" cm="1">
        <f t="array" ref="T3">INDEX(T5:T7,$A$4)</f>
        <v>IE-LK</v>
      </c>
      <c r="U3" s="481" t="str" cm="1">
        <f t="array" ref="U3">INDEX(U5:U7,$A$4)</f>
        <v>IE-TA</v>
      </c>
      <c r="V3" s="481" t="str" cm="1">
        <f t="array" ref="V3">INDEX(V5:V7,$A$4)</f>
        <v>IE-WD</v>
      </c>
      <c r="W3" s="481" t="str" cm="1">
        <f t="array" ref="W3">INDEX(W5:W7,$A$4)</f>
        <v>IE-G</v>
      </c>
      <c r="X3" s="481" t="str" cm="1">
        <f t="array" ref="X3">INDEX(X5:X7,$A$4)</f>
        <v>IE-LM</v>
      </c>
      <c r="Y3" s="481" t="str" cm="1">
        <f t="array" ref="Y3">INDEX(Y5:Y7,$A$4)</f>
        <v>IE-MO</v>
      </c>
      <c r="Z3" s="481" t="str" cm="1">
        <f t="array" ref="Z3">INDEX(Z5:Z7,$A$4)</f>
        <v>IE-RN</v>
      </c>
      <c r="AA3" s="481" t="str" cm="1">
        <f t="array" ref="AA3">INDEX(AA5:AA7,$A$4)</f>
        <v>IE-SO</v>
      </c>
      <c r="AB3" s="481" t="str" cm="1">
        <f t="array" ref="AB3">INDEX(AB5:AB7,$A$4)</f>
        <v>IE-CN</v>
      </c>
      <c r="AC3" s="481" t="str" cm="1">
        <f t="array" ref="AC3">INDEX(AC5:AC7,$A$4)</f>
        <v>IE-DL</v>
      </c>
      <c r="AD3" s="481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670</v>
      </c>
      <c r="C5" s="482" t="s">
        <v>196</v>
      </c>
      <c r="D5" s="482" t="s">
        <v>671</v>
      </c>
      <c r="E5" s="481" t="str">
        <f>A11</f>
        <v>IE-CW</v>
      </c>
      <c r="F5" s="481" t="str">
        <f>A16</f>
        <v>IE-D</v>
      </c>
      <c r="G5" s="481" t="str">
        <f>A19</f>
        <v>IE-KE</v>
      </c>
      <c r="H5" s="481" t="str">
        <f>A20</f>
        <v>IE-KK</v>
      </c>
      <c r="I5" s="481" t="str">
        <f>A21</f>
        <v>IE-LS</v>
      </c>
      <c r="J5" s="481" t="str">
        <f>A24</f>
        <v>IE-LD</v>
      </c>
      <c r="K5" s="481" t="str">
        <f>A25</f>
        <v>IE-LH</v>
      </c>
      <c r="L5" s="481" t="str">
        <f>A27</f>
        <v>IE-MH</v>
      </c>
      <c r="M5" s="481" t="str">
        <f>A29</f>
        <v>IE-OY</v>
      </c>
      <c r="N5" s="481" t="str">
        <f>A34</f>
        <v>IE-WH</v>
      </c>
      <c r="O5" s="481" t="str">
        <f>A35</f>
        <v>IE-WX</v>
      </c>
      <c r="P5" s="481" t="str">
        <f>A36</f>
        <v>IE-WW</v>
      </c>
      <c r="Q5" s="481" t="str">
        <f>A13</f>
        <v>IE-CE</v>
      </c>
      <c r="R5" s="481" t="str">
        <f>A14</f>
        <v>IE-CO</v>
      </c>
      <c r="S5" s="481" t="str">
        <f>A18</f>
        <v>IE-KY</v>
      </c>
      <c r="T5" s="481" t="str">
        <f>A23</f>
        <v>IE-LK</v>
      </c>
      <c r="U5" s="481" t="str">
        <f>A32</f>
        <v>IE-TA</v>
      </c>
      <c r="V5" s="481" t="str">
        <f>A33</f>
        <v>IE-WD</v>
      </c>
      <c r="W5" s="481" t="str">
        <f>A17</f>
        <v>IE-G</v>
      </c>
      <c r="X5" s="481" t="str">
        <f>A22</f>
        <v>IE-LM</v>
      </c>
      <c r="Y5" s="481" t="str">
        <f>A26</f>
        <v>IE-MO</v>
      </c>
      <c r="Z5" s="481" t="str">
        <f>A30</f>
        <v>IE-RN</v>
      </c>
      <c r="AA5" s="481" t="str">
        <f>A31</f>
        <v>IE-SO</v>
      </c>
      <c r="AB5" s="481" t="str">
        <f>A12</f>
        <v>IE-CN</v>
      </c>
      <c r="AC5" s="481" t="str">
        <f>A15</f>
        <v>IE-DL</v>
      </c>
      <c r="AD5" s="481" t="str">
        <f>A28</f>
        <v>IE-MN</v>
      </c>
    </row>
    <row r="6" spans="1:30" ht="15">
      <c r="A6" s="278" t="s">
        <v>672</v>
      </c>
      <c r="C6" s="481" t="str">
        <f>C5</f>
        <v>IE</v>
      </c>
      <c r="D6" s="481" t="str">
        <f>"*"&amp;D5</f>
        <v>*National</v>
      </c>
      <c r="E6" s="481" t="str">
        <f>"*"&amp;E5</f>
        <v>*IE-CW</v>
      </c>
      <c r="F6" s="481" t="str">
        <f t="shared" ref="F6:AD6" si="0">"*"&amp;F5</f>
        <v>*IE-D</v>
      </c>
      <c r="G6" s="481" t="str">
        <f t="shared" si="0"/>
        <v>*IE-KE</v>
      </c>
      <c r="H6" s="481" t="str">
        <f t="shared" si="0"/>
        <v>*IE-KK</v>
      </c>
      <c r="I6" s="481" t="str">
        <f t="shared" si="0"/>
        <v>*IE-LS</v>
      </c>
      <c r="J6" s="481" t="str">
        <f t="shared" si="0"/>
        <v>*IE-LD</v>
      </c>
      <c r="K6" s="481" t="str">
        <f t="shared" si="0"/>
        <v>*IE-LH</v>
      </c>
      <c r="L6" s="481" t="str">
        <f t="shared" si="0"/>
        <v>*IE-MH</v>
      </c>
      <c r="M6" s="481" t="str">
        <f t="shared" si="0"/>
        <v>*IE-OY</v>
      </c>
      <c r="N6" s="481" t="str">
        <f t="shared" si="0"/>
        <v>*IE-WH</v>
      </c>
      <c r="O6" s="481" t="str">
        <f t="shared" si="0"/>
        <v>*IE-WX</v>
      </c>
      <c r="P6" s="481" t="str">
        <f t="shared" si="0"/>
        <v>*IE-WW</v>
      </c>
      <c r="Q6" s="481" t="str">
        <f t="shared" si="0"/>
        <v>*IE-CE</v>
      </c>
      <c r="R6" s="481" t="str">
        <f t="shared" si="0"/>
        <v>*IE-CO</v>
      </c>
      <c r="S6" s="481" t="str">
        <f t="shared" si="0"/>
        <v>*IE-KY</v>
      </c>
      <c r="T6" s="481" t="str">
        <f t="shared" si="0"/>
        <v>*IE-LK</v>
      </c>
      <c r="U6" s="481" t="str">
        <f t="shared" si="0"/>
        <v>*IE-TA</v>
      </c>
      <c r="V6" s="481" t="str">
        <f t="shared" si="0"/>
        <v>*IE-WD</v>
      </c>
      <c r="W6" s="481" t="str">
        <f t="shared" si="0"/>
        <v>*IE-G</v>
      </c>
      <c r="X6" s="481" t="str">
        <f t="shared" si="0"/>
        <v>*IE-LM</v>
      </c>
      <c r="Y6" s="481" t="str">
        <f t="shared" si="0"/>
        <v>*IE-MO</v>
      </c>
      <c r="Z6" s="481" t="str">
        <f t="shared" si="0"/>
        <v>*IE-RN</v>
      </c>
      <c r="AA6" s="481" t="str">
        <f t="shared" si="0"/>
        <v>*IE-SO</v>
      </c>
      <c r="AB6" s="481" t="str">
        <f t="shared" si="0"/>
        <v>*IE-CN</v>
      </c>
      <c r="AC6" s="481" t="str">
        <f t="shared" si="0"/>
        <v>*IE-DL</v>
      </c>
      <c r="AD6" s="481" t="str">
        <f t="shared" si="0"/>
        <v>*IE-MN</v>
      </c>
    </row>
    <row r="7" spans="1:30" ht="15">
      <c r="A7" s="278" t="s">
        <v>673</v>
      </c>
      <c r="C7" s="481" t="str">
        <f>"*"&amp;C5</f>
        <v>*IE</v>
      </c>
      <c r="D7" s="481" t="str">
        <f>D5</f>
        <v>National</v>
      </c>
      <c r="E7" s="481" t="str">
        <f t="shared" ref="E7:AD7" si="1">E5</f>
        <v>IE-CW</v>
      </c>
      <c r="F7" s="481" t="str">
        <f t="shared" si="1"/>
        <v>IE-D</v>
      </c>
      <c r="G7" s="481" t="str">
        <f t="shared" si="1"/>
        <v>IE-KE</v>
      </c>
      <c r="H7" s="481" t="str">
        <f t="shared" si="1"/>
        <v>IE-KK</v>
      </c>
      <c r="I7" s="481" t="str">
        <f t="shared" si="1"/>
        <v>IE-LS</v>
      </c>
      <c r="J7" s="481" t="str">
        <f t="shared" si="1"/>
        <v>IE-LD</v>
      </c>
      <c r="K7" s="481" t="str">
        <f t="shared" si="1"/>
        <v>IE-LH</v>
      </c>
      <c r="L7" s="481" t="str">
        <f t="shared" si="1"/>
        <v>IE-MH</v>
      </c>
      <c r="M7" s="481" t="str">
        <f t="shared" si="1"/>
        <v>IE-OY</v>
      </c>
      <c r="N7" s="481" t="str">
        <f t="shared" si="1"/>
        <v>IE-WH</v>
      </c>
      <c r="O7" s="481" t="str">
        <f t="shared" si="1"/>
        <v>IE-WX</v>
      </c>
      <c r="P7" s="481" t="str">
        <f t="shared" si="1"/>
        <v>IE-WW</v>
      </c>
      <c r="Q7" s="481" t="str">
        <f t="shared" si="1"/>
        <v>IE-CE</v>
      </c>
      <c r="R7" s="481" t="str">
        <f t="shared" si="1"/>
        <v>IE-CO</v>
      </c>
      <c r="S7" s="481" t="str">
        <f t="shared" si="1"/>
        <v>IE-KY</v>
      </c>
      <c r="T7" s="481" t="str">
        <f t="shared" si="1"/>
        <v>IE-LK</v>
      </c>
      <c r="U7" s="481" t="str">
        <f t="shared" si="1"/>
        <v>IE-TA</v>
      </c>
      <c r="V7" s="481" t="str">
        <f t="shared" si="1"/>
        <v>IE-WD</v>
      </c>
      <c r="W7" s="481" t="str">
        <f t="shared" si="1"/>
        <v>IE-G</v>
      </c>
      <c r="X7" s="481" t="str">
        <f t="shared" si="1"/>
        <v>IE-LM</v>
      </c>
      <c r="Y7" s="481" t="str">
        <f t="shared" si="1"/>
        <v>IE-MO</v>
      </c>
      <c r="Z7" s="481" t="str">
        <f t="shared" si="1"/>
        <v>IE-RN</v>
      </c>
      <c r="AA7" s="481" t="str">
        <f t="shared" si="1"/>
        <v>IE-SO</v>
      </c>
      <c r="AB7" s="481" t="str">
        <f t="shared" si="1"/>
        <v>IE-CN</v>
      </c>
      <c r="AC7" s="481" t="str">
        <f t="shared" si="1"/>
        <v>IE-DL</v>
      </c>
      <c r="AD7" s="481" t="str">
        <f t="shared" si="1"/>
        <v>IE-MN</v>
      </c>
    </row>
    <row r="10" spans="1:30" ht="15.75" thickBot="1">
      <c r="A10" s="483" t="s">
        <v>641</v>
      </c>
      <c r="B10" s="483" t="s">
        <v>674</v>
      </c>
    </row>
    <row r="11" spans="1:30">
      <c r="A11" s="484" t="s">
        <v>675</v>
      </c>
      <c r="B11" s="484" t="s">
        <v>298</v>
      </c>
    </row>
    <row r="12" spans="1:30">
      <c r="A12" s="485" t="s">
        <v>676</v>
      </c>
      <c r="B12" s="485" t="s">
        <v>310</v>
      </c>
    </row>
    <row r="13" spans="1:30">
      <c r="A13" s="485" t="s">
        <v>677</v>
      </c>
      <c r="B13" s="485" t="s">
        <v>328</v>
      </c>
    </row>
    <row r="14" spans="1:30">
      <c r="A14" s="485" t="s">
        <v>678</v>
      </c>
      <c r="B14" s="485" t="s">
        <v>332</v>
      </c>
    </row>
    <row r="15" spans="1:30">
      <c r="A15" s="485" t="s">
        <v>679</v>
      </c>
      <c r="B15" s="485" t="s">
        <v>336</v>
      </c>
    </row>
    <row r="16" spans="1:30">
      <c r="A16" s="485" t="s">
        <v>680</v>
      </c>
      <c r="B16" s="485" t="s">
        <v>340</v>
      </c>
    </row>
    <row r="17" spans="1:2">
      <c r="A17" s="485" t="s">
        <v>681</v>
      </c>
      <c r="B17" s="485" t="s">
        <v>342</v>
      </c>
    </row>
    <row r="18" spans="1:2">
      <c r="A18" s="485" t="s">
        <v>682</v>
      </c>
      <c r="B18" s="485" t="s">
        <v>343</v>
      </c>
    </row>
    <row r="19" spans="1:2">
      <c r="A19" s="485" t="s">
        <v>683</v>
      </c>
      <c r="B19" s="485" t="s">
        <v>329</v>
      </c>
    </row>
    <row r="20" spans="1:2">
      <c r="A20" s="485" t="s">
        <v>684</v>
      </c>
      <c r="B20" s="485" t="s">
        <v>330</v>
      </c>
    </row>
    <row r="21" spans="1:2">
      <c r="A21" s="485" t="s">
        <v>685</v>
      </c>
      <c r="B21" s="485" t="s">
        <v>331</v>
      </c>
    </row>
    <row r="22" spans="1:2">
      <c r="A22" s="485" t="s">
        <v>686</v>
      </c>
      <c r="B22" s="485" t="s">
        <v>347</v>
      </c>
    </row>
    <row r="23" spans="1:2">
      <c r="A23" s="485" t="s">
        <v>687</v>
      </c>
      <c r="B23" s="485" t="s">
        <v>344</v>
      </c>
    </row>
    <row r="24" spans="1:2">
      <c r="A24" s="485" t="s">
        <v>688</v>
      </c>
      <c r="B24" s="485" t="s">
        <v>333</v>
      </c>
    </row>
    <row r="25" spans="1:2">
      <c r="A25" s="485" t="s">
        <v>689</v>
      </c>
      <c r="B25" s="485" t="s">
        <v>334</v>
      </c>
    </row>
    <row r="26" spans="1:2">
      <c r="A26" s="485" t="s">
        <v>690</v>
      </c>
      <c r="B26" s="485" t="s">
        <v>348</v>
      </c>
    </row>
    <row r="27" spans="1:2">
      <c r="A27" s="485" t="s">
        <v>691</v>
      </c>
      <c r="B27" s="485" t="s">
        <v>335</v>
      </c>
    </row>
    <row r="28" spans="1:2">
      <c r="A28" s="485" t="s">
        <v>692</v>
      </c>
      <c r="B28" s="485" t="s">
        <v>351</v>
      </c>
    </row>
    <row r="29" spans="1:2">
      <c r="A29" s="485" t="s">
        <v>693</v>
      </c>
      <c r="B29" s="485" t="s">
        <v>337</v>
      </c>
    </row>
    <row r="30" spans="1:2">
      <c r="A30" s="485" t="s">
        <v>694</v>
      </c>
      <c r="B30" s="485" t="s">
        <v>349</v>
      </c>
    </row>
    <row r="31" spans="1:2">
      <c r="A31" s="485" t="s">
        <v>695</v>
      </c>
      <c r="B31" s="485" t="s">
        <v>350</v>
      </c>
    </row>
    <row r="32" spans="1:2">
      <c r="A32" s="485" t="s">
        <v>696</v>
      </c>
      <c r="B32" s="485" t="s">
        <v>345</v>
      </c>
    </row>
    <row r="33" spans="1:2">
      <c r="A33" s="485" t="s">
        <v>697</v>
      </c>
      <c r="B33" s="485" t="s">
        <v>346</v>
      </c>
    </row>
    <row r="34" spans="1:2">
      <c r="A34" s="485" t="s">
        <v>698</v>
      </c>
      <c r="B34" s="485" t="s">
        <v>338</v>
      </c>
    </row>
    <row r="35" spans="1:2">
      <c r="A35" s="485" t="s">
        <v>699</v>
      </c>
      <c r="B35" s="485" t="s">
        <v>339</v>
      </c>
    </row>
    <row r="36" spans="1:2">
      <c r="A36" s="485" t="s">
        <v>700</v>
      </c>
      <c r="B36" s="485" t="s">
        <v>341</v>
      </c>
    </row>
    <row r="37" spans="1:2" ht="15">
      <c r="A37" s="486" t="s">
        <v>701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3" t="s">
        <v>25</v>
      </c>
      <c r="B1" s="1034"/>
      <c r="C1" s="1034"/>
    </row>
    <row r="2" spans="1:3" s="68" customFormat="1">
      <c r="A2" s="1035" t="s">
        <v>620</v>
      </c>
      <c r="B2" s="1035" t="s">
        <v>26</v>
      </c>
      <c r="C2" s="1035" t="s">
        <v>6</v>
      </c>
    </row>
    <row r="3" spans="1:3">
      <c r="A3" s="278"/>
      <c r="B3" s="279" t="s">
        <v>579</v>
      </c>
      <c r="C3" s="280" t="s">
        <v>1</v>
      </c>
    </row>
    <row r="4" spans="1:3">
      <c r="A4" s="278"/>
      <c r="B4" s="279" t="s">
        <v>718</v>
      </c>
      <c r="C4" s="279" t="s">
        <v>642</v>
      </c>
    </row>
    <row r="5" spans="1:3">
      <c r="A5" s="278"/>
      <c r="B5" s="279" t="s">
        <v>625</v>
      </c>
      <c r="C5" s="279" t="s">
        <v>624</v>
      </c>
    </row>
    <row r="6" spans="1:3">
      <c r="A6" s="1035"/>
      <c r="B6" s="1035" t="s">
        <v>26</v>
      </c>
      <c r="C6" s="1035" t="s">
        <v>6</v>
      </c>
    </row>
    <row r="7" spans="1:3">
      <c r="A7" s="1036" t="s">
        <v>27</v>
      </c>
      <c r="B7" s="1037"/>
      <c r="C7" s="1038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36" t="s">
        <v>28</v>
      </c>
      <c r="B28" s="1037"/>
      <c r="C28" s="1038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36" t="s">
        <v>41</v>
      </c>
      <c r="B35" s="1037"/>
      <c r="C35" s="1038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36" t="s">
        <v>49</v>
      </c>
      <c r="B39" s="1037"/>
      <c r="C39" s="1038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36" t="s">
        <v>68</v>
      </c>
      <c r="B49" s="1037"/>
      <c r="C49" s="1038"/>
    </row>
    <row r="50" spans="1:3">
      <c r="A50" s="301"/>
      <c r="B50" s="282" t="s">
        <v>731</v>
      </c>
      <c r="C50" s="281" t="s">
        <v>221</v>
      </c>
    </row>
    <row r="51" spans="1:3">
      <c r="A51" s="507" t="s">
        <v>256</v>
      </c>
      <c r="B51" s="282" t="s">
        <v>732</v>
      </c>
      <c r="C51" s="281" t="s">
        <v>742</v>
      </c>
    </row>
    <row r="52" spans="1:3">
      <c r="A52" s="301"/>
      <c r="B52" s="282" t="s">
        <v>733</v>
      </c>
      <c r="C52" s="281" t="s">
        <v>222</v>
      </c>
    </row>
    <row r="53" spans="1:3">
      <c r="A53" s="301"/>
      <c r="B53" s="282" t="s">
        <v>735</v>
      </c>
      <c r="C53" s="281" t="s">
        <v>223</v>
      </c>
    </row>
    <row r="54" spans="1:3">
      <c r="A54" s="301"/>
      <c r="B54" s="282" t="s">
        <v>734</v>
      </c>
      <c r="C54" s="281" t="s">
        <v>224</v>
      </c>
    </row>
    <row r="55" spans="1:3">
      <c r="A55" s="301"/>
      <c r="B55" s="282" t="s">
        <v>736</v>
      </c>
      <c r="C55" s="281" t="s">
        <v>226</v>
      </c>
    </row>
    <row r="56" spans="1:3">
      <c r="A56" s="301"/>
      <c r="B56" s="282" t="s">
        <v>737</v>
      </c>
      <c r="C56" s="281" t="s">
        <v>225</v>
      </c>
    </row>
    <row r="57" spans="1:3">
      <c r="A57" s="301"/>
      <c r="B57" s="282" t="s">
        <v>738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739</v>
      </c>
      <c r="C59" s="281" t="s">
        <v>229</v>
      </c>
    </row>
    <row r="60" spans="1:3">
      <c r="A60" s="301"/>
      <c r="B60" s="282" t="s">
        <v>740</v>
      </c>
      <c r="C60" s="281" t="s">
        <v>743</v>
      </c>
    </row>
    <row r="61" spans="1:3">
      <c r="A61" s="507" t="s">
        <v>256</v>
      </c>
      <c r="B61" s="282" t="s">
        <v>741</v>
      </c>
      <c r="C61" s="281" t="s">
        <v>744</v>
      </c>
    </row>
    <row r="62" spans="1:3">
      <c r="A62" s="1036" t="s">
        <v>70</v>
      </c>
      <c r="B62" s="1037"/>
      <c r="C62" s="1038"/>
    </row>
    <row r="63" spans="1:3">
      <c r="A63" s="1036" t="s">
        <v>71</v>
      </c>
      <c r="B63" s="1037"/>
      <c r="C63" s="1038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628</v>
      </c>
      <c r="C67" s="282" t="s">
        <v>631</v>
      </c>
    </row>
    <row r="68" spans="1:3">
      <c r="A68" s="300"/>
      <c r="B68" s="281" t="s">
        <v>629</v>
      </c>
      <c r="C68" s="282" t="s">
        <v>632</v>
      </c>
    </row>
    <row r="69" spans="1:3">
      <c r="A69" s="300"/>
      <c r="B69" s="281" t="s">
        <v>630</v>
      </c>
      <c r="C69" s="282" t="s">
        <v>633</v>
      </c>
    </row>
    <row r="70" spans="1:3">
      <c r="A70" s="1036" t="s">
        <v>78</v>
      </c>
      <c r="B70" s="1037"/>
      <c r="C70" s="1038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36" t="s">
        <v>489</v>
      </c>
      <c r="B76" s="1037"/>
      <c r="C76" s="1038"/>
    </row>
    <row r="77" spans="1:3">
      <c r="B77" s="282" t="s">
        <v>636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634</v>
      </c>
      <c r="C79" s="281" t="s">
        <v>635</v>
      </c>
    </row>
    <row r="80" spans="1:3">
      <c r="B80" s="282" t="s">
        <v>491</v>
      </c>
      <c r="C80" s="281" t="s">
        <v>490</v>
      </c>
    </row>
    <row r="81" spans="1:3">
      <c r="B81" s="282" t="s">
        <v>637</v>
      </c>
      <c r="C81" s="282" t="s">
        <v>638</v>
      </c>
    </row>
    <row r="82" spans="1:3">
      <c r="B82" s="282" t="s">
        <v>492</v>
      </c>
      <c r="C82" s="282" t="s">
        <v>493</v>
      </c>
    </row>
    <row r="83" spans="1:3">
      <c r="B83" s="282" t="s">
        <v>639</v>
      </c>
      <c r="C83" s="81" t="s">
        <v>640</v>
      </c>
    </row>
    <row r="84" spans="1:3">
      <c r="A84" s="1036" t="s">
        <v>728</v>
      </c>
      <c r="B84" s="1037"/>
      <c r="C84" s="1038"/>
    </row>
    <row r="85" spans="1:3">
      <c r="B85" s="81" t="s">
        <v>729</v>
      </c>
      <c r="C85" s="81" t="s">
        <v>730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9" t="s">
        <v>802</v>
      </c>
      <c r="B1" s="610" t="s">
        <v>803</v>
      </c>
      <c r="C1" s="878" t="s">
        <v>90</v>
      </c>
      <c r="D1" s="881" t="s">
        <v>91</v>
      </c>
      <c r="E1" s="882" t="s">
        <v>804</v>
      </c>
      <c r="F1" s="883" t="s">
        <v>92</v>
      </c>
      <c r="G1" s="883" t="s">
        <v>93</v>
      </c>
      <c r="H1" s="879" t="s">
        <v>94</v>
      </c>
      <c r="I1" s="881" t="s">
        <v>95</v>
      </c>
      <c r="J1" s="882" t="s">
        <v>96</v>
      </c>
      <c r="K1" s="882" t="s">
        <v>97</v>
      </c>
      <c r="L1" s="879" t="s">
        <v>98</v>
      </c>
      <c r="M1" s="881" t="s">
        <v>99</v>
      </c>
      <c r="N1" s="881" t="s">
        <v>805</v>
      </c>
      <c r="O1" s="882" t="s">
        <v>100</v>
      </c>
      <c r="P1" s="882" t="s">
        <v>101</v>
      </c>
      <c r="Q1" s="882" t="s">
        <v>102</v>
      </c>
      <c r="R1" s="882" t="s">
        <v>103</v>
      </c>
      <c r="S1" s="882" t="s">
        <v>104</v>
      </c>
      <c r="T1" s="879" t="s">
        <v>105</v>
      </c>
      <c r="U1" s="882" t="s">
        <v>106</v>
      </c>
      <c r="V1" s="882" t="s">
        <v>107</v>
      </c>
      <c r="W1" s="883" t="s">
        <v>108</v>
      </c>
      <c r="X1" s="883" t="s">
        <v>109</v>
      </c>
      <c r="Y1" s="883" t="s">
        <v>110</v>
      </c>
      <c r="Z1" s="882" t="s">
        <v>111</v>
      </c>
      <c r="AA1" s="879" t="s">
        <v>112</v>
      </c>
      <c r="AB1" s="880" t="s">
        <v>113</v>
      </c>
      <c r="AC1" s="884" t="s">
        <v>114</v>
      </c>
      <c r="AD1" s="882" t="s">
        <v>115</v>
      </c>
      <c r="AE1" s="879" t="s">
        <v>806</v>
      </c>
      <c r="AF1" s="882" t="s">
        <v>807</v>
      </c>
      <c r="AG1" s="882" t="s">
        <v>116</v>
      </c>
      <c r="AH1" s="882" t="s">
        <v>117</v>
      </c>
      <c r="AI1" s="879" t="s">
        <v>808</v>
      </c>
      <c r="AJ1" s="879" t="s">
        <v>809</v>
      </c>
      <c r="AK1" s="879" t="s">
        <v>810</v>
      </c>
      <c r="AL1" s="879" t="s">
        <v>811</v>
      </c>
      <c r="AM1" s="879" t="s">
        <v>812</v>
      </c>
      <c r="AN1" s="879" t="s">
        <v>118</v>
      </c>
      <c r="AO1" s="879" t="s">
        <v>119</v>
      </c>
      <c r="AP1" s="880" t="s">
        <v>120</v>
      </c>
      <c r="AQ1" s="611" t="s">
        <v>121</v>
      </c>
      <c r="AS1" s="2"/>
    </row>
    <row r="2" spans="1:45" s="3" customFormat="1" ht="12.75" customHeight="1">
      <c r="A2" s="612" t="s">
        <v>122</v>
      </c>
      <c r="B2" s="613"/>
      <c r="C2" s="614">
        <f>SUM(D2:G2)</f>
        <v>0</v>
      </c>
      <c r="D2" s="615">
        <v>0</v>
      </c>
      <c r="E2" s="616"/>
      <c r="F2" s="617"/>
      <c r="G2" s="617"/>
      <c r="H2" s="618">
        <f>SUM(I2:K2)</f>
        <v>815.92434898628403</v>
      </c>
      <c r="I2" s="619">
        <v>688.22034898628408</v>
      </c>
      <c r="J2" s="620">
        <v>127.70399999999999</v>
      </c>
      <c r="K2" s="620"/>
      <c r="L2" s="618">
        <f>SUM(M2:Z2)</f>
        <v>0</v>
      </c>
      <c r="M2" s="619"/>
      <c r="N2" s="621"/>
      <c r="O2" s="622"/>
      <c r="P2" s="622"/>
      <c r="Q2" s="622"/>
      <c r="R2" s="622"/>
      <c r="S2" s="622"/>
      <c r="T2" s="622"/>
      <c r="U2" s="622"/>
      <c r="V2" s="622"/>
      <c r="W2" s="617"/>
      <c r="X2" s="617"/>
      <c r="Y2" s="617"/>
      <c r="Z2" s="620"/>
      <c r="AA2" s="618">
        <v>2751.9191872187112</v>
      </c>
      <c r="AB2" s="623">
        <f>SUM(AC2:AM2)</f>
        <v>1331.2863828445347</v>
      </c>
      <c r="AC2" s="624">
        <v>59.691708987970003</v>
      </c>
      <c r="AD2" s="620">
        <v>743.01992281532614</v>
      </c>
      <c r="AE2" s="620">
        <v>249.68174480509879</v>
      </c>
      <c r="AF2" s="620">
        <v>139.99992739520798</v>
      </c>
      <c r="AG2" s="620">
        <v>33.531818868055431</v>
      </c>
      <c r="AH2" s="620">
        <v>16.813132576534866</v>
      </c>
      <c r="AI2" s="620">
        <v>27.095124147648001</v>
      </c>
      <c r="AJ2" s="620">
        <v>2.6691993220799999</v>
      </c>
      <c r="AK2" s="619">
        <v>1.4323955643044282</v>
      </c>
      <c r="AL2" s="619">
        <v>13.54608560366562</v>
      </c>
      <c r="AM2" s="617">
        <v>43.805322758643676</v>
      </c>
      <c r="AN2" s="625">
        <v>145.43710297949829</v>
      </c>
      <c r="AO2" s="625"/>
      <c r="AP2" s="623"/>
      <c r="AQ2" s="626">
        <f>C2+H2+L2+AA2+AB2+AN2+AO2+AP2</f>
        <v>5044.5670220290285</v>
      </c>
      <c r="AS2" s="4"/>
    </row>
    <row r="3" spans="1:45" s="3" customFormat="1" ht="12.75" customHeight="1">
      <c r="A3" s="627" t="s">
        <v>123</v>
      </c>
      <c r="B3" s="628"/>
      <c r="C3" s="629">
        <f>SUM(D3:G3)</f>
        <v>935.78934491090115</v>
      </c>
      <c r="D3" s="630">
        <v>802.24865041659757</v>
      </c>
      <c r="E3" s="631">
        <v>125.38500136039437</v>
      </c>
      <c r="F3" s="632"/>
      <c r="G3" s="632">
        <v>8.1556931339092724</v>
      </c>
      <c r="H3" s="633">
        <f>SUM(I3:K3)</f>
        <v>0</v>
      </c>
      <c r="I3" s="634"/>
      <c r="J3" s="635"/>
      <c r="K3" s="635"/>
      <c r="L3" s="633">
        <f>SUM(M3:Z3)</f>
        <v>9146.774069288922</v>
      </c>
      <c r="M3" s="634">
        <v>3053.4742963851995</v>
      </c>
      <c r="N3" s="634">
        <v>16.633377499200002</v>
      </c>
      <c r="O3" s="635">
        <v>0</v>
      </c>
      <c r="P3" s="635">
        <v>564.2282843555555</v>
      </c>
      <c r="Q3" s="635">
        <v>369.55541863968</v>
      </c>
      <c r="R3" s="635">
        <v>1543.1782335883197</v>
      </c>
      <c r="S3" s="635">
        <v>82.827948630790956</v>
      </c>
      <c r="T3" s="635">
        <v>157.5463640726893</v>
      </c>
      <c r="U3" s="635">
        <v>2941.4703035056637</v>
      </c>
      <c r="V3" s="635">
        <v>164.48328641762765</v>
      </c>
      <c r="W3" s="632">
        <v>7.5616539426795564</v>
      </c>
      <c r="X3" s="632">
        <v>200.83222211696253</v>
      </c>
      <c r="Y3" s="632">
        <v>1.2281470084248403</v>
      </c>
      <c r="Z3" s="635">
        <v>43.754533126130625</v>
      </c>
      <c r="AA3" s="633">
        <v>1728.338063506957</v>
      </c>
      <c r="AB3" s="636">
        <f>SUM(AC3:AM3)</f>
        <v>150.18873559012798</v>
      </c>
      <c r="AC3" s="637"/>
      <c r="AD3" s="635"/>
      <c r="AE3" s="635">
        <v>23.169037781663999</v>
      </c>
      <c r="AF3" s="635"/>
      <c r="AG3" s="635"/>
      <c r="AH3" s="635"/>
      <c r="AI3" s="635">
        <v>104.16969909062398</v>
      </c>
      <c r="AJ3" s="635">
        <v>22.849998717839998</v>
      </c>
      <c r="AK3" s="634"/>
      <c r="AL3" s="634"/>
      <c r="AM3" s="632"/>
      <c r="AN3" s="638"/>
      <c r="AO3" s="638">
        <v>139.45061680000001</v>
      </c>
      <c r="AP3" s="636"/>
      <c r="AQ3" s="639">
        <f t="shared" ref="AQ3:AQ20" si="0">C3+H3+L3+AA3+AB3+AN3+AO3+AP3</f>
        <v>12100.540830096908</v>
      </c>
      <c r="AS3" s="4"/>
    </row>
    <row r="4" spans="1:45" s="3" customFormat="1" ht="12.75" customHeight="1">
      <c r="A4" s="627" t="s">
        <v>124</v>
      </c>
      <c r="B4" s="628"/>
      <c r="C4" s="629">
        <f>SUM(D4:G4)</f>
        <v>15.186580890896002</v>
      </c>
      <c r="D4" s="630">
        <v>0</v>
      </c>
      <c r="E4" s="640">
        <v>14.097722162000002</v>
      </c>
      <c r="F4" s="632"/>
      <c r="G4" s="632">
        <v>1.0888587288959999</v>
      </c>
      <c r="H4" s="633">
        <f>SUM(I4:K4)</f>
        <v>7.0330680000000001</v>
      </c>
      <c r="I4" s="634"/>
      <c r="J4" s="635"/>
      <c r="K4" s="635">
        <v>7.0330680000000001</v>
      </c>
      <c r="L4" s="633">
        <f>SUM(M4:Z4)</f>
        <v>1717.0624747879344</v>
      </c>
      <c r="M4" s="634">
        <v>0</v>
      </c>
      <c r="N4" s="634">
        <v>0</v>
      </c>
      <c r="O4" s="635"/>
      <c r="P4" s="635">
        <v>364.52221864444448</v>
      </c>
      <c r="Q4" s="635">
        <v>21.672508399360005</v>
      </c>
      <c r="R4" s="635">
        <v>156.29379915984001</v>
      </c>
      <c r="S4" s="635">
        <v>986.60611760112999</v>
      </c>
      <c r="T4" s="635">
        <v>35.289733288720633</v>
      </c>
      <c r="U4" s="635">
        <v>102.14625414775992</v>
      </c>
      <c r="V4" s="635">
        <v>2.9088437938490893E-3</v>
      </c>
      <c r="W4" s="632">
        <v>36.297317128453038</v>
      </c>
      <c r="X4" s="632">
        <v>5.4694689952000006</v>
      </c>
      <c r="Y4" s="632">
        <v>1.8500297569930473E-2</v>
      </c>
      <c r="Z4" s="635">
        <v>8.7436482816626366</v>
      </c>
      <c r="AA4" s="633">
        <v>0</v>
      </c>
      <c r="AB4" s="636">
        <f>SUM(AC4:AM4)</f>
        <v>9.4476585178560004</v>
      </c>
      <c r="AC4" s="637"/>
      <c r="AD4" s="635"/>
      <c r="AE4" s="635">
        <v>0.41264639999999991</v>
      </c>
      <c r="AF4" s="635"/>
      <c r="AG4" s="635"/>
      <c r="AH4" s="635"/>
      <c r="AI4" s="635">
        <v>9.0350121178560006</v>
      </c>
      <c r="AJ4" s="635">
        <v>0</v>
      </c>
      <c r="AK4" s="634"/>
      <c r="AL4" s="634"/>
      <c r="AM4" s="632"/>
      <c r="AN4" s="638"/>
      <c r="AO4" s="638">
        <v>141.83539077999998</v>
      </c>
      <c r="AP4" s="636"/>
      <c r="AQ4" s="639">
        <f t="shared" si="0"/>
        <v>1890.5651729766864</v>
      </c>
      <c r="AS4" s="4"/>
    </row>
    <row r="5" spans="1:45" s="3" customFormat="1" ht="12.75" customHeight="1">
      <c r="A5" s="627" t="s">
        <v>125</v>
      </c>
      <c r="B5" s="628"/>
      <c r="C5" s="629">
        <f>SUM(D5:G5)</f>
        <v>0</v>
      </c>
      <c r="D5" s="630"/>
      <c r="E5" s="640"/>
      <c r="F5" s="632"/>
      <c r="G5" s="632"/>
      <c r="H5" s="633">
        <f>SUM(I5:K5)</f>
        <v>0</v>
      </c>
      <c r="I5" s="634"/>
      <c r="J5" s="635"/>
      <c r="K5" s="635"/>
      <c r="L5" s="633">
        <f>SUM(M5:Z5)</f>
        <v>162.14899063248015</v>
      </c>
      <c r="M5" s="634"/>
      <c r="N5" s="634"/>
      <c r="O5" s="635"/>
      <c r="P5" s="635"/>
      <c r="Q5" s="635"/>
      <c r="R5" s="635"/>
      <c r="S5" s="635">
        <v>15.730078096892656</v>
      </c>
      <c r="T5" s="635"/>
      <c r="U5" s="635">
        <v>146.41891253558748</v>
      </c>
      <c r="V5" s="635"/>
      <c r="W5" s="632"/>
      <c r="X5" s="632"/>
      <c r="Y5" s="632"/>
      <c r="Z5" s="635"/>
      <c r="AA5" s="633"/>
      <c r="AB5" s="636">
        <f>SUM(AC5:AM5)</f>
        <v>0</v>
      </c>
      <c r="AC5" s="637"/>
      <c r="AD5" s="635"/>
      <c r="AE5" s="635"/>
      <c r="AF5" s="635"/>
      <c r="AG5" s="635"/>
      <c r="AH5" s="635"/>
      <c r="AI5" s="635"/>
      <c r="AJ5" s="635"/>
      <c r="AK5" s="634"/>
      <c r="AL5" s="634"/>
      <c r="AM5" s="632"/>
      <c r="AN5" s="638"/>
      <c r="AO5" s="638"/>
      <c r="AP5" s="636"/>
      <c r="AQ5" s="639">
        <f t="shared" si="0"/>
        <v>162.14899063248015</v>
      </c>
      <c r="AS5" s="4"/>
    </row>
    <row r="6" spans="1:45" s="3" customFormat="1" ht="12.75" customHeight="1" thickBot="1">
      <c r="A6" s="641" t="s">
        <v>126</v>
      </c>
      <c r="B6" s="642"/>
      <c r="C6" s="629">
        <f>SUM(D6:G6)</f>
        <v>-105.50045932171129</v>
      </c>
      <c r="D6" s="643">
        <v>-106.11399866466098</v>
      </c>
      <c r="E6" s="632">
        <v>-0.8079766727235479</v>
      </c>
      <c r="F6" s="644"/>
      <c r="G6" s="644">
        <v>1.4215160156732278</v>
      </c>
      <c r="H6" s="645">
        <f>SUM(I6:K6)</f>
        <v>-122.93905189963694</v>
      </c>
      <c r="I6" s="646">
        <v>-136.53826589963694</v>
      </c>
      <c r="J6" s="646">
        <v>0</v>
      </c>
      <c r="K6" s="646">
        <v>13.599214000000003</v>
      </c>
      <c r="L6" s="645">
        <f>SUM(M6:Z6)</f>
        <v>151.33981188504902</v>
      </c>
      <c r="M6" s="634">
        <v>38.730964773999993</v>
      </c>
      <c r="N6" s="634">
        <v>-8.8751519999999999</v>
      </c>
      <c r="O6" s="635"/>
      <c r="P6" s="635">
        <v>-9.6980083333333713</v>
      </c>
      <c r="Q6" s="635">
        <v>12.883201938880001</v>
      </c>
      <c r="R6" s="635">
        <v>82.12024884504001</v>
      </c>
      <c r="S6" s="635">
        <v>23.637599999999999</v>
      </c>
      <c r="T6" s="635">
        <v>1.4659197380156652</v>
      </c>
      <c r="U6" s="635">
        <v>8.3874136006762399</v>
      </c>
      <c r="V6" s="635">
        <v>3.2040911090633046</v>
      </c>
      <c r="W6" s="644">
        <v>-0.51646778729281662</v>
      </c>
      <c r="X6" s="644">
        <v>0</v>
      </c>
      <c r="Y6" s="644">
        <v>0</v>
      </c>
      <c r="Z6" s="646">
        <v>0</v>
      </c>
      <c r="AA6" s="645">
        <v>0</v>
      </c>
      <c r="AB6" s="647">
        <f>SUM(AC6:AM6)</f>
        <v>4.4601014379600006</v>
      </c>
      <c r="AC6" s="648"/>
      <c r="AD6" s="649"/>
      <c r="AE6" s="649">
        <v>0.26707427819999968</v>
      </c>
      <c r="AF6" s="649"/>
      <c r="AG6" s="649"/>
      <c r="AH6" s="649"/>
      <c r="AI6" s="649">
        <v>1.7828522013120007</v>
      </c>
      <c r="AJ6" s="649">
        <v>2.4101749584479997</v>
      </c>
      <c r="AK6" s="646"/>
      <c r="AL6" s="646"/>
      <c r="AM6" s="644"/>
      <c r="AN6" s="650"/>
      <c r="AO6" s="650"/>
      <c r="AP6" s="647"/>
      <c r="AQ6" s="651">
        <f t="shared" si="0"/>
        <v>-72.639597898339204</v>
      </c>
      <c r="AS6" s="4"/>
    </row>
    <row r="7" spans="1:45" s="6" customFormat="1" ht="12.75" customHeight="1">
      <c r="A7" s="652" t="s">
        <v>127</v>
      </c>
      <c r="B7" s="653"/>
      <c r="C7" s="654">
        <f t="shared" ref="C7:AP7" si="1">C2+C3-C4-C5+C6</f>
        <v>815.10230469829378</v>
      </c>
      <c r="D7" s="655">
        <f t="shared" si="1"/>
        <v>696.13465175193664</v>
      </c>
      <c r="E7" s="656">
        <f t="shared" si="1"/>
        <v>110.47930252567083</v>
      </c>
      <c r="F7" s="656">
        <f t="shared" si="1"/>
        <v>0</v>
      </c>
      <c r="G7" s="656">
        <f t="shared" si="1"/>
        <v>8.4883504206865013</v>
      </c>
      <c r="H7" s="657">
        <f t="shared" si="1"/>
        <v>685.95222908664709</v>
      </c>
      <c r="I7" s="655">
        <f t="shared" si="1"/>
        <v>551.68208308664714</v>
      </c>
      <c r="J7" s="656">
        <f t="shared" si="1"/>
        <v>127.70399999999999</v>
      </c>
      <c r="K7" s="656">
        <f t="shared" si="1"/>
        <v>6.5661460000000034</v>
      </c>
      <c r="L7" s="657">
        <f t="shared" si="1"/>
        <v>7418.9024157535559</v>
      </c>
      <c r="M7" s="655">
        <f t="shared" si="1"/>
        <v>3092.2052611591994</v>
      </c>
      <c r="N7" s="655">
        <f t="shared" si="1"/>
        <v>7.7582254992000017</v>
      </c>
      <c r="O7" s="656">
        <f t="shared" si="1"/>
        <v>0</v>
      </c>
      <c r="P7" s="656">
        <f t="shared" si="1"/>
        <v>190.00805737777765</v>
      </c>
      <c r="Q7" s="656">
        <f t="shared" si="1"/>
        <v>360.76611217919998</v>
      </c>
      <c r="R7" s="656">
        <f t="shared" si="1"/>
        <v>1469.0046832735197</v>
      </c>
      <c r="S7" s="656">
        <f t="shared" si="1"/>
        <v>-895.87064706723163</v>
      </c>
      <c r="T7" s="656">
        <f t="shared" si="1"/>
        <v>123.72255052198433</v>
      </c>
      <c r="U7" s="656">
        <f t="shared" si="1"/>
        <v>2701.2925504229925</v>
      </c>
      <c r="V7" s="656">
        <f t="shared" si="1"/>
        <v>167.68446868289712</v>
      </c>
      <c r="W7" s="656">
        <f t="shared" si="1"/>
        <v>-29.252130973066301</v>
      </c>
      <c r="X7" s="656">
        <f t="shared" si="1"/>
        <v>195.36275312176252</v>
      </c>
      <c r="Y7" s="656">
        <f t="shared" si="1"/>
        <v>1.2096467108549098</v>
      </c>
      <c r="Z7" s="656">
        <f t="shared" si="1"/>
        <v>35.010884844467988</v>
      </c>
      <c r="AA7" s="657">
        <f t="shared" si="1"/>
        <v>4480.2572507256682</v>
      </c>
      <c r="AB7" s="657">
        <f t="shared" si="1"/>
        <v>1476.4875613547667</v>
      </c>
      <c r="AC7" s="655">
        <f t="shared" si="1"/>
        <v>59.691708987970003</v>
      </c>
      <c r="AD7" s="656">
        <f t="shared" si="1"/>
        <v>743.01992281532614</v>
      </c>
      <c r="AE7" s="656">
        <f t="shared" si="1"/>
        <v>272.70521046496276</v>
      </c>
      <c r="AF7" s="656">
        <f t="shared" si="1"/>
        <v>139.99992739520798</v>
      </c>
      <c r="AG7" s="656">
        <f t="shared" si="1"/>
        <v>33.531818868055431</v>
      </c>
      <c r="AH7" s="656">
        <f t="shared" si="1"/>
        <v>16.813132576534866</v>
      </c>
      <c r="AI7" s="656">
        <f t="shared" si="1"/>
        <v>124.01266332172798</v>
      </c>
      <c r="AJ7" s="656">
        <f t="shared" si="1"/>
        <v>27.929372998367999</v>
      </c>
      <c r="AK7" s="658">
        <f t="shared" si="1"/>
        <v>1.4323955643044282</v>
      </c>
      <c r="AL7" s="658">
        <f t="shared" si="1"/>
        <v>13.54608560366562</v>
      </c>
      <c r="AM7" s="655">
        <f t="shared" si="1"/>
        <v>43.805322758643676</v>
      </c>
      <c r="AN7" s="657">
        <f t="shared" si="1"/>
        <v>145.43710297949829</v>
      </c>
      <c r="AO7" s="657">
        <f t="shared" si="1"/>
        <v>-2.3847739799999772</v>
      </c>
      <c r="AP7" s="659">
        <f t="shared" si="1"/>
        <v>0</v>
      </c>
      <c r="AQ7" s="660">
        <f t="shared" si="0"/>
        <v>15019.754090618429</v>
      </c>
      <c r="AR7" s="3"/>
      <c r="AS7" s="5"/>
    </row>
    <row r="8" spans="1:45" s="6" customFormat="1" ht="12.75" customHeight="1" thickBot="1">
      <c r="A8" s="661" t="s">
        <v>128</v>
      </c>
      <c r="B8" s="662"/>
      <c r="C8" s="663">
        <f t="shared" ref="C8:AP8" si="2">C7-C27</f>
        <v>815.10230469829378</v>
      </c>
      <c r="D8" s="664">
        <f t="shared" si="2"/>
        <v>696.13465175193664</v>
      </c>
      <c r="E8" s="665">
        <f t="shared" si="2"/>
        <v>110.47930252567083</v>
      </c>
      <c r="F8" s="666">
        <f t="shared" si="2"/>
        <v>0</v>
      </c>
      <c r="G8" s="666">
        <f t="shared" si="2"/>
        <v>8.4883504206865013</v>
      </c>
      <c r="H8" s="667">
        <f t="shared" si="2"/>
        <v>685.95222908664709</v>
      </c>
      <c r="I8" s="664">
        <f t="shared" si="2"/>
        <v>551.68208308664714</v>
      </c>
      <c r="J8" s="665">
        <f t="shared" si="2"/>
        <v>127.70399999999999</v>
      </c>
      <c r="K8" s="665">
        <f t="shared" si="2"/>
        <v>6.5661460000000034</v>
      </c>
      <c r="L8" s="667">
        <f t="shared" si="2"/>
        <v>7187.3191310764705</v>
      </c>
      <c r="M8" s="664">
        <f t="shared" si="2"/>
        <v>3092.2052611591994</v>
      </c>
      <c r="N8" s="664">
        <f t="shared" si="2"/>
        <v>7.7582254992000017</v>
      </c>
      <c r="O8" s="665">
        <f t="shared" si="2"/>
        <v>0</v>
      </c>
      <c r="P8" s="665">
        <f t="shared" si="2"/>
        <v>190.00805737777765</v>
      </c>
      <c r="Q8" s="665">
        <f t="shared" si="2"/>
        <v>360.76611217919998</v>
      </c>
      <c r="R8" s="665">
        <f t="shared" si="2"/>
        <v>1469.0046832735197</v>
      </c>
      <c r="S8" s="665">
        <f t="shared" si="2"/>
        <v>-895.87064706723163</v>
      </c>
      <c r="T8" s="665">
        <f t="shared" si="2"/>
        <v>123.72255052198433</v>
      </c>
      <c r="U8" s="665">
        <f t="shared" si="2"/>
        <v>2701.2925504229925</v>
      </c>
      <c r="V8" s="665">
        <f t="shared" si="2"/>
        <v>167.68446868289712</v>
      </c>
      <c r="W8" s="666">
        <f t="shared" si="2"/>
        <v>-29.252130973066301</v>
      </c>
      <c r="X8" s="666">
        <f t="shared" si="2"/>
        <v>0</v>
      </c>
      <c r="Y8" s="666">
        <f t="shared" si="2"/>
        <v>0</v>
      </c>
      <c r="Z8" s="665">
        <f t="shared" si="2"/>
        <v>0</v>
      </c>
      <c r="AA8" s="667">
        <f t="shared" si="2"/>
        <v>4480.2572507256682</v>
      </c>
      <c r="AB8" s="668">
        <f t="shared" si="2"/>
        <v>1476.4875613547667</v>
      </c>
      <c r="AC8" s="664">
        <f t="shared" si="2"/>
        <v>59.691708987970003</v>
      </c>
      <c r="AD8" s="665">
        <f t="shared" si="2"/>
        <v>743.01992281532614</v>
      </c>
      <c r="AE8" s="665">
        <f t="shared" si="2"/>
        <v>272.70521046496276</v>
      </c>
      <c r="AF8" s="665">
        <f t="shared" si="2"/>
        <v>139.99992739520798</v>
      </c>
      <c r="AG8" s="665">
        <f t="shared" si="2"/>
        <v>33.531818868055431</v>
      </c>
      <c r="AH8" s="665">
        <f t="shared" si="2"/>
        <v>16.813132576534866</v>
      </c>
      <c r="AI8" s="665">
        <f t="shared" si="2"/>
        <v>124.01266332172798</v>
      </c>
      <c r="AJ8" s="665">
        <f t="shared" si="2"/>
        <v>27.929372998367999</v>
      </c>
      <c r="AK8" s="669">
        <f t="shared" si="2"/>
        <v>1.4323955643044282</v>
      </c>
      <c r="AL8" s="669">
        <f t="shared" si="2"/>
        <v>13.54608560366562</v>
      </c>
      <c r="AM8" s="664">
        <f t="shared" si="2"/>
        <v>43.805322758643676</v>
      </c>
      <c r="AN8" s="667">
        <f t="shared" si="2"/>
        <v>145.43710297949829</v>
      </c>
      <c r="AO8" s="667">
        <f t="shared" si="2"/>
        <v>-2.3847739799999772</v>
      </c>
      <c r="AP8" s="664">
        <f t="shared" si="2"/>
        <v>0</v>
      </c>
      <c r="AQ8" s="670">
        <f t="shared" si="0"/>
        <v>14788.170805941343</v>
      </c>
      <c r="AR8" s="3"/>
      <c r="AS8" s="5"/>
    </row>
    <row r="9" spans="1:45" s="6" customFormat="1" ht="12.75" customHeight="1">
      <c r="A9" s="652" t="s">
        <v>129</v>
      </c>
      <c r="B9" s="653"/>
      <c r="C9" s="654">
        <f t="shared" ref="C9:AP9" si="3">SUM(C10:C14)</f>
        <v>488.64939432989598</v>
      </c>
      <c r="D9" s="658">
        <f t="shared" si="3"/>
        <v>488.64939432989598</v>
      </c>
      <c r="E9" s="656">
        <f t="shared" si="3"/>
        <v>0</v>
      </c>
      <c r="F9" s="671">
        <f t="shared" si="3"/>
        <v>0</v>
      </c>
      <c r="G9" s="671">
        <f t="shared" si="3"/>
        <v>0</v>
      </c>
      <c r="H9" s="657">
        <f t="shared" si="3"/>
        <v>541.02658367795425</v>
      </c>
      <c r="I9" s="658">
        <f t="shared" si="3"/>
        <v>541.02658367795425</v>
      </c>
      <c r="J9" s="656">
        <f t="shared" si="3"/>
        <v>0</v>
      </c>
      <c r="K9" s="656">
        <f t="shared" si="3"/>
        <v>0</v>
      </c>
      <c r="L9" s="657">
        <f t="shared" si="3"/>
        <v>3165.7216476484605</v>
      </c>
      <c r="M9" s="656">
        <f t="shared" si="3"/>
        <v>3092.2052611591994</v>
      </c>
      <c r="N9" s="656">
        <f t="shared" ref="N9" si="4">SUM(N10:N14)</f>
        <v>38.786602361842682</v>
      </c>
      <c r="O9" s="656">
        <f t="shared" si="3"/>
        <v>0</v>
      </c>
      <c r="P9" s="656">
        <f t="shared" si="3"/>
        <v>0</v>
      </c>
      <c r="Q9" s="656">
        <f t="shared" si="3"/>
        <v>0</v>
      </c>
      <c r="R9" s="656">
        <f t="shared" si="3"/>
        <v>0</v>
      </c>
      <c r="S9" s="656">
        <f t="shared" si="3"/>
        <v>25.868327226603597</v>
      </c>
      <c r="T9" s="656">
        <f t="shared" si="3"/>
        <v>0.63499472294399995</v>
      </c>
      <c r="U9" s="656">
        <f t="shared" si="3"/>
        <v>8.2264621778709284</v>
      </c>
      <c r="V9" s="656">
        <f t="shared" si="3"/>
        <v>0</v>
      </c>
      <c r="W9" s="671">
        <f t="shared" si="3"/>
        <v>0</v>
      </c>
      <c r="X9" s="671">
        <f t="shared" si="3"/>
        <v>0</v>
      </c>
      <c r="Y9" s="671">
        <f t="shared" si="3"/>
        <v>0</v>
      </c>
      <c r="Z9" s="656">
        <f t="shared" si="3"/>
        <v>0</v>
      </c>
      <c r="AA9" s="657">
        <f t="shared" si="3"/>
        <v>2501.2994242635782</v>
      </c>
      <c r="AB9" s="655">
        <f t="shared" si="3"/>
        <v>215.90352917717644</v>
      </c>
      <c r="AC9" s="672">
        <f t="shared" si="3"/>
        <v>0</v>
      </c>
      <c r="AD9" s="656">
        <f t="shared" si="3"/>
        <v>0</v>
      </c>
      <c r="AE9" s="656">
        <f t="shared" si="3"/>
        <v>76.028615684916531</v>
      </c>
      <c r="AF9" s="656">
        <f t="shared" ref="AF9" si="5">SUM(AF10:AF14)</f>
        <v>99.30702317107577</v>
      </c>
      <c r="AG9" s="656">
        <f t="shared" si="3"/>
        <v>33.531818868055431</v>
      </c>
      <c r="AH9" s="656">
        <f t="shared" si="3"/>
        <v>7.0360714531287174</v>
      </c>
      <c r="AI9" s="656">
        <f t="shared" si="3"/>
        <v>0</v>
      </c>
      <c r="AJ9" s="656">
        <f t="shared" ref="AJ9" si="6">SUM(AJ10:AJ14)</f>
        <v>0</v>
      </c>
      <c r="AK9" s="658">
        <f t="shared" si="3"/>
        <v>0</v>
      </c>
      <c r="AL9" s="658">
        <f t="shared" ref="AL9" si="7">SUM(AL10:AL14)</f>
        <v>0</v>
      </c>
      <c r="AM9" s="671">
        <f t="shared" si="3"/>
        <v>0</v>
      </c>
      <c r="AN9" s="657">
        <f t="shared" si="3"/>
        <v>90.714163374524205</v>
      </c>
      <c r="AO9" s="657">
        <f t="shared" si="3"/>
        <v>54.38453208</v>
      </c>
      <c r="AP9" s="655">
        <f t="shared" si="3"/>
        <v>0</v>
      </c>
      <c r="AQ9" s="673">
        <f t="shared" si="0"/>
        <v>7057.699274551589</v>
      </c>
      <c r="AR9" s="3"/>
      <c r="AS9" s="5"/>
    </row>
    <row r="10" spans="1:45" s="3" customFormat="1" ht="12.75" customHeight="1">
      <c r="A10" s="674" t="s">
        <v>130</v>
      </c>
      <c r="B10" s="675"/>
      <c r="C10" s="676">
        <f>SUM(D10:G10)</f>
        <v>488.64939432989598</v>
      </c>
      <c r="D10" s="677">
        <v>488.64939432989598</v>
      </c>
      <c r="E10" s="678"/>
      <c r="F10" s="679"/>
      <c r="G10" s="679"/>
      <c r="H10" s="680">
        <f>SUM(I10:K10)</f>
        <v>467.10845991760607</v>
      </c>
      <c r="I10" s="677">
        <v>467.10845991760607</v>
      </c>
      <c r="J10" s="678">
        <v>0</v>
      </c>
      <c r="K10" s="678"/>
      <c r="L10" s="680">
        <f>SUM(M10:Z10)</f>
        <v>34.094789404474525</v>
      </c>
      <c r="M10" s="678"/>
      <c r="N10" s="678"/>
      <c r="O10" s="678"/>
      <c r="P10" s="678"/>
      <c r="Q10" s="678"/>
      <c r="R10" s="678"/>
      <c r="S10" s="678">
        <v>25.868327226603597</v>
      </c>
      <c r="T10" s="678"/>
      <c r="U10" s="678">
        <v>8.2264621778709284</v>
      </c>
      <c r="V10" s="678"/>
      <c r="W10" s="679"/>
      <c r="X10" s="679"/>
      <c r="Y10" s="679"/>
      <c r="Z10" s="678"/>
      <c r="AA10" s="680">
        <v>2187.6033883210698</v>
      </c>
      <c r="AB10" s="681">
        <f>SUM(AC10:AM10)</f>
        <v>205.30590173319058</v>
      </c>
      <c r="AC10" s="682"/>
      <c r="AD10" s="678"/>
      <c r="AE10" s="678">
        <v>72.467059694059387</v>
      </c>
      <c r="AF10" s="678">
        <v>99.30702317107577</v>
      </c>
      <c r="AG10" s="678">
        <v>33.531818868055431</v>
      </c>
      <c r="AH10" s="678"/>
      <c r="AI10" s="678"/>
      <c r="AJ10" s="678"/>
      <c r="AK10" s="677"/>
      <c r="AL10" s="677"/>
      <c r="AM10" s="679"/>
      <c r="AN10" s="683">
        <v>90.714163374524205</v>
      </c>
      <c r="AO10" s="680"/>
      <c r="AP10" s="681"/>
      <c r="AQ10" s="684">
        <f t="shared" si="0"/>
        <v>3473.4760970807611</v>
      </c>
      <c r="AS10" s="4"/>
    </row>
    <row r="11" spans="1:45" s="3" customFormat="1" ht="12.75" customHeight="1">
      <c r="A11" s="627" t="s">
        <v>131</v>
      </c>
      <c r="B11" s="628"/>
      <c r="C11" s="629">
        <f>SUM(D11:G11)</f>
        <v>0</v>
      </c>
      <c r="D11" s="634">
        <v>0</v>
      </c>
      <c r="E11" s="635"/>
      <c r="F11" s="632"/>
      <c r="G11" s="632"/>
      <c r="H11" s="633">
        <f>SUM(I11:K11)</f>
        <v>5.8425469182429177</v>
      </c>
      <c r="I11" s="634">
        <v>5.8425469182429177</v>
      </c>
      <c r="J11" s="635"/>
      <c r="K11" s="635"/>
      <c r="L11" s="633">
        <f>SUM(M11:Z11)</f>
        <v>0.63499472294399995</v>
      </c>
      <c r="M11" s="635"/>
      <c r="N11" s="685"/>
      <c r="O11" s="685">
        <v>0</v>
      </c>
      <c r="P11" s="635"/>
      <c r="Q11" s="635"/>
      <c r="R11" s="635"/>
      <c r="S11" s="635">
        <v>0</v>
      </c>
      <c r="T11" s="635">
        <v>0.63499472294399995</v>
      </c>
      <c r="U11" s="635">
        <v>0</v>
      </c>
      <c r="V11" s="635"/>
      <c r="W11" s="632"/>
      <c r="X11" s="632"/>
      <c r="Y11" s="632"/>
      <c r="Z11" s="635"/>
      <c r="AA11" s="633">
        <v>272.96145103491432</v>
      </c>
      <c r="AB11" s="636">
        <f>SUM(AC11:AM11)</f>
        <v>10.597627443985861</v>
      </c>
      <c r="AC11" s="637"/>
      <c r="AD11" s="635"/>
      <c r="AE11" s="635">
        <v>3.5615559908571428</v>
      </c>
      <c r="AF11" s="635"/>
      <c r="AG11" s="635"/>
      <c r="AH11" s="635">
        <v>7.0360714531287174</v>
      </c>
      <c r="AI11" s="635"/>
      <c r="AJ11" s="635"/>
      <c r="AK11" s="634"/>
      <c r="AL11" s="634"/>
      <c r="AM11" s="632"/>
      <c r="AN11" s="638"/>
      <c r="AO11" s="638"/>
      <c r="AP11" s="636"/>
      <c r="AQ11" s="639">
        <f t="shared" si="0"/>
        <v>290.03662012008709</v>
      </c>
      <c r="AS11" s="4"/>
    </row>
    <row r="12" spans="1:45" s="3" customFormat="1" ht="12.75" customHeight="1">
      <c r="A12" s="627" t="s">
        <v>132</v>
      </c>
      <c r="B12" s="628"/>
      <c r="C12" s="629"/>
      <c r="D12" s="634"/>
      <c r="E12" s="635"/>
      <c r="F12" s="632"/>
      <c r="G12" s="632"/>
      <c r="H12" s="633"/>
      <c r="I12" s="634"/>
      <c r="J12" s="635"/>
      <c r="K12" s="635"/>
      <c r="L12" s="633"/>
      <c r="M12" s="635"/>
      <c r="N12" s="685"/>
      <c r="O12" s="685"/>
      <c r="P12" s="635"/>
      <c r="Q12" s="635"/>
      <c r="R12" s="635"/>
      <c r="S12" s="635"/>
      <c r="T12" s="635"/>
      <c r="U12" s="635"/>
      <c r="V12" s="635"/>
      <c r="W12" s="632"/>
      <c r="X12" s="632"/>
      <c r="Y12" s="632"/>
      <c r="Z12" s="635"/>
      <c r="AA12" s="633"/>
      <c r="AB12" s="636"/>
      <c r="AC12" s="637"/>
      <c r="AD12" s="635"/>
      <c r="AE12" s="635"/>
      <c r="AF12" s="635"/>
      <c r="AG12" s="635"/>
      <c r="AH12" s="635"/>
      <c r="AI12" s="635"/>
      <c r="AJ12" s="635"/>
      <c r="AK12" s="634"/>
      <c r="AL12" s="634"/>
      <c r="AM12" s="632"/>
      <c r="AN12" s="638"/>
      <c r="AO12" s="638">
        <v>42.942060079999997</v>
      </c>
      <c r="AP12" s="636"/>
      <c r="AQ12" s="639">
        <f t="shared" si="0"/>
        <v>42.942060079999997</v>
      </c>
      <c r="AS12" s="4"/>
    </row>
    <row r="13" spans="1:45" s="3" customFormat="1" ht="12.75" customHeight="1">
      <c r="A13" s="627" t="s">
        <v>133</v>
      </c>
      <c r="B13" s="628"/>
      <c r="C13" s="629">
        <f>SUM(D13:G13)</f>
        <v>0</v>
      </c>
      <c r="D13" s="634"/>
      <c r="E13" s="632"/>
      <c r="F13" s="632"/>
      <c r="G13" s="632"/>
      <c r="H13" s="633">
        <f>SUM(I13:K13)</f>
        <v>68.075576842105264</v>
      </c>
      <c r="I13" s="634">
        <v>68.075576842105264</v>
      </c>
      <c r="J13" s="635"/>
      <c r="K13" s="635"/>
      <c r="L13" s="633">
        <f>SUM(M13:Z13)</f>
        <v>0</v>
      </c>
      <c r="M13" s="635"/>
      <c r="N13" s="635"/>
      <c r="O13" s="635"/>
      <c r="P13" s="635"/>
      <c r="Q13" s="635"/>
      <c r="R13" s="635"/>
      <c r="S13" s="635"/>
      <c r="T13" s="635"/>
      <c r="U13" s="635"/>
      <c r="V13" s="635"/>
      <c r="W13" s="632"/>
      <c r="X13" s="632"/>
      <c r="Y13" s="632"/>
      <c r="Z13" s="635"/>
      <c r="AA13" s="633"/>
      <c r="AB13" s="636">
        <f>SUM(AC13:AM13)</f>
        <v>0</v>
      </c>
      <c r="AC13" s="637"/>
      <c r="AD13" s="635"/>
      <c r="AE13" s="635"/>
      <c r="AF13" s="635"/>
      <c r="AG13" s="635"/>
      <c r="AH13" s="635"/>
      <c r="AI13" s="635"/>
      <c r="AJ13" s="635"/>
      <c r="AK13" s="634"/>
      <c r="AL13" s="634"/>
      <c r="AM13" s="632"/>
      <c r="AN13" s="638"/>
      <c r="AO13" s="638"/>
      <c r="AP13" s="636"/>
      <c r="AQ13" s="639">
        <f t="shared" si="0"/>
        <v>68.075576842105264</v>
      </c>
      <c r="AS13" s="4"/>
    </row>
    <row r="14" spans="1:45" s="3" customFormat="1" ht="12.75" customHeight="1">
      <c r="A14" s="686" t="s">
        <v>134</v>
      </c>
      <c r="B14" s="687"/>
      <c r="C14" s="688">
        <f>SUM(D14:G14)</f>
        <v>0</v>
      </c>
      <c r="D14" s="689"/>
      <c r="E14" s="690"/>
      <c r="F14" s="691"/>
      <c r="G14" s="691"/>
      <c r="H14" s="692">
        <f>SUM(I14:K14)</f>
        <v>0</v>
      </c>
      <c r="I14" s="689"/>
      <c r="J14" s="690"/>
      <c r="K14" s="690"/>
      <c r="L14" s="692">
        <f>SUM(M14:Z14)</f>
        <v>3130.991863521042</v>
      </c>
      <c r="M14" s="690">
        <v>3092.2052611591994</v>
      </c>
      <c r="N14" s="690">
        <v>38.786602361842682</v>
      </c>
      <c r="O14" s="690"/>
      <c r="P14" s="690"/>
      <c r="Q14" s="690"/>
      <c r="R14" s="690"/>
      <c r="S14" s="690"/>
      <c r="T14" s="690"/>
      <c r="U14" s="690"/>
      <c r="V14" s="690"/>
      <c r="W14" s="691"/>
      <c r="X14" s="691"/>
      <c r="Y14" s="691"/>
      <c r="Z14" s="690"/>
      <c r="AA14" s="692">
        <v>40.734584907594211</v>
      </c>
      <c r="AB14" s="693">
        <f>SUM(AC14:AM14)</f>
        <v>0</v>
      </c>
      <c r="AC14" s="694"/>
      <c r="AD14" s="690"/>
      <c r="AE14" s="690"/>
      <c r="AF14" s="690"/>
      <c r="AG14" s="690"/>
      <c r="AH14" s="690"/>
      <c r="AI14" s="690"/>
      <c r="AJ14" s="690"/>
      <c r="AK14" s="689"/>
      <c r="AL14" s="689"/>
      <c r="AM14" s="691"/>
      <c r="AN14" s="695"/>
      <c r="AO14" s="695">
        <v>11.442471999999999</v>
      </c>
      <c r="AP14" s="693"/>
      <c r="AQ14" s="696">
        <f t="shared" si="0"/>
        <v>3183.1689204286363</v>
      </c>
      <c r="AS14" s="4"/>
    </row>
    <row r="15" spans="1:45" s="6" customFormat="1" ht="12.75" customHeight="1">
      <c r="A15" s="697" t="s">
        <v>135</v>
      </c>
      <c r="B15" s="698"/>
      <c r="C15" s="699">
        <f t="shared" ref="C15:AP15" si="8">SUM(C16:C20)</f>
        <v>0</v>
      </c>
      <c r="D15" s="700">
        <f t="shared" si="8"/>
        <v>0</v>
      </c>
      <c r="E15" s="701">
        <f t="shared" si="8"/>
        <v>0</v>
      </c>
      <c r="F15" s="702">
        <f t="shared" si="8"/>
        <v>0</v>
      </c>
      <c r="G15" s="702">
        <f t="shared" si="8"/>
        <v>0</v>
      </c>
      <c r="H15" s="703">
        <f t="shared" si="8"/>
        <v>64.671797999999995</v>
      </c>
      <c r="I15" s="700">
        <f t="shared" si="8"/>
        <v>0</v>
      </c>
      <c r="J15" s="701">
        <f t="shared" si="8"/>
        <v>0</v>
      </c>
      <c r="K15" s="701">
        <f t="shared" si="8"/>
        <v>64.671797999999995</v>
      </c>
      <c r="L15" s="703">
        <f t="shared" si="8"/>
        <v>3166.7858692089685</v>
      </c>
      <c r="M15" s="701">
        <f t="shared" si="8"/>
        <v>0</v>
      </c>
      <c r="N15" s="701">
        <f t="shared" si="8"/>
        <v>0</v>
      </c>
      <c r="O15" s="701">
        <f t="shared" si="8"/>
        <v>90.017983923640699</v>
      </c>
      <c r="P15" s="701">
        <f t="shared" si="8"/>
        <v>640.53679657777786</v>
      </c>
      <c r="Q15" s="701">
        <f t="shared" si="8"/>
        <v>226.77459106847999</v>
      </c>
      <c r="R15" s="701">
        <f t="shared" si="8"/>
        <v>0</v>
      </c>
      <c r="S15" s="701">
        <f t="shared" si="8"/>
        <v>960.95017928079096</v>
      </c>
      <c r="T15" s="701">
        <f t="shared" si="8"/>
        <v>64.797462901984332</v>
      </c>
      <c r="U15" s="701">
        <f t="shared" si="8"/>
        <v>1146.9502117491124</v>
      </c>
      <c r="V15" s="701">
        <f t="shared" si="8"/>
        <v>0</v>
      </c>
      <c r="W15" s="702">
        <f t="shared" si="8"/>
        <v>36.758643707182323</v>
      </c>
      <c r="X15" s="702">
        <f t="shared" si="8"/>
        <v>0</v>
      </c>
      <c r="Y15" s="702">
        <f t="shared" si="8"/>
        <v>0</v>
      </c>
      <c r="Z15" s="701">
        <f t="shared" si="8"/>
        <v>0</v>
      </c>
      <c r="AA15" s="703">
        <f t="shared" si="8"/>
        <v>0</v>
      </c>
      <c r="AB15" s="704">
        <f t="shared" si="8"/>
        <v>0</v>
      </c>
      <c r="AC15" s="705">
        <f t="shared" si="8"/>
        <v>0</v>
      </c>
      <c r="AD15" s="701">
        <f t="shared" si="8"/>
        <v>0</v>
      </c>
      <c r="AE15" s="701">
        <f t="shared" si="8"/>
        <v>0</v>
      </c>
      <c r="AF15" s="701">
        <f t="shared" si="8"/>
        <v>0</v>
      </c>
      <c r="AG15" s="706">
        <f t="shared" si="8"/>
        <v>0</v>
      </c>
      <c r="AH15" s="706">
        <f t="shared" si="8"/>
        <v>0</v>
      </c>
      <c r="AI15" s="706">
        <f t="shared" si="8"/>
        <v>0</v>
      </c>
      <c r="AJ15" s="706">
        <f t="shared" si="8"/>
        <v>0</v>
      </c>
      <c r="AK15" s="700">
        <f t="shared" si="8"/>
        <v>0</v>
      </c>
      <c r="AL15" s="700">
        <f t="shared" si="8"/>
        <v>0</v>
      </c>
      <c r="AM15" s="702">
        <f t="shared" si="8"/>
        <v>0</v>
      </c>
      <c r="AN15" s="703">
        <f t="shared" si="8"/>
        <v>0</v>
      </c>
      <c r="AO15" s="703">
        <f t="shared" si="8"/>
        <v>1873.361490524092</v>
      </c>
      <c r="AP15" s="704">
        <f t="shared" si="8"/>
        <v>0</v>
      </c>
      <c r="AQ15" s="707">
        <f t="shared" si="0"/>
        <v>5104.8191577330599</v>
      </c>
      <c r="AR15" s="3"/>
      <c r="AS15" s="5"/>
    </row>
    <row r="16" spans="1:45" s="8" customFormat="1" ht="12.75" customHeight="1">
      <c r="A16" s="674" t="s">
        <v>130</v>
      </c>
      <c r="B16" s="675"/>
      <c r="C16" s="676">
        <f>SUM(D16:G16)</f>
        <v>0</v>
      </c>
      <c r="D16" s="677"/>
      <c r="E16" s="678"/>
      <c r="F16" s="679"/>
      <c r="G16" s="679"/>
      <c r="H16" s="680">
        <f>SUM(I16:K16)</f>
        <v>0</v>
      </c>
      <c r="I16" s="677"/>
      <c r="J16" s="678"/>
      <c r="K16" s="678"/>
      <c r="L16" s="680">
        <f>SUM(M16:Z16)</f>
        <v>0</v>
      </c>
      <c r="M16" s="678"/>
      <c r="N16" s="678"/>
      <c r="O16" s="678"/>
      <c r="P16" s="678"/>
      <c r="Q16" s="678"/>
      <c r="R16" s="678"/>
      <c r="S16" s="678"/>
      <c r="T16" s="678"/>
      <c r="U16" s="678"/>
      <c r="V16" s="678"/>
      <c r="W16" s="679"/>
      <c r="X16" s="679"/>
      <c r="Y16" s="679"/>
      <c r="Z16" s="678"/>
      <c r="AA16" s="680"/>
      <c r="AB16" s="681">
        <f>SUM(AC16:AL16)</f>
        <v>0</v>
      </c>
      <c r="AC16" s="682"/>
      <c r="AD16" s="678"/>
      <c r="AE16" s="678"/>
      <c r="AF16" s="678"/>
      <c r="AG16" s="685"/>
      <c r="AH16" s="685"/>
      <c r="AI16" s="685"/>
      <c r="AJ16" s="685"/>
      <c r="AK16" s="677"/>
      <c r="AL16" s="677"/>
      <c r="AM16" s="679"/>
      <c r="AN16" s="683"/>
      <c r="AO16" s="683">
        <v>1667.7865923774164</v>
      </c>
      <c r="AP16" s="681"/>
      <c r="AQ16" s="708">
        <f>C16+H16+L16+AA16+AO16+AP16</f>
        <v>1667.7865923774164</v>
      </c>
      <c r="AR16" s="3"/>
      <c r="AS16" s="7"/>
    </row>
    <row r="17" spans="1:45" s="8" customFormat="1" ht="12.75" customHeight="1">
      <c r="A17" s="627" t="s">
        <v>131</v>
      </c>
      <c r="B17" s="628"/>
      <c r="C17" s="629">
        <f>SUM(D17:G17)</f>
        <v>0</v>
      </c>
      <c r="D17" s="634"/>
      <c r="E17" s="635"/>
      <c r="F17" s="632"/>
      <c r="G17" s="632"/>
      <c r="H17" s="633">
        <f>SUM(I17:K17)</f>
        <v>0</v>
      </c>
      <c r="I17" s="634"/>
      <c r="J17" s="635"/>
      <c r="K17" s="635"/>
      <c r="L17" s="633">
        <f>SUM(M17:Z17)</f>
        <v>0</v>
      </c>
      <c r="M17" s="635"/>
      <c r="N17" s="635"/>
      <c r="O17" s="635"/>
      <c r="P17" s="635"/>
      <c r="Q17" s="635"/>
      <c r="R17" s="635"/>
      <c r="S17" s="635"/>
      <c r="T17" s="635"/>
      <c r="U17" s="635"/>
      <c r="V17" s="635"/>
      <c r="W17" s="632"/>
      <c r="X17" s="632"/>
      <c r="Y17" s="632"/>
      <c r="Z17" s="635"/>
      <c r="AA17" s="633"/>
      <c r="AB17" s="636">
        <f>SUM(AC17:AL17)</f>
        <v>0</v>
      </c>
      <c r="AC17" s="637"/>
      <c r="AD17" s="635"/>
      <c r="AE17" s="635"/>
      <c r="AF17" s="635"/>
      <c r="AG17" s="635"/>
      <c r="AH17" s="635"/>
      <c r="AI17" s="635"/>
      <c r="AJ17" s="635"/>
      <c r="AK17" s="634"/>
      <c r="AL17" s="634"/>
      <c r="AM17" s="632"/>
      <c r="AN17" s="638"/>
      <c r="AO17" s="709">
        <v>185.14395873624346</v>
      </c>
      <c r="AP17" s="636"/>
      <c r="AQ17" s="639">
        <f>C17+H17+L17+AA17+AO17+AP17</f>
        <v>185.14395873624346</v>
      </c>
      <c r="AR17" s="3"/>
      <c r="AS17" s="7"/>
    </row>
    <row r="18" spans="1:45" s="8" customFormat="1" ht="12.75" customHeight="1">
      <c r="A18" s="627" t="s">
        <v>136</v>
      </c>
      <c r="B18" s="628"/>
      <c r="C18" s="629"/>
      <c r="D18" s="634"/>
      <c r="E18" s="635"/>
      <c r="F18" s="632"/>
      <c r="G18" s="632"/>
      <c r="H18" s="633"/>
      <c r="I18" s="634"/>
      <c r="J18" s="635"/>
      <c r="K18" s="635"/>
      <c r="L18" s="633"/>
      <c r="M18" s="635"/>
      <c r="N18" s="635"/>
      <c r="O18" s="635"/>
      <c r="P18" s="635"/>
      <c r="Q18" s="635"/>
      <c r="R18" s="635"/>
      <c r="S18" s="635"/>
      <c r="T18" s="635"/>
      <c r="U18" s="635"/>
      <c r="V18" s="635"/>
      <c r="W18" s="632"/>
      <c r="X18" s="632"/>
      <c r="Y18" s="632"/>
      <c r="Z18" s="635"/>
      <c r="AA18" s="633"/>
      <c r="AB18" s="636"/>
      <c r="AC18" s="637"/>
      <c r="AD18" s="635"/>
      <c r="AE18" s="635"/>
      <c r="AF18" s="635"/>
      <c r="AG18" s="635"/>
      <c r="AH18" s="635"/>
      <c r="AI18" s="635"/>
      <c r="AJ18" s="635"/>
      <c r="AK18" s="634"/>
      <c r="AL18" s="634"/>
      <c r="AM18" s="632"/>
      <c r="AN18" s="638"/>
      <c r="AO18" s="638">
        <v>20.430939410432</v>
      </c>
      <c r="AP18" s="636"/>
      <c r="AQ18" s="639">
        <f t="shared" si="0"/>
        <v>20.430939410432</v>
      </c>
      <c r="AR18" s="3"/>
      <c r="AS18" s="7"/>
    </row>
    <row r="19" spans="1:45" s="8" customFormat="1" ht="12.75" customHeight="1">
      <c r="A19" s="627" t="s">
        <v>133</v>
      </c>
      <c r="B19" s="628"/>
      <c r="C19" s="629"/>
      <c r="D19" s="94"/>
      <c r="E19" s="635"/>
      <c r="F19" s="632"/>
      <c r="G19" s="632"/>
      <c r="H19" s="633">
        <f>SUM(I19:K19)</f>
        <v>64.671797999999995</v>
      </c>
      <c r="I19" s="634"/>
      <c r="J19" s="635"/>
      <c r="K19" s="635">
        <v>64.671797999999995</v>
      </c>
      <c r="L19" s="633">
        <f>SUM(M19:Z19)</f>
        <v>0</v>
      </c>
      <c r="M19" s="635"/>
      <c r="N19" s="635"/>
      <c r="O19" s="635"/>
      <c r="P19" s="635"/>
      <c r="Q19" s="635"/>
      <c r="R19" s="635"/>
      <c r="S19" s="635"/>
      <c r="T19" s="635"/>
      <c r="U19" s="635"/>
      <c r="V19" s="635"/>
      <c r="W19" s="632"/>
      <c r="X19" s="632"/>
      <c r="Y19" s="632"/>
      <c r="Z19" s="635"/>
      <c r="AA19" s="633"/>
      <c r="AB19" s="636">
        <f>SUM(AC19:AL19)</f>
        <v>0</v>
      </c>
      <c r="AC19" s="637"/>
      <c r="AD19" s="635"/>
      <c r="AE19" s="635"/>
      <c r="AF19" s="635"/>
      <c r="AG19" s="635"/>
      <c r="AH19" s="635"/>
      <c r="AI19" s="635"/>
      <c r="AJ19" s="635"/>
      <c r="AK19" s="634"/>
      <c r="AL19" s="634"/>
      <c r="AM19" s="632"/>
      <c r="AN19" s="638"/>
      <c r="AO19" s="638"/>
      <c r="AP19" s="636"/>
      <c r="AQ19" s="639">
        <f t="shared" si="0"/>
        <v>64.671797999999995</v>
      </c>
      <c r="AR19" s="3"/>
      <c r="AS19" s="7"/>
    </row>
    <row r="20" spans="1:45" s="8" customFormat="1" ht="12.75" customHeight="1">
      <c r="A20" s="686" t="s">
        <v>137</v>
      </c>
      <c r="B20" s="687"/>
      <c r="C20" s="688"/>
      <c r="D20" s="689"/>
      <c r="E20" s="690"/>
      <c r="F20" s="691"/>
      <c r="G20" s="691"/>
      <c r="H20" s="692">
        <f>SUM(I20:K20)</f>
        <v>0</v>
      </c>
      <c r="I20" s="689"/>
      <c r="J20" s="690"/>
      <c r="K20" s="690"/>
      <c r="L20" s="692">
        <f>SUM(M20:Z20)</f>
        <v>3166.7858692089685</v>
      </c>
      <c r="M20" s="690"/>
      <c r="N20" s="690"/>
      <c r="O20" s="690">
        <v>90.017983923640699</v>
      </c>
      <c r="P20" s="690">
        <v>640.53679657777786</v>
      </c>
      <c r="Q20" s="690">
        <v>226.77459106847999</v>
      </c>
      <c r="R20" s="690">
        <v>0</v>
      </c>
      <c r="S20" s="690">
        <v>960.95017928079096</v>
      </c>
      <c r="T20" s="690">
        <v>64.797462901984332</v>
      </c>
      <c r="U20" s="690">
        <v>1146.9502117491124</v>
      </c>
      <c r="V20" s="690"/>
      <c r="W20" s="691">
        <v>36.758643707182323</v>
      </c>
      <c r="X20" s="691"/>
      <c r="Y20" s="691"/>
      <c r="Z20" s="690"/>
      <c r="AA20" s="692"/>
      <c r="AB20" s="693">
        <f>SUM(AC20:AL20)</f>
        <v>0</v>
      </c>
      <c r="AC20" s="694"/>
      <c r="AD20" s="690"/>
      <c r="AE20" s="690"/>
      <c r="AF20" s="690"/>
      <c r="AG20" s="690"/>
      <c r="AH20" s="690"/>
      <c r="AI20" s="690"/>
      <c r="AJ20" s="690"/>
      <c r="AK20" s="689"/>
      <c r="AL20" s="689"/>
      <c r="AM20" s="691"/>
      <c r="AN20" s="695"/>
      <c r="AO20" s="695"/>
      <c r="AP20" s="693"/>
      <c r="AQ20" s="696">
        <f t="shared" si="0"/>
        <v>3166.7858692089685</v>
      </c>
      <c r="AR20" s="3"/>
      <c r="AS20" s="7"/>
    </row>
    <row r="21" spans="1:45" s="8" customFormat="1" ht="12.75" customHeight="1">
      <c r="A21" s="710" t="s">
        <v>138</v>
      </c>
      <c r="B21" s="711"/>
      <c r="C21" s="712">
        <f>SUM(C22:C24)</f>
        <v>22.240061570656763</v>
      </c>
      <c r="D21" s="713">
        <f>SUM(D22:D24)</f>
        <v>-17.141361188350004</v>
      </c>
      <c r="E21" s="714">
        <f>SUM(E22:E24)</f>
        <v>39.381422759006767</v>
      </c>
      <c r="F21" s="715">
        <f>SUM(F22:F24)</f>
        <v>0</v>
      </c>
      <c r="G21" s="715">
        <f>SUM(G22:G24)</f>
        <v>0</v>
      </c>
      <c r="H21" s="716">
        <f>SUM(I21:K21)</f>
        <v>0</v>
      </c>
      <c r="I21" s="713">
        <f>SUM(I22:I24)</f>
        <v>0</v>
      </c>
      <c r="J21" s="714">
        <f>SUM(J22:J24)</f>
        <v>0</v>
      </c>
      <c r="K21" s="714">
        <f>SUM(K22:K24)</f>
        <v>0</v>
      </c>
      <c r="L21" s="716">
        <f>SUM(M21:Z21)</f>
        <v>-24.953759699422424</v>
      </c>
      <c r="M21" s="714">
        <f t="shared" ref="M21:AQ21" si="9">SUM(M22:M24)</f>
        <v>0</v>
      </c>
      <c r="N21" s="714">
        <f t="shared" si="9"/>
        <v>30.880435114089789</v>
      </c>
      <c r="O21" s="714">
        <f t="shared" si="9"/>
        <v>0</v>
      </c>
      <c r="P21" s="714">
        <f t="shared" si="9"/>
        <v>-31.080771455555681</v>
      </c>
      <c r="Q21" s="714">
        <f t="shared" si="9"/>
        <v>374.46366644960005</v>
      </c>
      <c r="R21" s="714">
        <f t="shared" si="9"/>
        <v>-373.64776418279996</v>
      </c>
      <c r="S21" s="714">
        <f t="shared" si="9"/>
        <v>0</v>
      </c>
      <c r="T21" s="714">
        <f t="shared" si="9"/>
        <v>0</v>
      </c>
      <c r="U21" s="714">
        <f t="shared" si="9"/>
        <v>-3.3292640540998377</v>
      </c>
      <c r="V21" s="714">
        <f t="shared" si="9"/>
        <v>-22.240061570656767</v>
      </c>
      <c r="W21" s="715">
        <f t="shared" si="9"/>
        <v>0</v>
      </c>
      <c r="X21" s="715">
        <f t="shared" si="9"/>
        <v>0</v>
      </c>
      <c r="Y21" s="715">
        <f t="shared" si="9"/>
        <v>0</v>
      </c>
      <c r="Z21" s="714">
        <f t="shared" si="9"/>
        <v>0</v>
      </c>
      <c r="AA21" s="716">
        <f t="shared" si="9"/>
        <v>0</v>
      </c>
      <c r="AB21" s="717">
        <f t="shared" si="9"/>
        <v>-804.14402736760053</v>
      </c>
      <c r="AC21" s="718">
        <f t="shared" si="9"/>
        <v>-59.691708987970003</v>
      </c>
      <c r="AD21" s="714">
        <f t="shared" si="9"/>
        <v>-743.01992281532614</v>
      </c>
      <c r="AE21" s="714">
        <f t="shared" si="9"/>
        <v>0</v>
      </c>
      <c r="AF21" s="714">
        <f t="shared" si="9"/>
        <v>0</v>
      </c>
      <c r="AG21" s="719">
        <f t="shared" si="9"/>
        <v>0</v>
      </c>
      <c r="AH21" s="719">
        <f t="shared" si="9"/>
        <v>0</v>
      </c>
      <c r="AI21" s="719">
        <f t="shared" si="9"/>
        <v>0</v>
      </c>
      <c r="AJ21" s="719">
        <f t="shared" si="9"/>
        <v>0</v>
      </c>
      <c r="AK21" s="713">
        <f t="shared" si="9"/>
        <v>-1.4323955643044282</v>
      </c>
      <c r="AL21" s="719">
        <f t="shared" si="9"/>
        <v>0</v>
      </c>
      <c r="AM21" s="715">
        <f t="shared" si="9"/>
        <v>0</v>
      </c>
      <c r="AN21" s="720">
        <f t="shared" si="9"/>
        <v>0</v>
      </c>
      <c r="AO21" s="716">
        <f t="shared" si="9"/>
        <v>804.14402736760053</v>
      </c>
      <c r="AP21" s="717">
        <f t="shared" si="9"/>
        <v>0</v>
      </c>
      <c r="AQ21" s="721">
        <f t="shared" si="9"/>
        <v>-2.7136981287656603</v>
      </c>
      <c r="AR21" s="3"/>
      <c r="AS21" s="7"/>
    </row>
    <row r="22" spans="1:45" s="8" customFormat="1" ht="12.75" customHeight="1">
      <c r="A22" s="674" t="s">
        <v>139</v>
      </c>
      <c r="B22" s="675"/>
      <c r="C22" s="722"/>
      <c r="D22" s="723"/>
      <c r="E22" s="724"/>
      <c r="F22" s="679"/>
      <c r="G22" s="679"/>
      <c r="H22" s="680"/>
      <c r="I22" s="725"/>
      <c r="J22" s="678"/>
      <c r="K22" s="678"/>
      <c r="L22" s="680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9"/>
      <c r="X22" s="679"/>
      <c r="Y22" s="679"/>
      <c r="Z22" s="678"/>
      <c r="AA22" s="680"/>
      <c r="AB22" s="681">
        <f>SUM(AC22:AM22)</f>
        <v>-804.14402736760053</v>
      </c>
      <c r="AC22" s="682">
        <f>-AC2</f>
        <v>-59.691708987970003</v>
      </c>
      <c r="AD22" s="678">
        <f>-AD2</f>
        <v>-743.01992281532614</v>
      </c>
      <c r="AE22" s="678"/>
      <c r="AF22" s="678"/>
      <c r="AG22" s="685"/>
      <c r="AH22" s="685"/>
      <c r="AI22" s="685"/>
      <c r="AJ22" s="685"/>
      <c r="AK22" s="677">
        <v>-1.4323955643044282</v>
      </c>
      <c r="AL22" s="685"/>
      <c r="AM22" s="679"/>
      <c r="AN22" s="683"/>
      <c r="AO22" s="680">
        <f>-(C22+H22+L22+AA22+AB22)</f>
        <v>804.14402736760053</v>
      </c>
      <c r="AP22" s="681"/>
      <c r="AQ22" s="708">
        <f>C22+H22+L22+AA22+AB22+AN22+AO22+AP22</f>
        <v>0</v>
      </c>
      <c r="AR22" s="3"/>
      <c r="AS22" s="7"/>
    </row>
    <row r="23" spans="1:45" s="8" customFormat="1" ht="12.75" customHeight="1">
      <c r="A23" s="726" t="s">
        <v>140</v>
      </c>
      <c r="B23" s="698"/>
      <c r="C23" s="727"/>
      <c r="D23" s="728"/>
      <c r="E23" s="701"/>
      <c r="F23" s="729"/>
      <c r="G23" s="729"/>
      <c r="H23" s="703"/>
      <c r="I23" s="730"/>
      <c r="J23" s="731"/>
      <c r="K23" s="731"/>
      <c r="L23" s="703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29"/>
      <c r="X23" s="729"/>
      <c r="Y23" s="729"/>
      <c r="Z23" s="731"/>
      <c r="AA23" s="703"/>
      <c r="AB23" s="704"/>
      <c r="AC23" s="732"/>
      <c r="AD23" s="731"/>
      <c r="AE23" s="731"/>
      <c r="AF23" s="731"/>
      <c r="AG23" s="731"/>
      <c r="AH23" s="731"/>
      <c r="AI23" s="731"/>
      <c r="AJ23" s="731"/>
      <c r="AK23" s="733"/>
      <c r="AL23" s="733"/>
      <c r="AM23" s="729"/>
      <c r="AN23" s="734"/>
      <c r="AO23" s="703"/>
      <c r="AP23" s="704"/>
      <c r="AQ23" s="735">
        <f>C23+H23+L23+AA23+AB23+AN23+AO23+AP23</f>
        <v>0</v>
      </c>
      <c r="AR23" s="3"/>
      <c r="AS23" s="7"/>
    </row>
    <row r="24" spans="1:45" s="8" customFormat="1" ht="12.75" customHeight="1" thickBot="1">
      <c r="A24" s="641" t="s">
        <v>141</v>
      </c>
      <c r="B24" s="642"/>
      <c r="C24" s="736">
        <f>SUM(D24:G24)</f>
        <v>22.240061570656763</v>
      </c>
      <c r="D24" s="737">
        <v>-17.141361188350004</v>
      </c>
      <c r="E24" s="649">
        <f>-D24-V24</f>
        <v>39.381422759006767</v>
      </c>
      <c r="F24" s="644"/>
      <c r="G24" s="644"/>
      <c r="H24" s="645"/>
      <c r="I24" s="738"/>
      <c r="J24" s="649"/>
      <c r="K24" s="649"/>
      <c r="L24" s="645">
        <f>SUM(N24:Z24)</f>
        <v>-24.953759699422424</v>
      </c>
      <c r="M24" s="649"/>
      <c r="N24" s="649">
        <v>30.880435114089789</v>
      </c>
      <c r="O24" s="649"/>
      <c r="P24" s="649">
        <v>-31.080771455555681</v>
      </c>
      <c r="Q24" s="649">
        <v>374.46366644960005</v>
      </c>
      <c r="R24" s="649">
        <v>-373.64776418279996</v>
      </c>
      <c r="S24" s="649">
        <v>0</v>
      </c>
      <c r="T24" s="649"/>
      <c r="U24" s="649">
        <v>-3.3292640540998377</v>
      </c>
      <c r="V24" s="644">
        <v>-22.240061570656767</v>
      </c>
      <c r="W24" s="644">
        <v>0</v>
      </c>
      <c r="X24" s="644"/>
      <c r="Y24" s="644"/>
      <c r="Z24" s="649"/>
      <c r="AA24" s="645"/>
      <c r="AB24" s="645">
        <f>SUM(AC24:AM24)</f>
        <v>0</v>
      </c>
      <c r="AC24" s="648"/>
      <c r="AD24" s="649"/>
      <c r="AE24" s="649"/>
      <c r="AF24" s="649"/>
      <c r="AG24" s="649"/>
      <c r="AH24" s="649"/>
      <c r="AI24" s="649"/>
      <c r="AJ24" s="649"/>
      <c r="AK24" s="646"/>
      <c r="AL24" s="646"/>
      <c r="AM24" s="644"/>
      <c r="AN24" s="650"/>
      <c r="AO24" s="645"/>
      <c r="AP24" s="647"/>
      <c r="AQ24" s="651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7" t="s">
        <v>142</v>
      </c>
      <c r="B25" s="698"/>
      <c r="C25" s="699">
        <f>SUM(D25:G25)</f>
        <v>0</v>
      </c>
      <c r="D25" s="700"/>
      <c r="E25" s="701"/>
      <c r="F25" s="729"/>
      <c r="G25" s="729"/>
      <c r="H25" s="703">
        <f>SUM(I25:K25)</f>
        <v>10.28324833984202</v>
      </c>
      <c r="I25" s="729">
        <v>10.28324833984202</v>
      </c>
      <c r="J25" s="731"/>
      <c r="K25" s="731"/>
      <c r="L25" s="703">
        <f>SUM(O25:Z25)</f>
        <v>98.284657617035819</v>
      </c>
      <c r="M25" s="731"/>
      <c r="N25" s="731"/>
      <c r="O25" s="731">
        <v>95.274692021714102</v>
      </c>
      <c r="P25" s="731"/>
      <c r="Q25" s="731"/>
      <c r="R25" s="731"/>
      <c r="S25" s="731">
        <v>0</v>
      </c>
      <c r="T25" s="731">
        <v>4.1693256233877908E-3</v>
      </c>
      <c r="U25" s="731">
        <v>3.0057962696983291</v>
      </c>
      <c r="V25" s="731"/>
      <c r="W25" s="729"/>
      <c r="X25" s="729"/>
      <c r="Y25" s="729"/>
      <c r="Z25" s="731"/>
      <c r="AA25" s="703">
        <v>57.528599543766255</v>
      </c>
      <c r="AB25" s="704">
        <f>SUM(AC25:AI25)</f>
        <v>0</v>
      </c>
      <c r="AC25" s="705"/>
      <c r="AD25" s="731"/>
      <c r="AE25" s="731"/>
      <c r="AF25" s="731"/>
      <c r="AG25" s="731"/>
      <c r="AH25" s="731"/>
      <c r="AI25" s="731"/>
      <c r="AJ25" s="731"/>
      <c r="AK25" s="733"/>
      <c r="AL25" s="733"/>
      <c r="AM25" s="729"/>
      <c r="AN25" s="734"/>
      <c r="AO25" s="703">
        <v>259.46681438260055</v>
      </c>
      <c r="AP25" s="704"/>
      <c r="AQ25" s="735">
        <f>C25+H25+L25+AA25+AB25+AN25+AO25+AP25</f>
        <v>425.56331988324462</v>
      </c>
      <c r="AR25" s="3"/>
      <c r="AS25" s="7"/>
    </row>
    <row r="26" spans="1:45" s="6" customFormat="1" ht="12.75" customHeight="1" thickBot="1">
      <c r="A26" s="739" t="s">
        <v>143</v>
      </c>
      <c r="B26" s="740"/>
      <c r="C26" s="741">
        <f t="shared" ref="C26:AP26" si="10">C7-C9+C15+C21-C25</f>
        <v>348.69297193905459</v>
      </c>
      <c r="D26" s="742">
        <f t="shared" si="10"/>
        <v>190.34389623369066</v>
      </c>
      <c r="E26" s="743">
        <f t="shared" si="10"/>
        <v>149.86072528467759</v>
      </c>
      <c r="F26" s="743">
        <f t="shared" si="10"/>
        <v>0</v>
      </c>
      <c r="G26" s="743">
        <f t="shared" si="10"/>
        <v>8.4883504206865013</v>
      </c>
      <c r="H26" s="744">
        <f t="shared" si="10"/>
        <v>199.31419506885081</v>
      </c>
      <c r="I26" s="742">
        <f t="shared" si="10"/>
        <v>0.37225106885087023</v>
      </c>
      <c r="J26" s="743">
        <f t="shared" si="10"/>
        <v>127.70399999999999</v>
      </c>
      <c r="K26" s="743">
        <f t="shared" si="10"/>
        <v>71.237943999999999</v>
      </c>
      <c r="L26" s="744">
        <f t="shared" si="10"/>
        <v>7296.7282199976062</v>
      </c>
      <c r="M26" s="743">
        <f t="shared" si="10"/>
        <v>0</v>
      </c>
      <c r="N26" s="743">
        <f t="shared" si="10"/>
        <v>-0.14794174855289199</v>
      </c>
      <c r="O26" s="743">
        <f t="shared" si="10"/>
        <v>-5.2567080980734033</v>
      </c>
      <c r="P26" s="743">
        <f t="shared" si="10"/>
        <v>799.46408249999979</v>
      </c>
      <c r="Q26" s="743">
        <f t="shared" si="10"/>
        <v>962.00436969728003</v>
      </c>
      <c r="R26" s="743">
        <f t="shared" si="10"/>
        <v>1095.3569190907197</v>
      </c>
      <c r="S26" s="743">
        <f t="shared" si="10"/>
        <v>39.21120498695575</v>
      </c>
      <c r="T26" s="743">
        <f t="shared" si="10"/>
        <v>187.88084937540125</v>
      </c>
      <c r="U26" s="743">
        <f t="shared" si="10"/>
        <v>3833.6812396704358</v>
      </c>
      <c r="V26" s="743">
        <f t="shared" si="10"/>
        <v>145.44440711224036</v>
      </c>
      <c r="W26" s="743">
        <f t="shared" si="10"/>
        <v>7.506512734116022</v>
      </c>
      <c r="X26" s="743">
        <f t="shared" si="10"/>
        <v>195.36275312176252</v>
      </c>
      <c r="Y26" s="743">
        <f t="shared" si="10"/>
        <v>1.2096467108549098</v>
      </c>
      <c r="Z26" s="743">
        <f t="shared" si="10"/>
        <v>35.010884844467988</v>
      </c>
      <c r="AA26" s="744">
        <f t="shared" si="10"/>
        <v>1921.4292269183238</v>
      </c>
      <c r="AB26" s="745">
        <f t="shared" si="10"/>
        <v>456.44000480998989</v>
      </c>
      <c r="AC26" s="672">
        <f t="shared" si="10"/>
        <v>0</v>
      </c>
      <c r="AD26" s="656">
        <f t="shared" si="10"/>
        <v>0</v>
      </c>
      <c r="AE26" s="656">
        <f t="shared" si="10"/>
        <v>196.67659478004623</v>
      </c>
      <c r="AF26" s="656">
        <f t="shared" si="10"/>
        <v>40.692904224132207</v>
      </c>
      <c r="AG26" s="656">
        <f t="shared" si="10"/>
        <v>0</v>
      </c>
      <c r="AH26" s="656">
        <f t="shared" si="10"/>
        <v>9.7770611234061491</v>
      </c>
      <c r="AI26" s="656">
        <f t="shared" si="10"/>
        <v>124.01266332172798</v>
      </c>
      <c r="AJ26" s="656">
        <f t="shared" si="10"/>
        <v>27.929372998367999</v>
      </c>
      <c r="AK26" s="658">
        <f t="shared" si="10"/>
        <v>0</v>
      </c>
      <c r="AL26" s="658">
        <f t="shared" si="10"/>
        <v>13.54608560366562</v>
      </c>
      <c r="AM26" s="746">
        <f t="shared" si="10"/>
        <v>43.805322758643676</v>
      </c>
      <c r="AN26" s="744">
        <f t="shared" si="10"/>
        <v>54.722939604974087</v>
      </c>
      <c r="AO26" s="744">
        <f t="shared" si="10"/>
        <v>2361.2693974490917</v>
      </c>
      <c r="AP26" s="745">
        <f t="shared" si="10"/>
        <v>0</v>
      </c>
      <c r="AQ26" s="747">
        <f>C26+H26+L26+AA26+AB26+AN26+AO26+AP26</f>
        <v>12638.596955787891</v>
      </c>
      <c r="AR26" s="3"/>
      <c r="AS26" s="5"/>
    </row>
    <row r="27" spans="1:45" s="6" customFormat="1" ht="12.75" customHeight="1">
      <c r="A27" s="652" t="s">
        <v>144</v>
      </c>
      <c r="B27" s="653"/>
      <c r="C27" s="654">
        <f t="shared" ref="C27:V27" si="11">C28</f>
        <v>0</v>
      </c>
      <c r="D27" s="658">
        <f t="shared" si="11"/>
        <v>0</v>
      </c>
      <c r="E27" s="656">
        <f t="shared" si="11"/>
        <v>0</v>
      </c>
      <c r="F27" s="671">
        <f t="shared" si="11"/>
        <v>0</v>
      </c>
      <c r="G27" s="671">
        <f t="shared" si="11"/>
        <v>0</v>
      </c>
      <c r="H27" s="657">
        <f t="shared" si="11"/>
        <v>0</v>
      </c>
      <c r="I27" s="658">
        <f t="shared" si="11"/>
        <v>0</v>
      </c>
      <c r="J27" s="656">
        <f t="shared" si="11"/>
        <v>0</v>
      </c>
      <c r="K27" s="656">
        <f t="shared" si="11"/>
        <v>0</v>
      </c>
      <c r="L27" s="657">
        <f t="shared" si="11"/>
        <v>231.58328467708543</v>
      </c>
      <c r="M27" s="656">
        <f t="shared" si="11"/>
        <v>0</v>
      </c>
      <c r="N27" s="656">
        <f t="shared" si="11"/>
        <v>0</v>
      </c>
      <c r="O27" s="656">
        <f t="shared" si="11"/>
        <v>0</v>
      </c>
      <c r="P27" s="656">
        <f t="shared" si="11"/>
        <v>0</v>
      </c>
      <c r="Q27" s="656">
        <f t="shared" si="11"/>
        <v>0</v>
      </c>
      <c r="R27" s="656">
        <f t="shared" si="11"/>
        <v>0</v>
      </c>
      <c r="S27" s="656">
        <f t="shared" si="11"/>
        <v>0</v>
      </c>
      <c r="T27" s="656">
        <f t="shared" si="11"/>
        <v>0</v>
      </c>
      <c r="U27" s="656">
        <f t="shared" si="11"/>
        <v>0</v>
      </c>
      <c r="V27" s="656">
        <f t="shared" si="11"/>
        <v>0</v>
      </c>
      <c r="W27" s="671"/>
      <c r="X27" s="671">
        <f t="shared" ref="X27:AQ27" si="12">X28</f>
        <v>195.36275312176252</v>
      </c>
      <c r="Y27" s="671">
        <f t="shared" si="12"/>
        <v>1.2096467108549098</v>
      </c>
      <c r="Z27" s="656">
        <f t="shared" si="12"/>
        <v>35.010884844467988</v>
      </c>
      <c r="AA27" s="657">
        <f t="shared" si="12"/>
        <v>0</v>
      </c>
      <c r="AB27" s="655">
        <f t="shared" si="12"/>
        <v>0</v>
      </c>
      <c r="AC27" s="672">
        <f t="shared" si="12"/>
        <v>0</v>
      </c>
      <c r="AD27" s="656">
        <f t="shared" si="12"/>
        <v>0</v>
      </c>
      <c r="AE27" s="656">
        <f t="shared" si="12"/>
        <v>0</v>
      </c>
      <c r="AF27" s="656">
        <f t="shared" si="12"/>
        <v>0</v>
      </c>
      <c r="AG27" s="656">
        <f t="shared" si="12"/>
        <v>0</v>
      </c>
      <c r="AH27" s="656">
        <f t="shared" si="12"/>
        <v>0</v>
      </c>
      <c r="AI27" s="656">
        <f t="shared" si="12"/>
        <v>0</v>
      </c>
      <c r="AJ27" s="656">
        <f t="shared" si="12"/>
        <v>0</v>
      </c>
      <c r="AK27" s="658">
        <f t="shared" si="12"/>
        <v>0</v>
      </c>
      <c r="AL27" s="658">
        <f t="shared" si="12"/>
        <v>0</v>
      </c>
      <c r="AM27" s="671">
        <f t="shared" si="12"/>
        <v>0</v>
      </c>
      <c r="AN27" s="657">
        <f t="shared" si="12"/>
        <v>0</v>
      </c>
      <c r="AO27" s="657">
        <f t="shared" si="12"/>
        <v>0</v>
      </c>
      <c r="AP27" s="655">
        <f t="shared" si="12"/>
        <v>0</v>
      </c>
      <c r="AQ27" s="660">
        <f t="shared" si="12"/>
        <v>231.58328467708543</v>
      </c>
      <c r="AR27" s="3"/>
      <c r="AS27" s="5"/>
    </row>
    <row r="28" spans="1:45" s="3" customFormat="1" ht="12.75" customHeight="1" thickBot="1">
      <c r="A28" s="748" t="s">
        <v>145</v>
      </c>
      <c r="B28" s="749"/>
      <c r="C28" s="750">
        <f>SUM(D28:G28)</f>
        <v>0</v>
      </c>
      <c r="D28" s="713"/>
      <c r="E28" s="714"/>
      <c r="F28" s="715"/>
      <c r="G28" s="715"/>
      <c r="H28" s="720">
        <f>SUM(I28:K28)</f>
        <v>0</v>
      </c>
      <c r="I28" s="713"/>
      <c r="J28" s="714"/>
      <c r="K28" s="714"/>
      <c r="L28" s="720">
        <f>SUM(M28:Z28)</f>
        <v>231.58328467708543</v>
      </c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5"/>
      <c r="X28" s="715">
        <f>X26</f>
        <v>195.36275312176252</v>
      </c>
      <c r="Y28" s="715">
        <f>Y26</f>
        <v>1.2096467108549098</v>
      </c>
      <c r="Z28" s="714">
        <f>Z26</f>
        <v>35.010884844467988</v>
      </c>
      <c r="AA28" s="720">
        <v>0</v>
      </c>
      <c r="AB28" s="751">
        <f>SUM(AC28:AI28)</f>
        <v>0</v>
      </c>
      <c r="AC28" s="718"/>
      <c r="AD28" s="714"/>
      <c r="AE28" s="714"/>
      <c r="AF28" s="714"/>
      <c r="AG28" s="714"/>
      <c r="AH28" s="714"/>
      <c r="AI28" s="714"/>
      <c r="AJ28" s="714"/>
      <c r="AK28" s="713"/>
      <c r="AL28" s="713"/>
      <c r="AM28" s="715"/>
      <c r="AN28" s="720"/>
      <c r="AO28" s="720"/>
      <c r="AP28" s="751"/>
      <c r="AQ28" s="721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2" t="s">
        <v>146</v>
      </c>
      <c r="B29" s="653"/>
      <c r="C29" s="654">
        <f t="shared" ref="C29:AQ29" si="14">C30+C45+C56+C58+C65+C70+C71</f>
        <v>351.41289633822032</v>
      </c>
      <c r="D29" s="658">
        <f t="shared" si="14"/>
        <v>190.16205136582681</v>
      </c>
      <c r="E29" s="656">
        <f t="shared" si="14"/>
        <v>153.30941368399715</v>
      </c>
      <c r="F29" s="671">
        <f t="shared" si="14"/>
        <v>0</v>
      </c>
      <c r="G29" s="671">
        <f t="shared" si="14"/>
        <v>7.795884678396293</v>
      </c>
      <c r="H29" s="657">
        <f t="shared" si="14"/>
        <v>197.36847005356</v>
      </c>
      <c r="I29" s="658">
        <f t="shared" si="14"/>
        <v>0.82966372355999995</v>
      </c>
      <c r="J29" s="658">
        <f t="shared" si="14"/>
        <v>127.70399999999999</v>
      </c>
      <c r="K29" s="658">
        <f t="shared" si="14"/>
        <v>68.834806329999992</v>
      </c>
      <c r="L29" s="657">
        <f t="shared" si="14"/>
        <v>7065.3194555859664</v>
      </c>
      <c r="M29" s="656">
        <f t="shared" si="14"/>
        <v>0</v>
      </c>
      <c r="N29" s="656">
        <f t="shared" si="14"/>
        <v>0</v>
      </c>
      <c r="O29" s="656">
        <f t="shared" si="14"/>
        <v>0</v>
      </c>
      <c r="P29" s="656">
        <f t="shared" si="14"/>
        <v>821.48002832197096</v>
      </c>
      <c r="Q29" s="656">
        <f t="shared" si="14"/>
        <v>946.63395628255989</v>
      </c>
      <c r="R29" s="656">
        <f t="shared" si="14"/>
        <v>1102.0673096951998</v>
      </c>
      <c r="S29" s="656">
        <f t="shared" si="14"/>
        <v>31.039400915077643</v>
      </c>
      <c r="T29" s="656">
        <f t="shared" si="14"/>
        <v>181.32381570558749</v>
      </c>
      <c r="U29" s="656">
        <f t="shared" si="14"/>
        <v>3838.1558666328419</v>
      </c>
      <c r="V29" s="656">
        <f t="shared" si="14"/>
        <v>144.61907803272823</v>
      </c>
      <c r="W29" s="671">
        <f t="shared" si="14"/>
        <v>0</v>
      </c>
      <c r="X29" s="671">
        <f t="shared" si="14"/>
        <v>0</v>
      </c>
      <c r="Y29" s="671">
        <f t="shared" si="14"/>
        <v>0</v>
      </c>
      <c r="Z29" s="658">
        <f t="shared" si="14"/>
        <v>0</v>
      </c>
      <c r="AA29" s="744">
        <f t="shared" si="14"/>
        <v>1961.7039372255224</v>
      </c>
      <c r="AB29" s="655">
        <f t="shared" si="14"/>
        <v>464.57031831216926</v>
      </c>
      <c r="AC29" s="672">
        <f t="shared" si="14"/>
        <v>0</v>
      </c>
      <c r="AD29" s="656">
        <f t="shared" si="14"/>
        <v>0</v>
      </c>
      <c r="AE29" s="656">
        <f t="shared" si="14"/>
        <v>202.50934255862566</v>
      </c>
      <c r="AF29" s="656">
        <f t="shared" si="14"/>
        <v>40.692904224132199</v>
      </c>
      <c r="AG29" s="656">
        <f t="shared" si="14"/>
        <v>0</v>
      </c>
      <c r="AH29" s="656">
        <f t="shared" si="14"/>
        <v>9.7770611234061491</v>
      </c>
      <c r="AI29" s="656">
        <f t="shared" si="14"/>
        <v>126.968349188928</v>
      </c>
      <c r="AJ29" s="656">
        <f t="shared" si="14"/>
        <v>27.271252854767997</v>
      </c>
      <c r="AK29" s="655">
        <f t="shared" si="14"/>
        <v>0</v>
      </c>
      <c r="AL29" s="655">
        <f t="shared" si="14"/>
        <v>13.546085603665619</v>
      </c>
      <c r="AM29" s="655">
        <f t="shared" si="14"/>
        <v>43.805322758643683</v>
      </c>
      <c r="AN29" s="655">
        <f t="shared" si="14"/>
        <v>54.722939604974094</v>
      </c>
      <c r="AO29" s="657">
        <f t="shared" si="14"/>
        <v>2397.4208343089181</v>
      </c>
      <c r="AP29" s="655">
        <f t="shared" si="14"/>
        <v>0</v>
      </c>
      <c r="AQ29" s="747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2"/>
      <c r="C30" s="753">
        <f>SUM(C31:C44)</f>
        <v>105.57009591000003</v>
      </c>
      <c r="D30" s="754">
        <v>105.4245493</v>
      </c>
      <c r="E30" s="754">
        <v>0</v>
      </c>
      <c r="F30" s="755"/>
      <c r="G30" s="755"/>
      <c r="H30" s="756">
        <f>SUM(H31:H44)</f>
        <v>0.82966372355999995</v>
      </c>
      <c r="I30" s="757">
        <f t="shared" ref="I30:K30" si="15">SUM(I31:I44)</f>
        <v>0.82966372355999995</v>
      </c>
      <c r="J30" s="754">
        <f t="shared" si="15"/>
        <v>0</v>
      </c>
      <c r="K30" s="754">
        <f t="shared" si="15"/>
        <v>0</v>
      </c>
      <c r="L30" s="756">
        <f>SUM(L31:L44)</f>
        <v>374.2907898235643</v>
      </c>
      <c r="M30" s="754">
        <f>SUM(M31:M44)</f>
        <v>0</v>
      </c>
      <c r="N30" s="754">
        <f>SUM(N31:N44)</f>
        <v>0</v>
      </c>
      <c r="O30" s="754">
        <f>SUM(O31:O44)</f>
        <v>0</v>
      </c>
      <c r="P30" s="754">
        <f>SUM(P31:P44)</f>
        <v>0</v>
      </c>
      <c r="Q30" s="754">
        <v>9.5497368091127406</v>
      </c>
      <c r="R30" s="754">
        <f>SUM(R31:R44)</f>
        <v>0</v>
      </c>
      <c r="S30" s="754">
        <v>30.396553446461994</v>
      </c>
      <c r="T30" s="754">
        <v>55.909311724159259</v>
      </c>
      <c r="U30" s="754">
        <v>137.32678867057862</v>
      </c>
      <c r="V30" s="754">
        <v>141.10839917325163</v>
      </c>
      <c r="W30" s="754">
        <f>SUM(W31:W44)</f>
        <v>0</v>
      </c>
      <c r="X30" s="754">
        <f>SUM(X31:X44)</f>
        <v>0</v>
      </c>
      <c r="Y30" s="754">
        <f>SUM(Y31:Y44)</f>
        <v>0</v>
      </c>
      <c r="Z30" s="754">
        <f>SUM(Z31:Z44)</f>
        <v>0</v>
      </c>
      <c r="AA30" s="756">
        <v>937.35749564856553</v>
      </c>
      <c r="AB30" s="758">
        <f t="shared" ref="AB30:AN30" si="16">SUM(AB31:AB44)</f>
        <v>196.85576511692614</v>
      </c>
      <c r="AC30" s="759">
        <f t="shared" si="16"/>
        <v>0</v>
      </c>
      <c r="AD30" s="754">
        <f t="shared" si="16"/>
        <v>0</v>
      </c>
      <c r="AE30" s="754">
        <f t="shared" si="16"/>
        <v>153.9273551380638</v>
      </c>
      <c r="AF30" s="754">
        <f t="shared" si="16"/>
        <v>40.692904224132199</v>
      </c>
      <c r="AG30" s="754">
        <f t="shared" si="16"/>
        <v>0</v>
      </c>
      <c r="AH30" s="754">
        <f t="shared" si="16"/>
        <v>2.2355057547301662</v>
      </c>
      <c r="AI30" s="754">
        <f t="shared" si="16"/>
        <v>0</v>
      </c>
      <c r="AJ30" s="754">
        <f t="shared" si="16"/>
        <v>0</v>
      </c>
      <c r="AK30" s="754">
        <f t="shared" si="16"/>
        <v>0</v>
      </c>
      <c r="AL30" s="754">
        <f t="shared" si="16"/>
        <v>0</v>
      </c>
      <c r="AM30" s="760">
        <f t="shared" si="16"/>
        <v>0</v>
      </c>
      <c r="AN30" s="757">
        <f t="shared" si="16"/>
        <v>54.722939604974094</v>
      </c>
      <c r="AO30" s="756">
        <v>621.72214114590861</v>
      </c>
      <c r="AP30" s="758">
        <f>SUM(AP31:AP44)</f>
        <v>0</v>
      </c>
      <c r="AQ30" s="673">
        <f t="shared" ref="AQ30" si="17">C30+H30+L30+AA30+AB30+AN30+AO30+AP30</f>
        <v>2291.3488909734988</v>
      </c>
      <c r="AR30" s="3"/>
      <c r="AS30" s="9"/>
    </row>
    <row r="31" spans="1:45" ht="12.75" customHeight="1">
      <c r="A31" s="761" t="s">
        <v>148</v>
      </c>
      <c r="B31" s="762" t="s">
        <v>149</v>
      </c>
      <c r="C31" s="763">
        <f t="shared" ref="C31:C43" si="18">SUM(D31:G31)</f>
        <v>0</v>
      </c>
      <c r="D31" s="682">
        <v>0</v>
      </c>
      <c r="E31" s="764"/>
      <c r="F31" s="764"/>
      <c r="G31" s="765"/>
      <c r="H31" s="766">
        <f t="shared" ref="H31:H43" si="19">SUM(I31:K31)</f>
        <v>0</v>
      </c>
      <c r="I31" s="767"/>
      <c r="J31" s="685"/>
      <c r="K31" s="685"/>
      <c r="L31" s="766">
        <f t="shared" ref="L31:L43" si="20">SUM(M31:Z31)</f>
        <v>22.334930091304539</v>
      </c>
      <c r="M31" s="685"/>
      <c r="N31" s="685"/>
      <c r="O31" s="685"/>
      <c r="P31" s="768"/>
      <c r="Q31" s="725">
        <v>0.34591578903338577</v>
      </c>
      <c r="R31" s="764"/>
      <c r="S31" s="725">
        <v>0</v>
      </c>
      <c r="T31" s="725">
        <v>1.3603740574248424</v>
      </c>
      <c r="U31" s="725">
        <v>20.628640244846309</v>
      </c>
      <c r="V31" s="725">
        <v>0</v>
      </c>
      <c r="W31" s="764"/>
      <c r="X31" s="767"/>
      <c r="Y31" s="768"/>
      <c r="Z31" s="685"/>
      <c r="AA31" s="683">
        <v>8.7861347374034651</v>
      </c>
      <c r="AB31" s="769">
        <f t="shared" ref="AB31:AB43" si="21">SUM(AC31:AM31)</f>
        <v>0</v>
      </c>
      <c r="AC31" s="770"/>
      <c r="AD31" s="685"/>
      <c r="AE31" s="685"/>
      <c r="AF31" s="685"/>
      <c r="AG31" s="685"/>
      <c r="AH31" s="685"/>
      <c r="AI31" s="685"/>
      <c r="AJ31" s="685"/>
      <c r="AK31" s="677"/>
      <c r="AL31" s="679"/>
      <c r="AM31" s="685"/>
      <c r="AN31" s="683"/>
      <c r="AO31" s="683">
        <v>18.350912208427118</v>
      </c>
      <c r="AP31" s="769"/>
      <c r="AQ31" s="684">
        <f t="shared" si="13"/>
        <v>49.471977037135119</v>
      </c>
    </row>
    <row r="32" spans="1:45" ht="12.75" customHeight="1">
      <c r="A32" s="771" t="s">
        <v>150</v>
      </c>
      <c r="B32" s="772" t="s">
        <v>151</v>
      </c>
      <c r="C32" s="629">
        <f t="shared" si="18"/>
        <v>18.505815952000003</v>
      </c>
      <c r="D32" s="637">
        <v>18.505815952000003</v>
      </c>
      <c r="E32" s="773"/>
      <c r="F32" s="773"/>
      <c r="G32" s="774"/>
      <c r="H32" s="633">
        <f t="shared" si="19"/>
        <v>0.82966372355999995</v>
      </c>
      <c r="I32" s="634">
        <v>0.82966372355999995</v>
      </c>
      <c r="J32" s="635"/>
      <c r="K32" s="635"/>
      <c r="L32" s="633">
        <f t="shared" si="20"/>
        <v>71.784094369696632</v>
      </c>
      <c r="M32" s="635"/>
      <c r="N32" s="635"/>
      <c r="O32" s="635"/>
      <c r="P32" s="768"/>
      <c r="Q32" s="773">
        <v>2.0660606672266768</v>
      </c>
      <c r="R32" s="773"/>
      <c r="S32" s="773">
        <v>22.968462416696998</v>
      </c>
      <c r="T32" s="773">
        <v>30.662877604409012</v>
      </c>
      <c r="U32" s="773">
        <v>16.086693681363943</v>
      </c>
      <c r="V32" s="773">
        <v>0</v>
      </c>
      <c r="W32" s="773"/>
      <c r="X32" s="634"/>
      <c r="Y32" s="632"/>
      <c r="Z32" s="635"/>
      <c r="AA32" s="638">
        <v>265.46537885977392</v>
      </c>
      <c r="AB32" s="636">
        <f t="shared" si="21"/>
        <v>26.063524749810167</v>
      </c>
      <c r="AC32" s="637"/>
      <c r="AD32" s="635"/>
      <c r="AE32" s="635">
        <v>23.828018995080001</v>
      </c>
      <c r="AF32" s="635"/>
      <c r="AG32" s="685"/>
      <c r="AH32" s="685">
        <v>2.2355057547301662</v>
      </c>
      <c r="AI32" s="685"/>
      <c r="AJ32" s="685"/>
      <c r="AK32" s="634"/>
      <c r="AL32" s="632"/>
      <c r="AM32" s="635"/>
      <c r="AN32" s="638"/>
      <c r="AO32" s="638">
        <v>148.76072128018708</v>
      </c>
      <c r="AP32" s="636"/>
      <c r="AQ32" s="639">
        <f t="shared" si="13"/>
        <v>531.4091989350278</v>
      </c>
    </row>
    <row r="33" spans="1:45" ht="12.75" customHeight="1">
      <c r="A33" s="771" t="s">
        <v>152</v>
      </c>
      <c r="B33" s="775" t="s">
        <v>153</v>
      </c>
      <c r="C33" s="629">
        <f t="shared" si="18"/>
        <v>0</v>
      </c>
      <c r="D33" s="637">
        <v>0</v>
      </c>
      <c r="E33" s="773"/>
      <c r="F33" s="773"/>
      <c r="G33" s="774"/>
      <c r="H33" s="633">
        <f t="shared" si="19"/>
        <v>0</v>
      </c>
      <c r="I33" s="634"/>
      <c r="J33" s="635"/>
      <c r="K33" s="635"/>
      <c r="L33" s="633">
        <f t="shared" si="20"/>
        <v>3.9848369673637745</v>
      </c>
      <c r="M33" s="635"/>
      <c r="N33" s="635"/>
      <c r="O33" s="635"/>
      <c r="P33" s="768"/>
      <c r="Q33" s="773">
        <v>6.1845550160514413E-2</v>
      </c>
      <c r="R33" s="773"/>
      <c r="S33" s="773">
        <v>0</v>
      </c>
      <c r="T33" s="773">
        <v>3.2282811958991577</v>
      </c>
      <c r="U33" s="773">
        <v>0.69471022130410232</v>
      </c>
      <c r="V33" s="773">
        <v>0</v>
      </c>
      <c r="W33" s="773"/>
      <c r="X33" s="634"/>
      <c r="Y33" s="632"/>
      <c r="Z33" s="635"/>
      <c r="AA33" s="638">
        <v>19.827078866680154</v>
      </c>
      <c r="AB33" s="636">
        <f t="shared" si="21"/>
        <v>0</v>
      </c>
      <c r="AC33" s="637"/>
      <c r="AD33" s="635"/>
      <c r="AE33" s="635"/>
      <c r="AF33" s="635"/>
      <c r="AG33" s="685"/>
      <c r="AH33" s="685"/>
      <c r="AI33" s="685"/>
      <c r="AJ33" s="685"/>
      <c r="AK33" s="634"/>
      <c r="AL33" s="632"/>
      <c r="AM33" s="635"/>
      <c r="AN33" s="638"/>
      <c r="AO33" s="638">
        <v>4.8844128009868593</v>
      </c>
      <c r="AP33" s="636"/>
      <c r="AQ33" s="639">
        <f t="shared" si="13"/>
        <v>28.696328635030788</v>
      </c>
    </row>
    <row r="34" spans="1:45" ht="12.75" customHeight="1">
      <c r="A34" s="771" t="s">
        <v>154</v>
      </c>
      <c r="B34" s="775" t="s">
        <v>155</v>
      </c>
      <c r="C34" s="629">
        <f t="shared" si="18"/>
        <v>0</v>
      </c>
      <c r="D34" s="637">
        <v>0</v>
      </c>
      <c r="E34" s="773"/>
      <c r="F34" s="773"/>
      <c r="G34" s="774"/>
      <c r="H34" s="633">
        <f t="shared" si="19"/>
        <v>0</v>
      </c>
      <c r="I34" s="634"/>
      <c r="J34" s="635"/>
      <c r="K34" s="635"/>
      <c r="L34" s="633">
        <f t="shared" si="20"/>
        <v>2.6182891559382289</v>
      </c>
      <c r="M34" s="635"/>
      <c r="N34" s="635"/>
      <c r="O34" s="635"/>
      <c r="P34" s="768"/>
      <c r="Q34" s="773">
        <v>8.9099521417690272E-2</v>
      </c>
      <c r="R34" s="773"/>
      <c r="S34" s="773">
        <v>0</v>
      </c>
      <c r="T34" s="773">
        <v>0.28505282634285456</v>
      </c>
      <c r="U34" s="773">
        <v>2.244136808177684</v>
      </c>
      <c r="V34" s="773">
        <v>0</v>
      </c>
      <c r="W34" s="773"/>
      <c r="X34" s="634"/>
      <c r="Y34" s="632"/>
      <c r="Z34" s="635"/>
      <c r="AA34" s="638">
        <v>3.0214445851101197</v>
      </c>
      <c r="AB34" s="636">
        <f t="shared" si="21"/>
        <v>127.87356205415999</v>
      </c>
      <c r="AC34" s="637"/>
      <c r="AD34" s="635"/>
      <c r="AE34" s="635">
        <v>127.87356205415999</v>
      </c>
      <c r="AF34" s="635"/>
      <c r="AG34" s="685"/>
      <c r="AH34" s="685"/>
      <c r="AI34" s="685"/>
      <c r="AJ34" s="685"/>
      <c r="AK34" s="634"/>
      <c r="AL34" s="632"/>
      <c r="AM34" s="635"/>
      <c r="AN34" s="638"/>
      <c r="AO34" s="638">
        <v>26.251691103783244</v>
      </c>
      <c r="AP34" s="636"/>
      <c r="AQ34" s="639">
        <f t="shared" si="13"/>
        <v>159.76498689899159</v>
      </c>
    </row>
    <row r="35" spans="1:45" ht="12.75" customHeight="1">
      <c r="A35" s="771" t="s">
        <v>156</v>
      </c>
      <c r="B35" s="775" t="s">
        <v>157</v>
      </c>
      <c r="C35" s="629">
        <f t="shared" si="18"/>
        <v>0</v>
      </c>
      <c r="D35" s="637">
        <v>0</v>
      </c>
      <c r="E35" s="773"/>
      <c r="F35" s="773"/>
      <c r="G35" s="774"/>
      <c r="H35" s="633">
        <f t="shared" si="19"/>
        <v>0</v>
      </c>
      <c r="I35" s="634"/>
      <c r="J35" s="635"/>
      <c r="K35" s="635"/>
      <c r="L35" s="633">
        <f t="shared" si="20"/>
        <v>0.83838358845358163</v>
      </c>
      <c r="M35" s="635"/>
      <c r="N35" s="635"/>
      <c r="O35" s="635"/>
      <c r="P35" s="768"/>
      <c r="Q35" s="773">
        <v>0.19497071745518102</v>
      </c>
      <c r="R35" s="773"/>
      <c r="S35" s="773">
        <v>0</v>
      </c>
      <c r="T35" s="773">
        <v>5.0985058370266664E-2</v>
      </c>
      <c r="U35" s="773">
        <v>0.59242781262813393</v>
      </c>
      <c r="V35" s="773">
        <v>0</v>
      </c>
      <c r="W35" s="773"/>
      <c r="X35" s="634"/>
      <c r="Y35" s="632"/>
      <c r="Z35" s="635"/>
      <c r="AA35" s="638">
        <v>4.5940947412447954</v>
      </c>
      <c r="AB35" s="636">
        <f t="shared" si="21"/>
        <v>0</v>
      </c>
      <c r="AC35" s="637"/>
      <c r="AD35" s="635"/>
      <c r="AE35" s="635"/>
      <c r="AF35" s="635"/>
      <c r="AG35" s="685"/>
      <c r="AH35" s="685"/>
      <c r="AI35" s="685"/>
      <c r="AJ35" s="685"/>
      <c r="AK35" s="634"/>
      <c r="AL35" s="632"/>
      <c r="AM35" s="635"/>
      <c r="AN35" s="638"/>
      <c r="AO35" s="638">
        <v>10.638816275668107</v>
      </c>
      <c r="AP35" s="636"/>
      <c r="AQ35" s="639">
        <f t="shared" si="13"/>
        <v>16.071294605366482</v>
      </c>
    </row>
    <row r="36" spans="1:45" ht="12.75" customHeight="1">
      <c r="A36" s="771" t="s">
        <v>158</v>
      </c>
      <c r="B36" s="775" t="s">
        <v>159</v>
      </c>
      <c r="C36" s="629">
        <f t="shared" si="18"/>
        <v>0</v>
      </c>
      <c r="D36" s="770">
        <v>0</v>
      </c>
      <c r="E36" s="773"/>
      <c r="F36" s="773"/>
      <c r="G36" s="774"/>
      <c r="H36" s="633">
        <f t="shared" si="19"/>
        <v>0</v>
      </c>
      <c r="I36" s="634"/>
      <c r="J36" s="635"/>
      <c r="K36" s="635"/>
      <c r="L36" s="633">
        <f t="shared" si="20"/>
        <v>20.491702651385793</v>
      </c>
      <c r="M36" s="635"/>
      <c r="N36" s="635"/>
      <c r="O36" s="635"/>
      <c r="P36" s="768"/>
      <c r="Q36" s="764">
        <v>0.29140784651903406</v>
      </c>
      <c r="R36" s="773"/>
      <c r="S36" s="764">
        <v>2.7458233928999998</v>
      </c>
      <c r="T36" s="764">
        <v>2.7311768767890574</v>
      </c>
      <c r="U36" s="764">
        <v>4.9055048279840703</v>
      </c>
      <c r="V36" s="764">
        <v>9.8177897071936346</v>
      </c>
      <c r="W36" s="773"/>
      <c r="X36" s="634"/>
      <c r="Y36" s="632"/>
      <c r="Z36" s="635"/>
      <c r="AA36" s="776">
        <v>128.0014006524043</v>
      </c>
      <c r="AB36" s="636">
        <f t="shared" si="21"/>
        <v>0</v>
      </c>
      <c r="AC36" s="637"/>
      <c r="AD36" s="635"/>
      <c r="AE36" s="635">
        <v>0</v>
      </c>
      <c r="AF36" s="635"/>
      <c r="AG36" s="685"/>
      <c r="AH36" s="685"/>
      <c r="AI36" s="685"/>
      <c r="AJ36" s="685"/>
      <c r="AK36" s="767"/>
      <c r="AL36" s="768"/>
      <c r="AM36" s="635"/>
      <c r="AN36" s="776"/>
      <c r="AO36" s="776">
        <v>104.62854472087723</v>
      </c>
      <c r="AP36" s="636"/>
      <c r="AQ36" s="639">
        <f t="shared" si="13"/>
        <v>253.12164802466731</v>
      </c>
    </row>
    <row r="37" spans="1:45" ht="12.75" customHeight="1">
      <c r="A37" s="771" t="s">
        <v>160</v>
      </c>
      <c r="B37" s="775" t="s">
        <v>161</v>
      </c>
      <c r="C37" s="629">
        <f t="shared" si="18"/>
        <v>0</v>
      </c>
      <c r="D37" s="637">
        <v>0</v>
      </c>
      <c r="E37" s="773"/>
      <c r="F37" s="773"/>
      <c r="G37" s="774"/>
      <c r="H37" s="633">
        <f t="shared" si="19"/>
        <v>0</v>
      </c>
      <c r="I37" s="634"/>
      <c r="J37" s="635"/>
      <c r="K37" s="635"/>
      <c r="L37" s="633">
        <f t="shared" si="20"/>
        <v>4.5221622064203446</v>
      </c>
      <c r="M37" s="635"/>
      <c r="N37" s="635"/>
      <c r="O37" s="635"/>
      <c r="P37" s="768"/>
      <c r="Q37" s="773">
        <v>1.8396430598593692</v>
      </c>
      <c r="R37" s="773"/>
      <c r="S37" s="773">
        <v>0</v>
      </c>
      <c r="T37" s="773">
        <v>1.2363876654789667</v>
      </c>
      <c r="U37" s="773">
        <v>1.446131481082009</v>
      </c>
      <c r="V37" s="773">
        <v>0</v>
      </c>
      <c r="W37" s="773"/>
      <c r="X37" s="634"/>
      <c r="Y37" s="632"/>
      <c r="Z37" s="635"/>
      <c r="AA37" s="638">
        <v>2.284026640331299</v>
      </c>
      <c r="AB37" s="636">
        <f t="shared" si="21"/>
        <v>0</v>
      </c>
      <c r="AC37" s="637"/>
      <c r="AD37" s="635"/>
      <c r="AE37" s="635"/>
      <c r="AF37" s="635"/>
      <c r="AG37" s="685"/>
      <c r="AH37" s="685"/>
      <c r="AI37" s="685"/>
      <c r="AJ37" s="685"/>
      <c r="AK37" s="634"/>
      <c r="AL37" s="632"/>
      <c r="AM37" s="635"/>
      <c r="AN37" s="638"/>
      <c r="AO37" s="638">
        <v>20.435816256672165</v>
      </c>
      <c r="AP37" s="636"/>
      <c r="AQ37" s="639">
        <f t="shared" si="13"/>
        <v>27.242005103423807</v>
      </c>
    </row>
    <row r="38" spans="1:45" ht="12.75" customHeight="1">
      <c r="A38" s="771" t="s">
        <v>162</v>
      </c>
      <c r="B38" s="775" t="s">
        <v>163</v>
      </c>
      <c r="C38" s="629">
        <f t="shared" si="18"/>
        <v>86.919212076000022</v>
      </c>
      <c r="D38" s="637">
        <v>86.919212076000022</v>
      </c>
      <c r="E38" s="773"/>
      <c r="F38" s="773"/>
      <c r="G38" s="774"/>
      <c r="H38" s="633">
        <f t="shared" si="19"/>
        <v>0</v>
      </c>
      <c r="I38" s="634"/>
      <c r="J38" s="635"/>
      <c r="K38" s="635"/>
      <c r="L38" s="633">
        <f t="shared" si="20"/>
        <v>165.25524621751634</v>
      </c>
      <c r="M38" s="635"/>
      <c r="N38" s="635"/>
      <c r="O38" s="635"/>
      <c r="P38" s="768"/>
      <c r="Q38" s="773">
        <v>1.7086143518921777</v>
      </c>
      <c r="R38" s="773"/>
      <c r="S38" s="773">
        <v>0</v>
      </c>
      <c r="T38" s="773">
        <v>2.4472828017727997</v>
      </c>
      <c r="U38" s="773">
        <v>29.80873959779337</v>
      </c>
      <c r="V38" s="773">
        <v>131.29060946605799</v>
      </c>
      <c r="W38" s="773"/>
      <c r="X38" s="634"/>
      <c r="Y38" s="632"/>
      <c r="Z38" s="635"/>
      <c r="AA38" s="638">
        <v>20.60514689627021</v>
      </c>
      <c r="AB38" s="636">
        <f t="shared" si="21"/>
        <v>42.918678312955997</v>
      </c>
      <c r="AC38" s="637"/>
      <c r="AD38" s="635"/>
      <c r="AE38" s="635">
        <v>2.2257740888237998</v>
      </c>
      <c r="AF38" s="635">
        <v>40.692904224132199</v>
      </c>
      <c r="AG38" s="685"/>
      <c r="AH38" s="685"/>
      <c r="AI38" s="685"/>
      <c r="AJ38" s="685"/>
      <c r="AK38" s="634"/>
      <c r="AL38" s="632"/>
      <c r="AM38" s="635"/>
      <c r="AN38" s="638">
        <v>54.722939604974094</v>
      </c>
      <c r="AO38" s="638">
        <v>54.010284601158837</v>
      </c>
      <c r="AP38" s="636"/>
      <c r="AQ38" s="639">
        <f t="shared" si="13"/>
        <v>424.43150770887547</v>
      </c>
    </row>
    <row r="39" spans="1:45" ht="12.75" customHeight="1">
      <c r="A39" s="771" t="s">
        <v>164</v>
      </c>
      <c r="B39" s="775" t="s">
        <v>165</v>
      </c>
      <c r="C39" s="629">
        <f t="shared" si="18"/>
        <v>0.14506788200000253</v>
      </c>
      <c r="D39" s="637">
        <v>0.14506788200000253</v>
      </c>
      <c r="E39" s="773"/>
      <c r="F39" s="773"/>
      <c r="G39" s="774"/>
      <c r="H39" s="633">
        <f t="shared" si="19"/>
        <v>0</v>
      </c>
      <c r="I39" s="634"/>
      <c r="J39" s="635"/>
      <c r="K39" s="635"/>
      <c r="L39" s="633">
        <f t="shared" si="20"/>
        <v>8.534515108025424</v>
      </c>
      <c r="M39" s="635"/>
      <c r="N39" s="635"/>
      <c r="O39" s="635"/>
      <c r="P39" s="768"/>
      <c r="Q39" s="773">
        <v>0.75262889856354831</v>
      </c>
      <c r="R39" s="773"/>
      <c r="S39" s="773">
        <v>1.0397614907400001</v>
      </c>
      <c r="T39" s="773">
        <v>3.4113639055014784</v>
      </c>
      <c r="U39" s="773">
        <v>3.3307608132203974</v>
      </c>
      <c r="V39" s="773">
        <v>0</v>
      </c>
      <c r="W39" s="773"/>
      <c r="X39" s="634"/>
      <c r="Y39" s="632"/>
      <c r="Z39" s="635"/>
      <c r="AA39" s="638">
        <v>408.68833080126041</v>
      </c>
      <c r="AB39" s="636">
        <f t="shared" si="21"/>
        <v>0</v>
      </c>
      <c r="AC39" s="637"/>
      <c r="AD39" s="635"/>
      <c r="AE39" s="635"/>
      <c r="AF39" s="635"/>
      <c r="AG39" s="685"/>
      <c r="AH39" s="685"/>
      <c r="AI39" s="685"/>
      <c r="AJ39" s="685"/>
      <c r="AK39" s="634"/>
      <c r="AL39" s="632"/>
      <c r="AM39" s="635"/>
      <c r="AN39" s="638"/>
      <c r="AO39" s="638">
        <v>49.329922605876547</v>
      </c>
      <c r="AP39" s="636"/>
      <c r="AQ39" s="639">
        <f t="shared" si="13"/>
        <v>466.6978363971624</v>
      </c>
    </row>
    <row r="40" spans="1:45" ht="12.75" customHeight="1">
      <c r="A40" s="771" t="s">
        <v>166</v>
      </c>
      <c r="B40" s="775" t="s">
        <v>167</v>
      </c>
      <c r="C40" s="629">
        <f t="shared" si="18"/>
        <v>0</v>
      </c>
      <c r="D40" s="637">
        <v>0</v>
      </c>
      <c r="E40" s="773"/>
      <c r="F40" s="773"/>
      <c r="G40" s="774"/>
      <c r="H40" s="633">
        <f t="shared" si="19"/>
        <v>0</v>
      </c>
      <c r="I40" s="634"/>
      <c r="J40" s="635"/>
      <c r="K40" s="635"/>
      <c r="L40" s="633">
        <f t="shared" si="20"/>
        <v>4.4175991624811015</v>
      </c>
      <c r="M40" s="635"/>
      <c r="N40" s="635"/>
      <c r="O40" s="635"/>
      <c r="P40" s="768"/>
      <c r="Q40" s="773">
        <v>0.21069416241124406</v>
      </c>
      <c r="R40" s="773"/>
      <c r="S40" s="773">
        <v>0</v>
      </c>
      <c r="T40" s="773">
        <v>2.0741648746085759</v>
      </c>
      <c r="U40" s="773">
        <v>2.1327401254612819</v>
      </c>
      <c r="V40" s="773">
        <v>0</v>
      </c>
      <c r="W40" s="773"/>
      <c r="X40" s="634"/>
      <c r="Y40" s="632"/>
      <c r="Z40" s="635"/>
      <c r="AA40" s="638">
        <v>7.9737681987539286</v>
      </c>
      <c r="AB40" s="636">
        <f t="shared" si="21"/>
        <v>0</v>
      </c>
      <c r="AC40" s="637"/>
      <c r="AD40" s="635"/>
      <c r="AE40" s="635"/>
      <c r="AF40" s="635"/>
      <c r="AG40" s="685"/>
      <c r="AH40" s="685"/>
      <c r="AI40" s="685"/>
      <c r="AJ40" s="685"/>
      <c r="AK40" s="634"/>
      <c r="AL40" s="632"/>
      <c r="AM40" s="635"/>
      <c r="AN40" s="638"/>
      <c r="AO40" s="638">
        <v>18.411529811795422</v>
      </c>
      <c r="AP40" s="636"/>
      <c r="AQ40" s="639">
        <f t="shared" si="13"/>
        <v>30.802897173030452</v>
      </c>
    </row>
    <row r="41" spans="1:45" ht="12.75" customHeight="1">
      <c r="A41" s="771" t="s">
        <v>168</v>
      </c>
      <c r="B41" s="775" t="s">
        <v>169</v>
      </c>
      <c r="C41" s="629">
        <f t="shared" si="18"/>
        <v>0</v>
      </c>
      <c r="D41" s="770">
        <v>0</v>
      </c>
      <c r="E41" s="773"/>
      <c r="F41" s="773"/>
      <c r="G41" s="774"/>
      <c r="H41" s="633">
        <f t="shared" si="19"/>
        <v>0</v>
      </c>
      <c r="I41" s="634"/>
      <c r="J41" s="635"/>
      <c r="K41" s="635"/>
      <c r="L41" s="633">
        <f t="shared" si="20"/>
        <v>3.5291908924471116</v>
      </c>
      <c r="M41" s="635"/>
      <c r="N41" s="635"/>
      <c r="O41" s="635"/>
      <c r="P41" s="768"/>
      <c r="Q41" s="764">
        <v>0.4496905257434014</v>
      </c>
      <c r="R41" s="773"/>
      <c r="S41" s="764">
        <v>0</v>
      </c>
      <c r="T41" s="764">
        <v>2.0880698905277391</v>
      </c>
      <c r="U41" s="764">
        <v>0.99143047617597102</v>
      </c>
      <c r="V41" s="764">
        <v>0</v>
      </c>
      <c r="W41" s="773"/>
      <c r="X41" s="634"/>
      <c r="Y41" s="632"/>
      <c r="Z41" s="635"/>
      <c r="AA41" s="776">
        <v>18.389717274057872</v>
      </c>
      <c r="AB41" s="636">
        <f t="shared" si="21"/>
        <v>0</v>
      </c>
      <c r="AC41" s="637"/>
      <c r="AD41" s="635"/>
      <c r="AE41" s="635"/>
      <c r="AF41" s="635"/>
      <c r="AG41" s="685"/>
      <c r="AH41" s="685"/>
      <c r="AI41" s="685"/>
      <c r="AJ41" s="685"/>
      <c r="AK41" s="767"/>
      <c r="AL41" s="768"/>
      <c r="AM41" s="635"/>
      <c r="AN41" s="776"/>
      <c r="AO41" s="776">
        <v>80.043410825191572</v>
      </c>
      <c r="AP41" s="636"/>
      <c r="AQ41" s="639">
        <f t="shared" si="13"/>
        <v>101.96231899169655</v>
      </c>
    </row>
    <row r="42" spans="1:45" ht="12.75" customHeight="1">
      <c r="A42" s="771" t="s">
        <v>170</v>
      </c>
      <c r="B42" s="775" t="s">
        <v>171</v>
      </c>
      <c r="C42" s="629">
        <f t="shared" si="18"/>
        <v>0</v>
      </c>
      <c r="D42" s="637">
        <v>0</v>
      </c>
      <c r="E42" s="773"/>
      <c r="F42" s="773"/>
      <c r="G42" s="774"/>
      <c r="H42" s="633">
        <f t="shared" si="19"/>
        <v>0</v>
      </c>
      <c r="I42" s="634"/>
      <c r="J42" s="635"/>
      <c r="K42" s="635"/>
      <c r="L42" s="633">
        <f t="shared" si="20"/>
        <v>1.41139605019423</v>
      </c>
      <c r="M42" s="635"/>
      <c r="N42" s="635"/>
      <c r="O42" s="635"/>
      <c r="P42" s="768"/>
      <c r="Q42" s="773">
        <v>5.2411483186876627E-2</v>
      </c>
      <c r="R42" s="773"/>
      <c r="S42" s="773">
        <v>0</v>
      </c>
      <c r="T42" s="773">
        <v>0.92352480729778486</v>
      </c>
      <c r="U42" s="773">
        <v>0.43545975970956852</v>
      </c>
      <c r="V42" s="773">
        <v>0</v>
      </c>
      <c r="W42" s="773"/>
      <c r="X42" s="634"/>
      <c r="Y42" s="632"/>
      <c r="Z42" s="635"/>
      <c r="AA42" s="638">
        <v>0.27057712702478681</v>
      </c>
      <c r="AB42" s="636">
        <f t="shared" si="21"/>
        <v>0</v>
      </c>
      <c r="AC42" s="637"/>
      <c r="AD42" s="635"/>
      <c r="AE42" s="635"/>
      <c r="AF42" s="635"/>
      <c r="AG42" s="685"/>
      <c r="AH42" s="685"/>
      <c r="AI42" s="685"/>
      <c r="AJ42" s="685"/>
      <c r="AK42" s="733"/>
      <c r="AL42" s="729"/>
      <c r="AM42" s="635"/>
      <c r="AN42" s="734"/>
      <c r="AO42" s="638">
        <v>2.2633417821038564</v>
      </c>
      <c r="AP42" s="636"/>
      <c r="AQ42" s="639">
        <f t="shared" si="13"/>
        <v>3.9453149593228733</v>
      </c>
    </row>
    <row r="43" spans="1:45" ht="12.75" customHeight="1">
      <c r="A43" s="771" t="s">
        <v>172</v>
      </c>
      <c r="B43" s="775" t="s">
        <v>173</v>
      </c>
      <c r="C43" s="629">
        <f t="shared" si="18"/>
        <v>0</v>
      </c>
      <c r="D43" s="637">
        <v>0</v>
      </c>
      <c r="E43" s="773"/>
      <c r="F43" s="773"/>
      <c r="G43" s="774"/>
      <c r="H43" s="633">
        <f t="shared" si="19"/>
        <v>0</v>
      </c>
      <c r="I43" s="634"/>
      <c r="J43" s="635"/>
      <c r="K43" s="635">
        <v>0</v>
      </c>
      <c r="L43" s="633">
        <f t="shared" si="20"/>
        <v>12.511675497016565</v>
      </c>
      <c r="M43" s="635"/>
      <c r="N43" s="635"/>
      <c r="O43" s="635"/>
      <c r="P43" s="632"/>
      <c r="Q43" s="773">
        <v>0.76415942486466115</v>
      </c>
      <c r="R43" s="773"/>
      <c r="S43" s="773">
        <v>3.6425061461249997</v>
      </c>
      <c r="T43" s="773">
        <v>4.9362806513030915</v>
      </c>
      <c r="U43" s="773">
        <v>3.1687292747238134</v>
      </c>
      <c r="V43" s="773">
        <v>0</v>
      </c>
      <c r="W43" s="773"/>
      <c r="X43" s="634"/>
      <c r="Y43" s="632"/>
      <c r="Z43" s="635"/>
      <c r="AA43" s="638">
        <v>30.013736057345717</v>
      </c>
      <c r="AB43" s="636">
        <f t="shared" si="21"/>
        <v>0</v>
      </c>
      <c r="AC43" s="637"/>
      <c r="AD43" s="635"/>
      <c r="AE43" s="635"/>
      <c r="AF43" s="635"/>
      <c r="AG43" s="635"/>
      <c r="AH43" s="635"/>
      <c r="AI43" s="635"/>
      <c r="AJ43" s="635"/>
      <c r="AK43" s="634"/>
      <c r="AL43" s="632"/>
      <c r="AM43" s="635"/>
      <c r="AN43" s="638"/>
      <c r="AO43" s="638">
        <v>59.095333131604164</v>
      </c>
      <c r="AP43" s="636"/>
      <c r="AQ43" s="639">
        <f t="shared" si="13"/>
        <v>101.62074468596644</v>
      </c>
    </row>
    <row r="44" spans="1:45" s="94" customFormat="1" ht="12.75" customHeight="1">
      <c r="A44" s="777" t="s">
        <v>813</v>
      </c>
      <c r="B44" s="778" t="s">
        <v>814</v>
      </c>
      <c r="C44" s="688">
        <f>SUM(D44:G44)</f>
        <v>0</v>
      </c>
      <c r="D44" s="694">
        <v>0</v>
      </c>
      <c r="E44" s="779"/>
      <c r="F44" s="779"/>
      <c r="G44" s="780"/>
      <c r="H44" s="692">
        <f>SUM(I44:K44)</f>
        <v>0</v>
      </c>
      <c r="I44" s="689"/>
      <c r="J44" s="690"/>
      <c r="K44" s="690"/>
      <c r="L44" s="692">
        <f>SUM(M44:Z44)</f>
        <v>52.05676786532063</v>
      </c>
      <c r="M44" s="690"/>
      <c r="N44" s="690"/>
      <c r="O44" s="690"/>
      <c r="P44" s="691"/>
      <c r="Q44" s="779">
        <v>0.72259481077897947</v>
      </c>
      <c r="R44" s="779"/>
      <c r="S44" s="779">
        <v>0</v>
      </c>
      <c r="T44" s="779">
        <v>0.47348950843364052</v>
      </c>
      <c r="U44" s="779">
        <v>50.860683546108007</v>
      </c>
      <c r="V44" s="779">
        <v>0</v>
      </c>
      <c r="W44" s="779"/>
      <c r="X44" s="689"/>
      <c r="Y44" s="691"/>
      <c r="Z44" s="690"/>
      <c r="AA44" s="695">
        <v>19.436660210904712</v>
      </c>
      <c r="AB44" s="693">
        <f>SUM(AC44:AM44)</f>
        <v>0</v>
      </c>
      <c r="AC44" s="694"/>
      <c r="AD44" s="690"/>
      <c r="AE44" s="690"/>
      <c r="AF44" s="690"/>
      <c r="AG44" s="690"/>
      <c r="AH44" s="690"/>
      <c r="AI44" s="690"/>
      <c r="AJ44" s="690"/>
      <c r="AK44" s="689"/>
      <c r="AL44" s="691"/>
      <c r="AM44" s="690"/>
      <c r="AN44" s="695"/>
      <c r="AO44" s="695">
        <v>24.617403741576357</v>
      </c>
      <c r="AP44" s="693"/>
      <c r="AQ44" s="696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8"/>
      <c r="C45" s="781">
        <f t="shared" ref="C45:AP45" si="22">SUM(C46:C55)</f>
        <v>0</v>
      </c>
      <c r="D45" s="782">
        <f t="shared" si="22"/>
        <v>0</v>
      </c>
      <c r="E45" s="782">
        <f t="shared" si="22"/>
        <v>0</v>
      </c>
      <c r="F45" s="783">
        <f t="shared" si="22"/>
        <v>0</v>
      </c>
      <c r="G45" s="783">
        <f t="shared" si="22"/>
        <v>0</v>
      </c>
      <c r="H45" s="784">
        <f t="shared" si="22"/>
        <v>0</v>
      </c>
      <c r="I45" s="785">
        <f t="shared" si="22"/>
        <v>0</v>
      </c>
      <c r="J45" s="782">
        <f t="shared" si="22"/>
        <v>0</v>
      </c>
      <c r="K45" s="782">
        <f t="shared" si="22"/>
        <v>0</v>
      </c>
      <c r="L45" s="784">
        <f t="shared" si="22"/>
        <v>5019.9247759387081</v>
      </c>
      <c r="M45" s="782">
        <f t="shared" si="22"/>
        <v>0</v>
      </c>
      <c r="N45" s="782">
        <f t="shared" ref="N45" si="23">SUM(N46:N55)</f>
        <v>0</v>
      </c>
      <c r="O45" s="782">
        <f t="shared" si="22"/>
        <v>0</v>
      </c>
      <c r="P45" s="782">
        <f t="shared" si="22"/>
        <v>821.48002832197096</v>
      </c>
      <c r="Q45" s="782">
        <f t="shared" si="22"/>
        <v>0</v>
      </c>
      <c r="R45" s="782">
        <f t="shared" si="22"/>
        <v>1102.0673096951998</v>
      </c>
      <c r="S45" s="782">
        <f t="shared" si="22"/>
        <v>0</v>
      </c>
      <c r="T45" s="782">
        <f t="shared" si="22"/>
        <v>1.8520724281984335</v>
      </c>
      <c r="U45" s="782">
        <f>SUM(U46:U55)</f>
        <v>3094.5253654933395</v>
      </c>
      <c r="V45" s="782">
        <f t="shared" si="22"/>
        <v>0</v>
      </c>
      <c r="W45" s="783">
        <f t="shared" si="22"/>
        <v>0</v>
      </c>
      <c r="X45" s="783">
        <f t="shared" si="22"/>
        <v>0</v>
      </c>
      <c r="Y45" s="783">
        <f t="shared" si="22"/>
        <v>0</v>
      </c>
      <c r="Z45" s="782">
        <f t="shared" si="22"/>
        <v>0</v>
      </c>
      <c r="AA45" s="784">
        <f t="shared" si="22"/>
        <v>22.560835415583806</v>
      </c>
      <c r="AB45" s="786">
        <f t="shared" si="22"/>
        <v>154.23960204369601</v>
      </c>
      <c r="AC45" s="787">
        <f t="shared" si="22"/>
        <v>0</v>
      </c>
      <c r="AD45" s="782">
        <f t="shared" si="22"/>
        <v>0</v>
      </c>
      <c r="AE45" s="782">
        <f t="shared" si="22"/>
        <v>0</v>
      </c>
      <c r="AF45" s="782">
        <f t="shared" ref="AF45" si="24">SUM(AF46:AF55)</f>
        <v>0</v>
      </c>
      <c r="AG45" s="782">
        <f t="shared" si="22"/>
        <v>0</v>
      </c>
      <c r="AH45" s="782">
        <f t="shared" si="22"/>
        <v>0</v>
      </c>
      <c r="AI45" s="782">
        <f t="shared" si="22"/>
        <v>126.968349188928</v>
      </c>
      <c r="AJ45" s="782">
        <f t="shared" ref="AJ45" si="25">SUM(AJ46:AJ55)</f>
        <v>27.271252854767997</v>
      </c>
      <c r="AK45" s="785">
        <f t="shared" si="22"/>
        <v>0</v>
      </c>
      <c r="AL45" s="783">
        <f t="shared" ref="AL45" si="26">SUM(AL46:AL55)</f>
        <v>0</v>
      </c>
      <c r="AM45" s="782">
        <f t="shared" si="22"/>
        <v>0</v>
      </c>
      <c r="AN45" s="784">
        <f t="shared" si="22"/>
        <v>0</v>
      </c>
      <c r="AO45" s="784">
        <f t="shared" si="22"/>
        <v>5.3733816232262495</v>
      </c>
      <c r="AP45" s="786">
        <f t="shared" si="22"/>
        <v>0</v>
      </c>
      <c r="AQ45" s="788">
        <f t="shared" si="13"/>
        <v>5202.0985950212144</v>
      </c>
      <c r="AR45" s="3"/>
      <c r="AS45" s="5"/>
    </row>
    <row r="46" spans="1:45" s="3" customFormat="1" ht="12.75" customHeight="1">
      <c r="A46" s="789" t="s">
        <v>175</v>
      </c>
      <c r="B46" s="675"/>
      <c r="C46" s="676">
        <f t="shared" ref="C46:C64" si="27">SUM(D46:G46)</f>
        <v>0</v>
      </c>
      <c r="D46" s="790"/>
      <c r="E46" s="724"/>
      <c r="F46" s="679"/>
      <c r="G46" s="679"/>
      <c r="H46" s="680">
        <f t="shared" ref="H46:H64" si="28">SUM(I46:K46)</f>
        <v>0</v>
      </c>
      <c r="I46" s="677"/>
      <c r="J46" s="678"/>
      <c r="K46" s="678"/>
      <c r="L46" s="680">
        <f t="shared" ref="L46:L64" si="29">SUM(M46:Z46)</f>
        <v>702.41214426261672</v>
      </c>
      <c r="M46" s="678"/>
      <c r="N46" s="678"/>
      <c r="O46" s="678"/>
      <c r="P46" s="678"/>
      <c r="Q46" s="678"/>
      <c r="R46" s="678"/>
      <c r="S46" s="678"/>
      <c r="T46" s="678"/>
      <c r="U46" s="678">
        <v>702.41214426261672</v>
      </c>
      <c r="V46" s="678"/>
      <c r="W46" s="679"/>
      <c r="X46" s="679"/>
      <c r="Y46" s="679"/>
      <c r="Z46" s="678"/>
      <c r="AA46" s="683">
        <v>2.9723185667999998E-2</v>
      </c>
      <c r="AB46" s="681">
        <f t="shared" ref="AB46:AB64" si="30">SUM(AC46:AM46)</f>
        <v>30.002374318707627</v>
      </c>
      <c r="AC46" s="682"/>
      <c r="AD46" s="678"/>
      <c r="AE46" s="678"/>
      <c r="AF46" s="678"/>
      <c r="AG46" s="678"/>
      <c r="AH46" s="678"/>
      <c r="AI46" s="678">
        <v>30.002374318707627</v>
      </c>
      <c r="AJ46" s="678">
        <v>0</v>
      </c>
      <c r="AK46" s="677"/>
      <c r="AL46" s="679"/>
      <c r="AM46" s="678"/>
      <c r="AN46" s="680"/>
      <c r="AO46" s="683"/>
      <c r="AP46" s="681"/>
      <c r="AQ46" s="708">
        <f t="shared" si="13"/>
        <v>732.44424176699238</v>
      </c>
      <c r="AS46" s="4"/>
    </row>
    <row r="47" spans="1:45" s="3" customFormat="1" ht="12.75" customHeight="1">
      <c r="A47" s="761" t="s">
        <v>176</v>
      </c>
      <c r="B47" s="791"/>
      <c r="C47" s="629">
        <f t="shared" si="27"/>
        <v>0</v>
      </c>
      <c r="D47" s="792"/>
      <c r="E47" s="793"/>
      <c r="F47" s="768"/>
      <c r="G47" s="768"/>
      <c r="H47" s="633">
        <f t="shared" si="28"/>
        <v>0</v>
      </c>
      <c r="I47" s="767"/>
      <c r="J47" s="685"/>
      <c r="K47" s="685"/>
      <c r="L47" s="766">
        <f t="shared" si="29"/>
        <v>319.57486919365164</v>
      </c>
      <c r="M47" s="685"/>
      <c r="N47" s="685"/>
      <c r="O47" s="685"/>
      <c r="P47" s="685"/>
      <c r="Q47" s="685"/>
      <c r="R47" s="685"/>
      <c r="S47" s="685"/>
      <c r="T47" s="685"/>
      <c r="U47" s="685">
        <v>319.57486919365164</v>
      </c>
      <c r="V47" s="685"/>
      <c r="W47" s="768"/>
      <c r="X47" s="768"/>
      <c r="Y47" s="768"/>
      <c r="Z47" s="685"/>
      <c r="AA47" s="776"/>
      <c r="AB47" s="769">
        <f t="shared" si="30"/>
        <v>13.65011258235765</v>
      </c>
      <c r="AC47" s="770"/>
      <c r="AD47" s="685"/>
      <c r="AE47" s="685"/>
      <c r="AF47" s="685"/>
      <c r="AG47" s="685"/>
      <c r="AH47" s="685"/>
      <c r="AI47" s="685">
        <v>13.65011258235765</v>
      </c>
      <c r="AJ47" s="685">
        <v>0</v>
      </c>
      <c r="AK47" s="767"/>
      <c r="AL47" s="768"/>
      <c r="AM47" s="685"/>
      <c r="AN47" s="766"/>
      <c r="AO47" s="776"/>
      <c r="AP47" s="769"/>
      <c r="AQ47" s="684">
        <f t="shared" si="13"/>
        <v>333.22498177600926</v>
      </c>
      <c r="AS47" s="4"/>
    </row>
    <row r="48" spans="1:45" s="3" customFormat="1" ht="12.75" customHeight="1">
      <c r="A48" s="771" t="s">
        <v>177</v>
      </c>
      <c r="B48" s="628"/>
      <c r="C48" s="629">
        <f t="shared" si="27"/>
        <v>0</v>
      </c>
      <c r="D48" s="630"/>
      <c r="E48" s="640"/>
      <c r="F48" s="632"/>
      <c r="G48" s="632"/>
      <c r="H48" s="633">
        <f t="shared" si="28"/>
        <v>0</v>
      </c>
      <c r="I48" s="634"/>
      <c r="J48" s="635"/>
      <c r="K48" s="635"/>
      <c r="L48" s="633">
        <f t="shared" si="29"/>
        <v>1985.7767970742025</v>
      </c>
      <c r="M48" s="635"/>
      <c r="N48" s="635"/>
      <c r="O48" s="635"/>
      <c r="P48" s="635">
        <v>673.74419325959013</v>
      </c>
      <c r="Q48" s="635"/>
      <c r="R48" s="635"/>
      <c r="S48" s="635"/>
      <c r="T48" s="635">
        <v>1.8520724281984335</v>
      </c>
      <c r="U48" s="635">
        <v>1310.180531386414</v>
      </c>
      <c r="V48" s="635"/>
      <c r="W48" s="632"/>
      <c r="X48" s="632"/>
      <c r="Y48" s="632"/>
      <c r="Z48" s="635"/>
      <c r="AA48" s="638"/>
      <c r="AB48" s="636">
        <f t="shared" si="30"/>
        <v>78.347166728170066</v>
      </c>
      <c r="AC48" s="637"/>
      <c r="AD48" s="635"/>
      <c r="AE48" s="635"/>
      <c r="AF48" s="635"/>
      <c r="AG48" s="635"/>
      <c r="AH48" s="635"/>
      <c r="AI48" s="635">
        <v>55.96219690791942</v>
      </c>
      <c r="AJ48" s="635">
        <v>22.384969820250642</v>
      </c>
      <c r="AK48" s="634"/>
      <c r="AL48" s="632"/>
      <c r="AM48" s="635"/>
      <c r="AN48" s="633"/>
      <c r="AO48" s="638">
        <v>1.0652907432262495</v>
      </c>
      <c r="AP48" s="636"/>
      <c r="AQ48" s="639">
        <f t="shared" si="13"/>
        <v>2065.1892545455989</v>
      </c>
      <c r="AS48" s="4"/>
    </row>
    <row r="49" spans="1:45" s="3" customFormat="1" ht="12.75" customHeight="1">
      <c r="A49" s="771" t="s">
        <v>178</v>
      </c>
      <c r="B49" s="628"/>
      <c r="C49" s="629">
        <f t="shared" si="27"/>
        <v>0</v>
      </c>
      <c r="D49" s="630"/>
      <c r="E49" s="640"/>
      <c r="F49" s="632"/>
      <c r="G49" s="632"/>
      <c r="H49" s="633">
        <f t="shared" si="28"/>
        <v>0</v>
      </c>
      <c r="I49" s="634"/>
      <c r="J49" s="635"/>
      <c r="K49" s="635"/>
      <c r="L49" s="633">
        <f t="shared" si="29"/>
        <v>131.85233821544426</v>
      </c>
      <c r="M49" s="635"/>
      <c r="N49" s="635"/>
      <c r="O49" s="635"/>
      <c r="P49" s="635">
        <v>6.3769522656162847</v>
      </c>
      <c r="Q49" s="635"/>
      <c r="R49" s="635"/>
      <c r="S49" s="635"/>
      <c r="T49" s="635"/>
      <c r="U49" s="635">
        <v>125.47538594982798</v>
      </c>
      <c r="V49" s="635"/>
      <c r="W49" s="632"/>
      <c r="X49" s="632"/>
      <c r="Y49" s="632"/>
      <c r="Z49" s="635"/>
      <c r="AA49" s="638"/>
      <c r="AB49" s="636">
        <f t="shared" si="30"/>
        <v>5.5713463444749705</v>
      </c>
      <c r="AC49" s="637"/>
      <c r="AD49" s="635"/>
      <c r="AE49" s="635"/>
      <c r="AF49" s="635"/>
      <c r="AG49" s="635"/>
      <c r="AH49" s="635"/>
      <c r="AI49" s="635">
        <v>5.3594738186126225</v>
      </c>
      <c r="AJ49" s="635">
        <v>0.21187252586234828</v>
      </c>
      <c r="AK49" s="634"/>
      <c r="AL49" s="632"/>
      <c r="AM49" s="635"/>
      <c r="AN49" s="633"/>
      <c r="AO49" s="638"/>
      <c r="AP49" s="636"/>
      <c r="AQ49" s="639">
        <f t="shared" si="13"/>
        <v>137.42368455991922</v>
      </c>
      <c r="AS49" s="4"/>
    </row>
    <row r="50" spans="1:45" s="3" customFormat="1" ht="12.75" customHeight="1">
      <c r="A50" s="771" t="s">
        <v>179</v>
      </c>
      <c r="B50" s="628"/>
      <c r="C50" s="629">
        <f t="shared" si="27"/>
        <v>0</v>
      </c>
      <c r="D50" s="630"/>
      <c r="E50" s="640"/>
      <c r="F50" s="632"/>
      <c r="G50" s="632"/>
      <c r="H50" s="633">
        <f t="shared" si="28"/>
        <v>0</v>
      </c>
      <c r="I50" s="634"/>
      <c r="J50" s="635"/>
      <c r="K50" s="635"/>
      <c r="L50" s="633">
        <f t="shared" si="29"/>
        <v>38.043221783939138</v>
      </c>
      <c r="M50" s="635"/>
      <c r="N50" s="635"/>
      <c r="O50" s="635"/>
      <c r="P50" s="635"/>
      <c r="Q50" s="635"/>
      <c r="R50" s="794"/>
      <c r="S50" s="635"/>
      <c r="T50" s="635"/>
      <c r="U50" s="635">
        <v>38.043221783939138</v>
      </c>
      <c r="V50" s="635"/>
      <c r="W50" s="632"/>
      <c r="X50" s="632"/>
      <c r="Y50" s="632"/>
      <c r="Z50" s="635"/>
      <c r="AA50" s="638"/>
      <c r="AB50" s="636">
        <f t="shared" si="30"/>
        <v>0</v>
      </c>
      <c r="AC50" s="637"/>
      <c r="AD50" s="635"/>
      <c r="AE50" s="635"/>
      <c r="AF50" s="635"/>
      <c r="AG50" s="635"/>
      <c r="AH50" s="635"/>
      <c r="AI50" s="635">
        <v>0</v>
      </c>
      <c r="AJ50" s="635"/>
      <c r="AK50" s="634"/>
      <c r="AL50" s="632"/>
      <c r="AM50" s="635"/>
      <c r="AN50" s="633"/>
      <c r="AO50" s="638">
        <v>4.30809088</v>
      </c>
      <c r="AP50" s="636"/>
      <c r="AQ50" s="639">
        <f t="shared" si="13"/>
        <v>42.35131266393914</v>
      </c>
      <c r="AS50" s="4"/>
    </row>
    <row r="51" spans="1:45" s="3" customFormat="1" ht="12.75" customHeight="1">
      <c r="A51" s="771" t="s">
        <v>180</v>
      </c>
      <c r="B51" s="628"/>
      <c r="C51" s="629">
        <f t="shared" si="27"/>
        <v>0</v>
      </c>
      <c r="D51" s="630"/>
      <c r="E51" s="640"/>
      <c r="F51" s="632"/>
      <c r="G51" s="632"/>
      <c r="H51" s="633">
        <f t="shared" si="28"/>
        <v>0</v>
      </c>
      <c r="I51" s="634"/>
      <c r="J51" s="635"/>
      <c r="K51" s="635"/>
      <c r="L51" s="633">
        <f t="shared" si="29"/>
        <v>5.5768892778871404</v>
      </c>
      <c r="M51" s="635"/>
      <c r="N51" s="635"/>
      <c r="O51" s="635"/>
      <c r="P51" s="635">
        <v>0.66818888888888883</v>
      </c>
      <c r="Q51" s="635"/>
      <c r="R51" s="635">
        <v>4.9087003889982519</v>
      </c>
      <c r="S51" s="635"/>
      <c r="T51" s="635"/>
      <c r="U51" s="635"/>
      <c r="V51" s="635"/>
      <c r="W51" s="632"/>
      <c r="X51" s="632"/>
      <c r="Y51" s="632"/>
      <c r="Z51" s="635"/>
      <c r="AA51" s="638"/>
      <c r="AB51" s="636">
        <f t="shared" si="30"/>
        <v>0</v>
      </c>
      <c r="AC51" s="637"/>
      <c r="AD51" s="635"/>
      <c r="AE51" s="635"/>
      <c r="AF51" s="635"/>
      <c r="AG51" s="635"/>
      <c r="AH51" s="635"/>
      <c r="AI51" s="635"/>
      <c r="AJ51" s="635"/>
      <c r="AK51" s="634"/>
      <c r="AL51" s="632"/>
      <c r="AM51" s="635"/>
      <c r="AN51" s="633"/>
      <c r="AO51" s="638"/>
      <c r="AP51" s="636"/>
      <c r="AQ51" s="639">
        <f t="shared" si="13"/>
        <v>5.5768892778871404</v>
      </c>
      <c r="AS51" s="4"/>
    </row>
    <row r="52" spans="1:45" s="3" customFormat="1" ht="12.75" customHeight="1">
      <c r="A52" s="771" t="s">
        <v>181</v>
      </c>
      <c r="B52" s="775"/>
      <c r="C52" s="795">
        <f t="shared" si="27"/>
        <v>0</v>
      </c>
      <c r="D52" s="794"/>
      <c r="E52" s="794"/>
      <c r="F52" s="796"/>
      <c r="G52" s="796"/>
      <c r="H52" s="797">
        <f t="shared" si="28"/>
        <v>0</v>
      </c>
      <c r="I52" s="798"/>
      <c r="J52" s="794"/>
      <c r="K52" s="794"/>
      <c r="L52" s="797">
        <f t="shared" si="29"/>
        <v>1097.1586093062015</v>
      </c>
      <c r="M52" s="794"/>
      <c r="N52" s="794"/>
      <c r="O52" s="794"/>
      <c r="P52" s="685"/>
      <c r="Q52" s="794"/>
      <c r="R52" s="794">
        <v>1097.1586093062015</v>
      </c>
      <c r="S52" s="794"/>
      <c r="T52" s="794"/>
      <c r="U52" s="794"/>
      <c r="V52" s="794"/>
      <c r="W52" s="796"/>
      <c r="X52" s="796"/>
      <c r="Y52" s="796"/>
      <c r="Z52" s="794"/>
      <c r="AA52" s="776"/>
      <c r="AB52" s="799">
        <f t="shared" si="30"/>
        <v>0</v>
      </c>
      <c r="AC52" s="800"/>
      <c r="AD52" s="794"/>
      <c r="AE52" s="794"/>
      <c r="AF52" s="794"/>
      <c r="AG52" s="794"/>
      <c r="AH52" s="794"/>
      <c r="AI52" s="794"/>
      <c r="AJ52" s="794"/>
      <c r="AK52" s="767"/>
      <c r="AL52" s="768"/>
      <c r="AM52" s="794"/>
      <c r="AN52" s="776"/>
      <c r="AO52" s="776"/>
      <c r="AP52" s="799"/>
      <c r="AQ52" s="801">
        <f t="shared" si="13"/>
        <v>1097.1586093062015</v>
      </c>
      <c r="AS52" s="4"/>
    </row>
    <row r="53" spans="1:45" s="3" customFormat="1" ht="12.75" customHeight="1">
      <c r="A53" s="771" t="s">
        <v>182</v>
      </c>
      <c r="B53" s="775"/>
      <c r="C53" s="795">
        <f t="shared" si="27"/>
        <v>0</v>
      </c>
      <c r="D53" s="798"/>
      <c r="E53" s="794"/>
      <c r="F53" s="796"/>
      <c r="G53" s="796"/>
      <c r="H53" s="797">
        <f t="shared" si="28"/>
        <v>0</v>
      </c>
      <c r="I53" s="798"/>
      <c r="J53" s="794"/>
      <c r="K53" s="794"/>
      <c r="L53" s="797">
        <f t="shared" si="29"/>
        <v>176.94052908505745</v>
      </c>
      <c r="M53" s="794"/>
      <c r="N53" s="794"/>
      <c r="O53" s="794"/>
      <c r="P53" s="794">
        <v>0</v>
      </c>
      <c r="Q53" s="794"/>
      <c r="R53" s="794"/>
      <c r="S53" s="794"/>
      <c r="T53" s="794"/>
      <c r="U53" s="794">
        <v>176.94052908505745</v>
      </c>
      <c r="V53" s="794"/>
      <c r="W53" s="796"/>
      <c r="X53" s="796"/>
      <c r="Y53" s="796"/>
      <c r="Z53" s="794"/>
      <c r="AA53" s="776"/>
      <c r="AB53" s="799">
        <f t="shared" si="30"/>
        <v>7.5577223843887342</v>
      </c>
      <c r="AC53" s="800"/>
      <c r="AD53" s="794"/>
      <c r="AE53" s="794"/>
      <c r="AF53" s="794"/>
      <c r="AG53" s="794"/>
      <c r="AH53" s="794"/>
      <c r="AI53" s="635">
        <v>7.5577223843887342</v>
      </c>
      <c r="AJ53" s="635">
        <v>0</v>
      </c>
      <c r="AK53" s="794"/>
      <c r="AL53" s="794"/>
      <c r="AM53" s="794"/>
      <c r="AN53" s="776"/>
      <c r="AO53" s="638"/>
      <c r="AP53" s="799"/>
      <c r="AQ53" s="801">
        <f t="shared" si="13"/>
        <v>184.49825146944619</v>
      </c>
      <c r="AS53" s="4"/>
    </row>
    <row r="54" spans="1:45" s="3" customFormat="1" ht="12.75" customHeight="1">
      <c r="A54" s="627" t="s">
        <v>183</v>
      </c>
      <c r="B54" s="628"/>
      <c r="C54" s="795">
        <f t="shared" si="27"/>
        <v>0</v>
      </c>
      <c r="D54" s="798"/>
      <c r="E54" s="794"/>
      <c r="F54" s="796"/>
      <c r="G54" s="796"/>
      <c r="H54" s="797">
        <f t="shared" si="28"/>
        <v>0</v>
      </c>
      <c r="I54" s="798"/>
      <c r="J54" s="794"/>
      <c r="K54" s="794"/>
      <c r="L54" s="797">
        <f t="shared" si="29"/>
        <v>83.913724293678101</v>
      </c>
      <c r="M54" s="794"/>
      <c r="N54" s="794"/>
      <c r="O54" s="794"/>
      <c r="P54" s="794"/>
      <c r="Q54" s="794"/>
      <c r="R54" s="794"/>
      <c r="S54" s="794"/>
      <c r="T54" s="794"/>
      <c r="U54" s="794">
        <v>83.913724293678101</v>
      </c>
      <c r="V54" s="794"/>
      <c r="W54" s="796"/>
      <c r="X54" s="796"/>
      <c r="Y54" s="796"/>
      <c r="Z54" s="794"/>
      <c r="AA54" s="734"/>
      <c r="AB54" s="799">
        <f t="shared" si="30"/>
        <v>0</v>
      </c>
      <c r="AC54" s="800"/>
      <c r="AD54" s="794"/>
      <c r="AE54" s="794"/>
      <c r="AF54" s="794"/>
      <c r="AG54" s="794"/>
      <c r="AH54" s="794"/>
      <c r="AI54" s="794"/>
      <c r="AJ54" s="794"/>
      <c r="AK54" s="794"/>
      <c r="AL54" s="794"/>
      <c r="AM54" s="794"/>
      <c r="AN54" s="734"/>
      <c r="AO54" s="776"/>
      <c r="AP54" s="799"/>
      <c r="AQ54" s="801">
        <f t="shared" si="13"/>
        <v>83.913724293678101</v>
      </c>
      <c r="AS54" s="4"/>
    </row>
    <row r="55" spans="1:45" s="3" customFormat="1" ht="12.75" customHeight="1">
      <c r="A55" s="686" t="s">
        <v>184</v>
      </c>
      <c r="B55" s="687"/>
      <c r="C55" s="688">
        <f t="shared" si="27"/>
        <v>0</v>
      </c>
      <c r="D55" s="802"/>
      <c r="E55" s="803"/>
      <c r="F55" s="691"/>
      <c r="G55" s="691"/>
      <c r="H55" s="692">
        <f t="shared" si="28"/>
        <v>0</v>
      </c>
      <c r="I55" s="689"/>
      <c r="J55" s="690"/>
      <c r="K55" s="690"/>
      <c r="L55" s="692">
        <f t="shared" si="29"/>
        <v>478.67565344603031</v>
      </c>
      <c r="M55" s="690"/>
      <c r="N55" s="690"/>
      <c r="O55" s="690"/>
      <c r="P55" s="690">
        <v>140.69069390787573</v>
      </c>
      <c r="Q55" s="690"/>
      <c r="R55" s="690"/>
      <c r="S55" s="690">
        <v>0</v>
      </c>
      <c r="T55" s="690"/>
      <c r="U55" s="690">
        <v>337.98495953815461</v>
      </c>
      <c r="V55" s="690"/>
      <c r="W55" s="691"/>
      <c r="X55" s="691"/>
      <c r="Y55" s="691"/>
      <c r="Z55" s="690"/>
      <c r="AA55" s="695">
        <v>22.531112229915806</v>
      </c>
      <c r="AB55" s="693">
        <f t="shared" si="30"/>
        <v>19.110879685596952</v>
      </c>
      <c r="AC55" s="694"/>
      <c r="AD55" s="690"/>
      <c r="AE55" s="690"/>
      <c r="AF55" s="690"/>
      <c r="AG55" s="690"/>
      <c r="AH55" s="690"/>
      <c r="AI55" s="690">
        <v>14.436469176941943</v>
      </c>
      <c r="AJ55" s="690">
        <v>4.6744105086550087</v>
      </c>
      <c r="AK55" s="689"/>
      <c r="AL55" s="691"/>
      <c r="AM55" s="690"/>
      <c r="AN55" s="692"/>
      <c r="AO55" s="695"/>
      <c r="AP55" s="693"/>
      <c r="AQ55" s="696">
        <f t="shared" si="13"/>
        <v>520.3176453615431</v>
      </c>
      <c r="AS55" s="4"/>
    </row>
    <row r="56" spans="1:45" s="31" customFormat="1" ht="12.75" customHeight="1">
      <c r="A56" s="96" t="s">
        <v>1</v>
      </c>
      <c r="B56" s="805"/>
      <c r="C56" s="806">
        <f t="shared" si="27"/>
        <v>245.30288163122782</v>
      </c>
      <c r="D56" s="807">
        <v>84.19758326883435</v>
      </c>
      <c r="E56" s="631">
        <v>153.30941368399715</v>
      </c>
      <c r="F56" s="808"/>
      <c r="G56" s="808">
        <v>7.795884678396293</v>
      </c>
      <c r="H56" s="809">
        <f t="shared" si="28"/>
        <v>196.53880633</v>
      </c>
      <c r="I56" s="807"/>
      <c r="J56" s="706">
        <v>127.70399999999999</v>
      </c>
      <c r="K56" s="706">
        <v>68.834806329999992</v>
      </c>
      <c r="L56" s="809">
        <f t="shared" si="29"/>
        <v>1204.833103126648</v>
      </c>
      <c r="M56" s="706"/>
      <c r="N56" s="706"/>
      <c r="O56" s="706"/>
      <c r="P56" s="706">
        <v>0</v>
      </c>
      <c r="Q56" s="706">
        <v>863.40024232349867</v>
      </c>
      <c r="R56" s="706"/>
      <c r="S56" s="706">
        <v>0</v>
      </c>
      <c r="T56" s="706">
        <v>53.841522983216713</v>
      </c>
      <c r="U56" s="706">
        <v>284.08105108362315</v>
      </c>
      <c r="V56" s="706">
        <v>3.5102867363093639</v>
      </c>
      <c r="W56" s="808"/>
      <c r="X56" s="808"/>
      <c r="Y56" s="808"/>
      <c r="Z56" s="706"/>
      <c r="AA56" s="809">
        <v>604.09375845912712</v>
      </c>
      <c r="AB56" s="810">
        <f t="shared" si="30"/>
        <v>72.095627568998594</v>
      </c>
      <c r="AC56" s="811"/>
      <c r="AD56" s="706"/>
      <c r="AE56" s="706">
        <v>30.588864173321877</v>
      </c>
      <c r="AF56" s="706"/>
      <c r="AG56" s="706"/>
      <c r="AH56" s="706"/>
      <c r="AI56" s="706"/>
      <c r="AJ56" s="706"/>
      <c r="AK56" s="807"/>
      <c r="AL56" s="808">
        <v>13.379590942008413</v>
      </c>
      <c r="AM56" s="706">
        <v>28.127172453668308</v>
      </c>
      <c r="AN56" s="809"/>
      <c r="AO56" s="809">
        <v>702.94473599999992</v>
      </c>
      <c r="AP56" s="810"/>
      <c r="AQ56" s="707">
        <f t="shared" si="13"/>
        <v>3025.8089131160013</v>
      </c>
      <c r="AR56" s="29"/>
      <c r="AS56" s="30"/>
    </row>
    <row r="57" spans="1:45" s="6" customFormat="1" ht="12.75" customHeight="1">
      <c r="A57" s="804" t="s">
        <v>815</v>
      </c>
      <c r="B57" s="805"/>
      <c r="C57" s="806">
        <f>C58+C65</f>
        <v>0.53991879699248124</v>
      </c>
      <c r="D57" s="706">
        <f t="shared" ref="D57:AP57" si="31">D58+D65</f>
        <v>0.53991879699248124</v>
      </c>
      <c r="E57" s="706">
        <f t="shared" si="31"/>
        <v>0</v>
      </c>
      <c r="F57" s="808">
        <f t="shared" si="31"/>
        <v>0</v>
      </c>
      <c r="G57" s="808">
        <f t="shared" si="31"/>
        <v>0</v>
      </c>
      <c r="H57" s="809">
        <f t="shared" si="31"/>
        <v>0</v>
      </c>
      <c r="I57" s="807">
        <f t="shared" si="31"/>
        <v>0</v>
      </c>
      <c r="J57" s="807">
        <f t="shared" si="31"/>
        <v>0</v>
      </c>
      <c r="K57" s="807">
        <f t="shared" si="31"/>
        <v>0</v>
      </c>
      <c r="L57" s="809">
        <f t="shared" si="31"/>
        <v>263.55542937744985</v>
      </c>
      <c r="M57" s="706">
        <f t="shared" si="31"/>
        <v>0</v>
      </c>
      <c r="N57" s="706">
        <f t="shared" si="31"/>
        <v>0</v>
      </c>
      <c r="O57" s="706">
        <f t="shared" si="31"/>
        <v>0</v>
      </c>
      <c r="P57" s="706">
        <f t="shared" si="31"/>
        <v>0</v>
      </c>
      <c r="Q57" s="706">
        <f t="shared" si="31"/>
        <v>73.683977149948603</v>
      </c>
      <c r="R57" s="706">
        <f t="shared" si="31"/>
        <v>0</v>
      </c>
      <c r="S57" s="706">
        <f t="shared" si="31"/>
        <v>0.64284746861564912</v>
      </c>
      <c r="T57" s="706">
        <f t="shared" si="31"/>
        <v>69.72090857001308</v>
      </c>
      <c r="U57" s="706">
        <f t="shared" si="31"/>
        <v>119.50730406570531</v>
      </c>
      <c r="V57" s="706">
        <f t="shared" si="31"/>
        <v>3.9212316723240829E-4</v>
      </c>
      <c r="W57" s="808">
        <f t="shared" si="31"/>
        <v>0</v>
      </c>
      <c r="X57" s="808">
        <f t="shared" si="31"/>
        <v>0</v>
      </c>
      <c r="Y57" s="808">
        <f t="shared" si="31"/>
        <v>0</v>
      </c>
      <c r="Z57" s="807">
        <f t="shared" si="31"/>
        <v>0</v>
      </c>
      <c r="AA57" s="809">
        <f t="shared" si="31"/>
        <v>397.69184770224592</v>
      </c>
      <c r="AB57" s="810">
        <f t="shared" si="31"/>
        <v>41.379323582548558</v>
      </c>
      <c r="AC57" s="811">
        <f t="shared" si="31"/>
        <v>0</v>
      </c>
      <c r="AD57" s="706">
        <f t="shared" si="31"/>
        <v>0</v>
      </c>
      <c r="AE57" s="706">
        <f t="shared" si="31"/>
        <v>17.99312324724</v>
      </c>
      <c r="AF57" s="706">
        <f t="shared" si="31"/>
        <v>0</v>
      </c>
      <c r="AG57" s="706">
        <f t="shared" si="31"/>
        <v>0</v>
      </c>
      <c r="AH57" s="706">
        <f t="shared" si="31"/>
        <v>7.541555368675982</v>
      </c>
      <c r="AI57" s="706">
        <f t="shared" si="31"/>
        <v>0</v>
      </c>
      <c r="AJ57" s="706">
        <f t="shared" si="31"/>
        <v>0</v>
      </c>
      <c r="AK57" s="706">
        <f t="shared" si="31"/>
        <v>0</v>
      </c>
      <c r="AL57" s="706">
        <f t="shared" si="31"/>
        <v>0.16649466165720572</v>
      </c>
      <c r="AM57" s="807">
        <f t="shared" si="31"/>
        <v>15.678150304975372</v>
      </c>
      <c r="AN57" s="809">
        <f t="shared" si="31"/>
        <v>0</v>
      </c>
      <c r="AO57" s="809">
        <f t="shared" si="31"/>
        <v>1019.3925755397834</v>
      </c>
      <c r="AP57" s="810">
        <f t="shared" si="31"/>
        <v>0</v>
      </c>
      <c r="AQ57" s="812">
        <f t="shared" si="13"/>
        <v>1722.5590949990201</v>
      </c>
      <c r="AR57" s="3"/>
      <c r="AS57" s="27"/>
    </row>
    <row r="58" spans="1:45" s="3" customFormat="1" ht="12.75" customHeight="1">
      <c r="A58" s="96" t="s">
        <v>816</v>
      </c>
      <c r="B58" s="805"/>
      <c r="C58" s="806">
        <f t="shared" si="27"/>
        <v>0.53991879699248124</v>
      </c>
      <c r="D58" s="811">
        <v>0.53991879699248124</v>
      </c>
      <c r="E58" s="810">
        <v>0</v>
      </c>
      <c r="F58" s="810">
        <f>SUM(F59:F64)</f>
        <v>0</v>
      </c>
      <c r="G58" s="813">
        <v>0</v>
      </c>
      <c r="H58" s="809">
        <f t="shared" si="28"/>
        <v>0</v>
      </c>
      <c r="I58" s="807">
        <f>SUM(I59:I64)</f>
        <v>0</v>
      </c>
      <c r="J58" s="807">
        <f>SUM(J59:J64)</f>
        <v>0</v>
      </c>
      <c r="K58" s="807">
        <f>SUM(K59:K64)</f>
        <v>0</v>
      </c>
      <c r="L58" s="809">
        <f t="shared" si="29"/>
        <v>123.39297948584372</v>
      </c>
      <c r="M58" s="706">
        <f t="shared" ref="M58:AN58" si="32">SUM(M59:M64)</f>
        <v>0</v>
      </c>
      <c r="N58" s="808">
        <f t="shared" si="32"/>
        <v>0</v>
      </c>
      <c r="O58" s="808">
        <f t="shared" si="32"/>
        <v>0</v>
      </c>
      <c r="P58" s="810">
        <f t="shared" si="32"/>
        <v>0</v>
      </c>
      <c r="Q58" s="810">
        <v>25.817592108194308</v>
      </c>
      <c r="R58" s="810">
        <f t="shared" si="32"/>
        <v>0</v>
      </c>
      <c r="S58" s="810">
        <v>0</v>
      </c>
      <c r="T58" s="810">
        <v>53.639757659500326</v>
      </c>
      <c r="U58" s="810">
        <v>43.935237594981864</v>
      </c>
      <c r="V58" s="810">
        <f t="shared" si="32"/>
        <v>3.9212316723240829E-4</v>
      </c>
      <c r="W58" s="810">
        <f t="shared" si="32"/>
        <v>0</v>
      </c>
      <c r="X58" s="810">
        <f t="shared" si="32"/>
        <v>0</v>
      </c>
      <c r="Y58" s="808">
        <f t="shared" si="32"/>
        <v>0</v>
      </c>
      <c r="Z58" s="807">
        <f t="shared" si="32"/>
        <v>0</v>
      </c>
      <c r="AA58" s="809">
        <v>205.61511570855646</v>
      </c>
      <c r="AB58" s="810">
        <f t="shared" si="30"/>
        <v>23.586836774290585</v>
      </c>
      <c r="AC58" s="811">
        <f t="shared" si="32"/>
        <v>0</v>
      </c>
      <c r="AD58" s="706">
        <f t="shared" si="32"/>
        <v>0</v>
      </c>
      <c r="AE58" s="706">
        <f t="shared" si="32"/>
        <v>5.0179504193776099</v>
      </c>
      <c r="AF58" s="706"/>
      <c r="AG58" s="706">
        <f t="shared" si="32"/>
        <v>0</v>
      </c>
      <c r="AH58" s="706">
        <f t="shared" si="32"/>
        <v>2.7242413882803982</v>
      </c>
      <c r="AI58" s="706">
        <f t="shared" si="32"/>
        <v>0</v>
      </c>
      <c r="AJ58" s="706">
        <f t="shared" si="32"/>
        <v>0</v>
      </c>
      <c r="AK58" s="706"/>
      <c r="AL58" s="706">
        <v>0.16649466165720572</v>
      </c>
      <c r="AM58" s="808">
        <v>15.678150304975372</v>
      </c>
      <c r="AN58" s="809">
        <f t="shared" si="32"/>
        <v>0</v>
      </c>
      <c r="AO58" s="809">
        <v>684.51532146142654</v>
      </c>
      <c r="AP58" s="810">
        <f t="shared" ref="AP58" si="33">SUM(AP59:AP64)</f>
        <v>0</v>
      </c>
      <c r="AQ58" s="812">
        <f t="shared" si="13"/>
        <v>1037.6501722271098</v>
      </c>
      <c r="AS58" s="28"/>
    </row>
    <row r="59" spans="1:45" s="16" customFormat="1" ht="12.75" customHeight="1">
      <c r="A59" s="814" t="s">
        <v>817</v>
      </c>
      <c r="B59" s="815" t="s">
        <v>818</v>
      </c>
      <c r="C59" s="676">
        <f t="shared" si="27"/>
        <v>9.9984962406015031E-3</v>
      </c>
      <c r="D59" s="816">
        <v>9.9984962406015031E-3</v>
      </c>
      <c r="E59" s="681"/>
      <c r="F59" s="681"/>
      <c r="G59" s="722"/>
      <c r="H59" s="680">
        <f t="shared" si="28"/>
        <v>0</v>
      </c>
      <c r="I59" s="790"/>
      <c r="J59" s="790"/>
      <c r="K59" s="790"/>
      <c r="L59" s="680">
        <f t="shared" si="29"/>
        <v>32.327049654868127</v>
      </c>
      <c r="M59" s="724"/>
      <c r="N59" s="817"/>
      <c r="O59" s="817"/>
      <c r="P59" s="681"/>
      <c r="Q59" s="818">
        <v>8.0278057943609493</v>
      </c>
      <c r="R59" s="681"/>
      <c r="S59" s="818">
        <v>0</v>
      </c>
      <c r="T59" s="818">
        <v>15.105482293518097</v>
      </c>
      <c r="U59" s="818">
        <v>9.19376156698908</v>
      </c>
      <c r="V59" s="818">
        <v>0</v>
      </c>
      <c r="W59" s="681"/>
      <c r="X59" s="681"/>
      <c r="Y59" s="817"/>
      <c r="Z59" s="790"/>
      <c r="AA59" s="819">
        <v>57.532573159401849</v>
      </c>
      <c r="AB59" s="681">
        <f t="shared" si="30"/>
        <v>1.2773333532141125</v>
      </c>
      <c r="AC59" s="820"/>
      <c r="AD59" s="724"/>
      <c r="AE59" s="821">
        <v>1.2773333532141125</v>
      </c>
      <c r="AF59" s="821"/>
      <c r="AG59" s="821"/>
      <c r="AH59" s="821">
        <v>0</v>
      </c>
      <c r="AI59" s="821"/>
      <c r="AJ59" s="821"/>
      <c r="AK59" s="821"/>
      <c r="AL59" s="821">
        <v>0</v>
      </c>
      <c r="AM59" s="822">
        <v>0</v>
      </c>
      <c r="AN59" s="680"/>
      <c r="AO59" s="819">
        <v>227.43297899256885</v>
      </c>
      <c r="AP59" s="681"/>
      <c r="AQ59" s="823">
        <f t="shared" si="13"/>
        <v>318.57993365629352</v>
      </c>
      <c r="AS59" s="28"/>
    </row>
    <row r="60" spans="1:45" s="16" customFormat="1" ht="12.75" customHeight="1">
      <c r="A60" s="814" t="s">
        <v>819</v>
      </c>
      <c r="B60" s="815" t="s">
        <v>820</v>
      </c>
      <c r="C60" s="629">
        <f t="shared" si="27"/>
        <v>1.0998345864661654E-2</v>
      </c>
      <c r="D60" s="816">
        <v>1.0998345864661654E-2</v>
      </c>
      <c r="E60" s="636"/>
      <c r="F60" s="636"/>
      <c r="G60" s="824"/>
      <c r="H60" s="633">
        <f t="shared" si="28"/>
        <v>0</v>
      </c>
      <c r="I60" s="630"/>
      <c r="J60" s="630"/>
      <c r="K60" s="630"/>
      <c r="L60" s="633">
        <f t="shared" si="29"/>
        <v>24.137833390343388</v>
      </c>
      <c r="M60" s="640"/>
      <c r="N60" s="631"/>
      <c r="O60" s="631"/>
      <c r="P60" s="636"/>
      <c r="Q60" s="818">
        <v>5.3543303518790886</v>
      </c>
      <c r="R60" s="636"/>
      <c r="S60" s="818">
        <v>0</v>
      </c>
      <c r="T60" s="818">
        <v>5.393987425308894</v>
      </c>
      <c r="U60" s="818">
        <v>13.389515613155407</v>
      </c>
      <c r="V60" s="818">
        <v>0</v>
      </c>
      <c r="W60" s="636"/>
      <c r="X60" s="636"/>
      <c r="Y60" s="631"/>
      <c r="Z60" s="630"/>
      <c r="AA60" s="819">
        <v>17.076846566169994</v>
      </c>
      <c r="AB60" s="636">
        <f t="shared" si="30"/>
        <v>6.7770858417357749E-2</v>
      </c>
      <c r="AC60" s="825"/>
      <c r="AD60" s="640"/>
      <c r="AE60" s="826">
        <v>6.7770858417357749E-2</v>
      </c>
      <c r="AF60" s="826"/>
      <c r="AG60" s="826"/>
      <c r="AH60" s="826">
        <v>0</v>
      </c>
      <c r="AI60" s="826"/>
      <c r="AJ60" s="826"/>
      <c r="AK60" s="826"/>
      <c r="AL60" s="826">
        <v>0</v>
      </c>
      <c r="AM60" s="827">
        <v>0</v>
      </c>
      <c r="AN60" s="633"/>
      <c r="AO60" s="819">
        <v>69.841724309024471</v>
      </c>
      <c r="AP60" s="636"/>
      <c r="AQ60" s="828">
        <f t="shared" si="13"/>
        <v>111.13517346981988</v>
      </c>
      <c r="AS60" s="28"/>
    </row>
    <row r="61" spans="1:45" s="16" customFormat="1" ht="12.75" customHeight="1">
      <c r="A61" s="814" t="s">
        <v>821</v>
      </c>
      <c r="B61" s="815" t="s">
        <v>822</v>
      </c>
      <c r="C61" s="629">
        <f t="shared" si="27"/>
        <v>0.48392721804511274</v>
      </c>
      <c r="D61" s="816">
        <v>0.48392721804511274</v>
      </c>
      <c r="E61" s="636"/>
      <c r="F61" s="636"/>
      <c r="G61" s="824"/>
      <c r="H61" s="633">
        <f t="shared" si="28"/>
        <v>0</v>
      </c>
      <c r="I61" s="630"/>
      <c r="J61" s="630"/>
      <c r="K61" s="630"/>
      <c r="L61" s="633">
        <f t="shared" si="29"/>
        <v>31.333616383670492</v>
      </c>
      <c r="M61" s="640"/>
      <c r="N61" s="631"/>
      <c r="O61" s="631"/>
      <c r="P61" s="636"/>
      <c r="Q61" s="818">
        <v>4.9790317487546645</v>
      </c>
      <c r="R61" s="636"/>
      <c r="S61" s="818">
        <v>0</v>
      </c>
      <c r="T61" s="818">
        <v>19.202826984364982</v>
      </c>
      <c r="U61" s="818">
        <v>7.1517576505508451</v>
      </c>
      <c r="V61" s="818">
        <v>0</v>
      </c>
      <c r="W61" s="636"/>
      <c r="X61" s="636"/>
      <c r="Y61" s="631"/>
      <c r="Z61" s="630"/>
      <c r="AA61" s="819">
        <v>37.147190784142389</v>
      </c>
      <c r="AB61" s="636">
        <f t="shared" si="30"/>
        <v>2.1318354810851448</v>
      </c>
      <c r="AC61" s="825"/>
      <c r="AD61" s="640"/>
      <c r="AE61" s="826">
        <v>2.1318354810851448</v>
      </c>
      <c r="AF61" s="826"/>
      <c r="AG61" s="826"/>
      <c r="AH61" s="826">
        <v>0</v>
      </c>
      <c r="AI61" s="826"/>
      <c r="AJ61" s="826"/>
      <c r="AK61" s="826"/>
      <c r="AL61" s="826">
        <v>0</v>
      </c>
      <c r="AM61" s="827">
        <v>0</v>
      </c>
      <c r="AN61" s="633"/>
      <c r="AO61" s="819">
        <v>87.896378653102275</v>
      </c>
      <c r="AP61" s="636"/>
      <c r="AQ61" s="828">
        <f t="shared" si="13"/>
        <v>158.99294852004542</v>
      </c>
      <c r="AS61" s="28"/>
    </row>
    <row r="62" spans="1:45" s="16" customFormat="1" ht="12.75" customHeight="1">
      <c r="A62" s="814" t="s">
        <v>823</v>
      </c>
      <c r="B62" s="815" t="s">
        <v>824</v>
      </c>
      <c r="C62" s="629">
        <f t="shared" si="27"/>
        <v>0</v>
      </c>
      <c r="D62" s="816">
        <v>0</v>
      </c>
      <c r="E62" s="636"/>
      <c r="F62" s="636"/>
      <c r="G62" s="824"/>
      <c r="H62" s="633">
        <f t="shared" si="28"/>
        <v>0</v>
      </c>
      <c r="I62" s="630"/>
      <c r="J62" s="630"/>
      <c r="K62" s="630"/>
      <c r="L62" s="633">
        <f t="shared" si="29"/>
        <v>5.4379501694305112</v>
      </c>
      <c r="M62" s="640"/>
      <c r="N62" s="631"/>
      <c r="O62" s="631"/>
      <c r="P62" s="636"/>
      <c r="Q62" s="818">
        <v>1.5602301478206442</v>
      </c>
      <c r="R62" s="636"/>
      <c r="S62" s="818">
        <v>0</v>
      </c>
      <c r="T62" s="818">
        <v>1.6396331271347122</v>
      </c>
      <c r="U62" s="818">
        <v>2.2380868944751544</v>
      </c>
      <c r="V62" s="818">
        <v>0</v>
      </c>
      <c r="W62" s="636"/>
      <c r="X62" s="636"/>
      <c r="Y62" s="631"/>
      <c r="Z62" s="630"/>
      <c r="AA62" s="819">
        <v>9.7954001243574229</v>
      </c>
      <c r="AB62" s="636">
        <f t="shared" si="30"/>
        <v>3.8305267801115254E-2</v>
      </c>
      <c r="AC62" s="825"/>
      <c r="AD62" s="640"/>
      <c r="AE62" s="826">
        <v>3.8305267801115254E-2</v>
      </c>
      <c r="AF62" s="826"/>
      <c r="AG62" s="826"/>
      <c r="AH62" s="826">
        <v>0</v>
      </c>
      <c r="AI62" s="826"/>
      <c r="AJ62" s="826"/>
      <c r="AK62" s="826"/>
      <c r="AL62" s="826">
        <v>0</v>
      </c>
      <c r="AM62" s="827">
        <v>0</v>
      </c>
      <c r="AN62" s="633"/>
      <c r="AO62" s="819">
        <v>168.21982573047418</v>
      </c>
      <c r="AP62" s="636"/>
      <c r="AQ62" s="828">
        <f t="shared" si="13"/>
        <v>183.49148129206324</v>
      </c>
      <c r="AS62" s="28"/>
    </row>
    <row r="63" spans="1:45" s="16" customFormat="1" ht="12.75" customHeight="1">
      <c r="A63" s="814" t="s">
        <v>825</v>
      </c>
      <c r="B63" s="815" t="s">
        <v>826</v>
      </c>
      <c r="C63" s="629">
        <f t="shared" si="27"/>
        <v>3.4994736842105266E-2</v>
      </c>
      <c r="D63" s="829">
        <v>3.4994736842105266E-2</v>
      </c>
      <c r="E63" s="636"/>
      <c r="F63" s="636"/>
      <c r="G63" s="824"/>
      <c r="H63" s="633">
        <f t="shared" si="28"/>
        <v>0</v>
      </c>
      <c r="I63" s="630"/>
      <c r="J63" s="630"/>
      <c r="K63" s="630"/>
      <c r="L63" s="633">
        <f t="shared" si="29"/>
        <v>2.5994355613729017</v>
      </c>
      <c r="M63" s="640"/>
      <c r="N63" s="631"/>
      <c r="O63" s="631"/>
      <c r="P63" s="636"/>
      <c r="Q63" s="830">
        <v>0.92243336442098911</v>
      </c>
      <c r="R63" s="636"/>
      <c r="S63" s="830">
        <v>0</v>
      </c>
      <c r="T63" s="830">
        <v>0.18424146092891816</v>
      </c>
      <c r="U63" s="830">
        <v>1.4927607360229946</v>
      </c>
      <c r="V63" s="830">
        <v>0</v>
      </c>
      <c r="W63" s="636"/>
      <c r="X63" s="636"/>
      <c r="Y63" s="631"/>
      <c r="Z63" s="630"/>
      <c r="AA63" s="831">
        <v>15.333339022313094</v>
      </c>
      <c r="AB63" s="636">
        <f t="shared" si="30"/>
        <v>0</v>
      </c>
      <c r="AC63" s="825"/>
      <c r="AD63" s="640"/>
      <c r="AE63" s="826">
        <v>0</v>
      </c>
      <c r="AF63" s="826"/>
      <c r="AG63" s="826"/>
      <c r="AH63" s="826">
        <v>0</v>
      </c>
      <c r="AI63" s="826"/>
      <c r="AJ63" s="826"/>
      <c r="AK63" s="826"/>
      <c r="AL63" s="826">
        <v>0</v>
      </c>
      <c r="AM63" s="827">
        <v>0</v>
      </c>
      <c r="AN63" s="633"/>
      <c r="AO63" s="831">
        <v>37.594013086148287</v>
      </c>
      <c r="AP63" s="636"/>
      <c r="AQ63" s="828">
        <f t="shared" si="13"/>
        <v>55.561782406676386</v>
      </c>
      <c r="AS63" s="28"/>
    </row>
    <row r="64" spans="1:45" s="16" customFormat="1" ht="12.75" customHeight="1">
      <c r="A64" s="832" t="s">
        <v>827</v>
      </c>
      <c r="B64" s="833"/>
      <c r="C64" s="688">
        <f t="shared" si="27"/>
        <v>0</v>
      </c>
      <c r="D64" s="829">
        <v>0</v>
      </c>
      <c r="E64" s="693"/>
      <c r="F64" s="693"/>
      <c r="G64" s="834"/>
      <c r="H64" s="692">
        <f t="shared" si="28"/>
        <v>0</v>
      </c>
      <c r="I64" s="802"/>
      <c r="J64" s="802"/>
      <c r="K64" s="802"/>
      <c r="L64" s="692">
        <f t="shared" si="29"/>
        <v>27.557094326158314</v>
      </c>
      <c r="M64" s="803"/>
      <c r="N64" s="835"/>
      <c r="O64" s="835"/>
      <c r="P64" s="693"/>
      <c r="Q64" s="830">
        <v>4.9737607009579721</v>
      </c>
      <c r="R64" s="693"/>
      <c r="S64" s="830">
        <v>0</v>
      </c>
      <c r="T64" s="830">
        <v>12.11358636824472</v>
      </c>
      <c r="U64" s="830">
        <v>10.469355133788389</v>
      </c>
      <c r="V64" s="830">
        <v>3.9212316723240829E-4</v>
      </c>
      <c r="W64" s="693"/>
      <c r="X64" s="693"/>
      <c r="Y64" s="835"/>
      <c r="Z64" s="802"/>
      <c r="AA64" s="831">
        <v>68.729766052171726</v>
      </c>
      <c r="AB64" s="693">
        <f t="shared" si="30"/>
        <v>20.071591813772855</v>
      </c>
      <c r="AC64" s="836"/>
      <c r="AD64" s="803"/>
      <c r="AE64" s="837">
        <v>1.5027054588598796</v>
      </c>
      <c r="AF64" s="837"/>
      <c r="AG64" s="837"/>
      <c r="AH64" s="837">
        <v>2.7242413882803982</v>
      </c>
      <c r="AI64" s="837"/>
      <c r="AJ64" s="837"/>
      <c r="AK64" s="837"/>
      <c r="AL64" s="837">
        <v>0.16649466165720572</v>
      </c>
      <c r="AM64" s="838">
        <v>15.678150304975372</v>
      </c>
      <c r="AN64" s="692"/>
      <c r="AO64" s="831">
        <v>93.530400690108436</v>
      </c>
      <c r="AP64" s="693"/>
      <c r="AQ64" s="839">
        <f t="shared" si="13"/>
        <v>209.88885288221132</v>
      </c>
      <c r="AS64" s="28"/>
    </row>
    <row r="65" spans="1:45" s="3" customFormat="1" ht="12.75" customHeight="1">
      <c r="A65" s="96" t="s">
        <v>828</v>
      </c>
      <c r="B65" s="805"/>
      <c r="C65" s="688">
        <f>SUM(D65:G65)</f>
        <v>0</v>
      </c>
      <c r="D65" s="811">
        <f>SUM(D66:D69)</f>
        <v>0</v>
      </c>
      <c r="E65" s="779"/>
      <c r="F65" s="779"/>
      <c r="G65" s="780"/>
      <c r="H65" s="692">
        <f>SUM(I65:K65)</f>
        <v>0</v>
      </c>
      <c r="I65" s="689"/>
      <c r="J65" s="690">
        <v>0</v>
      </c>
      <c r="K65" s="690">
        <v>0</v>
      </c>
      <c r="L65" s="692">
        <f>SUM(M65:Z65)</f>
        <v>140.16244989160612</v>
      </c>
      <c r="M65" s="690"/>
      <c r="N65" s="691"/>
      <c r="O65" s="691"/>
      <c r="P65" s="779"/>
      <c r="Q65" s="810">
        <v>47.866385041754299</v>
      </c>
      <c r="R65" s="779"/>
      <c r="S65" s="810">
        <v>0.64284746861564912</v>
      </c>
      <c r="T65" s="810">
        <v>16.081150910512747</v>
      </c>
      <c r="U65" s="810">
        <v>75.572066470723442</v>
      </c>
      <c r="V65" s="810">
        <f>SUM(V66:V69)</f>
        <v>0</v>
      </c>
      <c r="W65" s="779"/>
      <c r="X65" s="779"/>
      <c r="Y65" s="691"/>
      <c r="Z65" s="690"/>
      <c r="AA65" s="809">
        <v>192.07673199368949</v>
      </c>
      <c r="AB65" s="693">
        <f>SUM(AC65:AM65)</f>
        <v>17.792486808257973</v>
      </c>
      <c r="AC65" s="694"/>
      <c r="AD65" s="690"/>
      <c r="AE65" s="690">
        <f>SUM(AE66:AE69)</f>
        <v>12.975172827862389</v>
      </c>
      <c r="AF65" s="690"/>
      <c r="AG65" s="690"/>
      <c r="AH65" s="690">
        <v>4.8173139803955838</v>
      </c>
      <c r="AI65" s="690"/>
      <c r="AJ65" s="690"/>
      <c r="AK65" s="690"/>
      <c r="AL65" s="690"/>
      <c r="AM65" s="691"/>
      <c r="AN65" s="692"/>
      <c r="AO65" s="809">
        <v>334.87725407835688</v>
      </c>
      <c r="AP65" s="693"/>
      <c r="AQ65" s="840">
        <f t="shared" si="13"/>
        <v>684.90892277191051</v>
      </c>
      <c r="AS65" s="28"/>
    </row>
    <row r="66" spans="1:45" s="16" customFormat="1" ht="12.75" customHeight="1">
      <c r="A66" s="841" t="s">
        <v>829</v>
      </c>
      <c r="B66" s="842" t="s">
        <v>830</v>
      </c>
      <c r="C66" s="676">
        <f t="shared" ref="C66:C69" si="34">SUM(D66:G66)</f>
        <v>0</v>
      </c>
      <c r="D66" s="843">
        <v>0</v>
      </c>
      <c r="E66" s="725"/>
      <c r="F66" s="725"/>
      <c r="G66" s="844"/>
      <c r="H66" s="680">
        <f t="shared" ref="H66:H69" si="35">SUM(I66:K66)</f>
        <v>0</v>
      </c>
      <c r="I66" s="845"/>
      <c r="J66" s="678"/>
      <c r="K66" s="846"/>
      <c r="L66" s="680">
        <f t="shared" ref="L66:L69" si="36">SUM(M66:Z66)</f>
        <v>11.083842216367572</v>
      </c>
      <c r="M66" s="845"/>
      <c r="N66" s="725"/>
      <c r="O66" s="679"/>
      <c r="P66" s="725"/>
      <c r="Q66" s="847">
        <v>0.2530102942411856</v>
      </c>
      <c r="R66" s="725"/>
      <c r="S66" s="847">
        <v>0.3129380842779857</v>
      </c>
      <c r="T66" s="847">
        <v>1.0521462045500485</v>
      </c>
      <c r="U66" s="847">
        <v>9.4657476332983528</v>
      </c>
      <c r="V66" s="847">
        <v>0</v>
      </c>
      <c r="W66" s="725"/>
      <c r="X66" s="725"/>
      <c r="Y66" s="679"/>
      <c r="Z66" s="678"/>
      <c r="AA66" s="848">
        <v>8.4437848043838404</v>
      </c>
      <c r="AB66" s="681">
        <f t="shared" ref="AB66:AB69" si="37">SUM(AC66:AM66)</f>
        <v>5.4773432101994155</v>
      </c>
      <c r="AC66" s="682"/>
      <c r="AD66" s="678"/>
      <c r="AE66" s="678">
        <v>0.66002922980383205</v>
      </c>
      <c r="AF66" s="678"/>
      <c r="AG66" s="678"/>
      <c r="AH66" s="678">
        <v>4.8173139803955838</v>
      </c>
      <c r="AI66" s="678"/>
      <c r="AJ66" s="678"/>
      <c r="AK66" s="678"/>
      <c r="AL66" s="678"/>
      <c r="AM66" s="679"/>
      <c r="AN66" s="680"/>
      <c r="AO66" s="848">
        <v>55.850156928746095</v>
      </c>
      <c r="AP66" s="681"/>
      <c r="AQ66" s="708">
        <f t="shared" si="13"/>
        <v>80.85512715969692</v>
      </c>
      <c r="AS66" s="28"/>
    </row>
    <row r="67" spans="1:45" s="16" customFormat="1" ht="12.75" customHeight="1">
      <c r="A67" s="849" t="s">
        <v>831</v>
      </c>
      <c r="B67" s="850">
        <v>84</v>
      </c>
      <c r="C67" s="629">
        <f t="shared" si="34"/>
        <v>0</v>
      </c>
      <c r="D67" s="851">
        <v>0</v>
      </c>
      <c r="E67" s="773"/>
      <c r="F67" s="773"/>
      <c r="G67" s="774"/>
      <c r="H67" s="633">
        <f t="shared" si="35"/>
        <v>0</v>
      </c>
      <c r="I67" s="852"/>
      <c r="J67" s="635"/>
      <c r="K67" s="853"/>
      <c r="L67" s="633">
        <f t="shared" si="36"/>
        <v>59.95397707725251</v>
      </c>
      <c r="M67" s="852"/>
      <c r="N67" s="773"/>
      <c r="O67" s="632"/>
      <c r="P67" s="773"/>
      <c r="Q67" s="854">
        <v>11.981091641879475</v>
      </c>
      <c r="R67" s="773"/>
      <c r="S67" s="854">
        <v>0.20048339509750321</v>
      </c>
      <c r="T67" s="854">
        <v>7.85054023769447</v>
      </c>
      <c r="U67" s="854">
        <v>39.921861802581063</v>
      </c>
      <c r="V67" s="854">
        <v>0</v>
      </c>
      <c r="W67" s="773"/>
      <c r="X67" s="773"/>
      <c r="Y67" s="632"/>
      <c r="Z67" s="635"/>
      <c r="AA67" s="855">
        <v>66.187230278743982</v>
      </c>
      <c r="AB67" s="636">
        <f t="shared" si="37"/>
        <v>9.4672942649987188</v>
      </c>
      <c r="AC67" s="637"/>
      <c r="AD67" s="635"/>
      <c r="AE67" s="635">
        <v>9.4672942649987188</v>
      </c>
      <c r="AF67" s="635"/>
      <c r="AG67" s="635"/>
      <c r="AH67" s="635">
        <v>0</v>
      </c>
      <c r="AI67" s="635"/>
      <c r="AJ67" s="635"/>
      <c r="AK67" s="635"/>
      <c r="AL67" s="635"/>
      <c r="AM67" s="632"/>
      <c r="AN67" s="633"/>
      <c r="AO67" s="855">
        <v>154.30936641104071</v>
      </c>
      <c r="AP67" s="636"/>
      <c r="AQ67" s="639">
        <f t="shared" si="13"/>
        <v>289.91786803203593</v>
      </c>
      <c r="AS67" s="28"/>
    </row>
    <row r="68" spans="1:45" s="16" customFormat="1" ht="12.75" customHeight="1">
      <c r="A68" s="814" t="s">
        <v>832</v>
      </c>
      <c r="B68" s="815">
        <v>85</v>
      </c>
      <c r="C68" s="629">
        <f t="shared" si="34"/>
        <v>0</v>
      </c>
      <c r="D68" s="851">
        <v>0</v>
      </c>
      <c r="E68" s="773"/>
      <c r="F68" s="773"/>
      <c r="G68" s="774"/>
      <c r="H68" s="633">
        <f t="shared" si="35"/>
        <v>0</v>
      </c>
      <c r="I68" s="852"/>
      <c r="J68" s="635"/>
      <c r="K68" s="853"/>
      <c r="L68" s="633">
        <f t="shared" si="36"/>
        <v>42.831123161298109</v>
      </c>
      <c r="M68" s="852"/>
      <c r="N68" s="773"/>
      <c r="O68" s="632"/>
      <c r="P68" s="773"/>
      <c r="Q68" s="854">
        <v>21.281328374361724</v>
      </c>
      <c r="R68" s="773"/>
      <c r="S68" s="854">
        <v>3.2197887029108509E-2</v>
      </c>
      <c r="T68" s="854">
        <v>4.5585277188324795</v>
      </c>
      <c r="U68" s="854">
        <v>16.959069181074796</v>
      </c>
      <c r="V68" s="854">
        <v>0</v>
      </c>
      <c r="W68" s="773"/>
      <c r="X68" s="773"/>
      <c r="Y68" s="632"/>
      <c r="Z68" s="635"/>
      <c r="AA68" s="855">
        <v>53.929324235430926</v>
      </c>
      <c r="AB68" s="636">
        <f t="shared" si="37"/>
        <v>1.3804629203709615</v>
      </c>
      <c r="AC68" s="637"/>
      <c r="AD68" s="635"/>
      <c r="AE68" s="635">
        <v>1.3804629203709615</v>
      </c>
      <c r="AF68" s="635"/>
      <c r="AG68" s="635"/>
      <c r="AH68" s="635">
        <v>0</v>
      </c>
      <c r="AI68" s="635"/>
      <c r="AJ68" s="635"/>
      <c r="AK68" s="635"/>
      <c r="AL68" s="635"/>
      <c r="AM68" s="632"/>
      <c r="AN68" s="633"/>
      <c r="AO68" s="855">
        <v>74.178871141573552</v>
      </c>
      <c r="AP68" s="636"/>
      <c r="AQ68" s="639">
        <f t="shared" si="13"/>
        <v>172.31978145867356</v>
      </c>
      <c r="AS68" s="28"/>
    </row>
    <row r="69" spans="1:45" s="16" customFormat="1" ht="12.75" customHeight="1">
      <c r="A69" s="832" t="s">
        <v>833</v>
      </c>
      <c r="B69" s="833" t="s">
        <v>834</v>
      </c>
      <c r="C69" s="795">
        <f t="shared" si="34"/>
        <v>0</v>
      </c>
      <c r="D69" s="856">
        <v>0</v>
      </c>
      <c r="E69" s="779"/>
      <c r="F69" s="779"/>
      <c r="G69" s="780"/>
      <c r="H69" s="797">
        <f t="shared" si="35"/>
        <v>0</v>
      </c>
      <c r="I69" s="857"/>
      <c r="J69" s="690"/>
      <c r="K69" s="858"/>
      <c r="L69" s="797">
        <f t="shared" si="36"/>
        <v>26.293507436687939</v>
      </c>
      <c r="M69" s="857"/>
      <c r="N69" s="779"/>
      <c r="O69" s="691"/>
      <c r="P69" s="779"/>
      <c r="Q69" s="859">
        <v>14.35095473127191</v>
      </c>
      <c r="R69" s="779"/>
      <c r="S69" s="859">
        <v>9.7228102211051784E-2</v>
      </c>
      <c r="T69" s="859">
        <v>2.6199367494357482</v>
      </c>
      <c r="U69" s="859">
        <v>9.2253878537692273</v>
      </c>
      <c r="V69" s="859">
        <v>0</v>
      </c>
      <c r="W69" s="779"/>
      <c r="X69" s="779"/>
      <c r="Y69" s="691"/>
      <c r="Z69" s="690"/>
      <c r="AA69" s="860">
        <v>63.51639267513076</v>
      </c>
      <c r="AB69" s="799">
        <f t="shared" si="37"/>
        <v>1.4673864126888767</v>
      </c>
      <c r="AC69" s="800"/>
      <c r="AD69" s="794"/>
      <c r="AE69" s="794">
        <v>1.4673864126888767</v>
      </c>
      <c r="AF69" s="794"/>
      <c r="AG69" s="794"/>
      <c r="AH69" s="794">
        <v>0</v>
      </c>
      <c r="AI69" s="794"/>
      <c r="AJ69" s="794"/>
      <c r="AK69" s="794"/>
      <c r="AL69" s="794"/>
      <c r="AM69" s="796"/>
      <c r="AN69" s="797"/>
      <c r="AO69" s="860">
        <v>50.538859596996531</v>
      </c>
      <c r="AP69" s="799"/>
      <c r="AQ69" s="801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11"/>
      <c r="C70" s="712">
        <f>SUM(D70:G70)</f>
        <v>0</v>
      </c>
      <c r="D70" s="861">
        <v>0</v>
      </c>
      <c r="E70" s="862"/>
      <c r="F70" s="863"/>
      <c r="G70" s="863"/>
      <c r="H70" s="716">
        <f>SUM(I70:K70)</f>
        <v>0</v>
      </c>
      <c r="I70" s="861"/>
      <c r="J70" s="862"/>
      <c r="K70" s="862"/>
      <c r="L70" s="716">
        <f>SUM(M70:Z70)</f>
        <v>175.46549158593075</v>
      </c>
      <c r="M70" s="862"/>
      <c r="N70" s="862"/>
      <c r="O70" s="862"/>
      <c r="P70" s="862">
        <v>0</v>
      </c>
      <c r="Q70" s="862">
        <v>0</v>
      </c>
      <c r="R70" s="862"/>
      <c r="S70" s="862"/>
      <c r="T70" s="864">
        <v>0</v>
      </c>
      <c r="U70" s="862">
        <v>175.46549158593075</v>
      </c>
      <c r="V70" s="678"/>
      <c r="W70" s="863"/>
      <c r="X70" s="863"/>
      <c r="Y70" s="863"/>
      <c r="Z70" s="862"/>
      <c r="AA70" s="716">
        <v>0</v>
      </c>
      <c r="AB70" s="717">
        <f>SUM(AC70:AM70)</f>
        <v>0</v>
      </c>
      <c r="AC70" s="865"/>
      <c r="AD70" s="862"/>
      <c r="AE70" s="862"/>
      <c r="AF70" s="862"/>
      <c r="AG70" s="862"/>
      <c r="AH70" s="862"/>
      <c r="AI70" s="862"/>
      <c r="AJ70" s="862"/>
      <c r="AK70" s="861"/>
      <c r="AL70" s="863"/>
      <c r="AM70" s="862"/>
      <c r="AN70" s="716"/>
      <c r="AO70" s="716">
        <v>47.988</v>
      </c>
      <c r="AP70" s="717"/>
      <c r="AQ70" s="707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7"/>
      <c r="C71" s="688">
        <f>SUM(D71:G71)</f>
        <v>0</v>
      </c>
      <c r="D71" s="689"/>
      <c r="E71" s="690"/>
      <c r="F71" s="691"/>
      <c r="G71" s="691"/>
      <c r="H71" s="692">
        <f>SUM(I71:K71)</f>
        <v>0</v>
      </c>
      <c r="I71" s="689"/>
      <c r="J71" s="690"/>
      <c r="K71" s="690"/>
      <c r="L71" s="692">
        <f>SUM(M71:Z71)</f>
        <v>27.249865733664667</v>
      </c>
      <c r="M71" s="690"/>
      <c r="N71" s="690"/>
      <c r="O71" s="690"/>
      <c r="P71" s="690"/>
      <c r="Q71" s="690"/>
      <c r="R71" s="690"/>
      <c r="S71" s="690"/>
      <c r="T71" s="690"/>
      <c r="U71" s="803">
        <v>27.249865733664667</v>
      </c>
      <c r="V71" s="690"/>
      <c r="W71" s="691"/>
      <c r="X71" s="691"/>
      <c r="Y71" s="691"/>
      <c r="Z71" s="690"/>
      <c r="AA71" s="692"/>
      <c r="AB71" s="693">
        <f>SUM(AC71:AM71)</f>
        <v>0</v>
      </c>
      <c r="AC71" s="694"/>
      <c r="AD71" s="690"/>
      <c r="AE71" s="690"/>
      <c r="AF71" s="690"/>
      <c r="AG71" s="690"/>
      <c r="AH71" s="690"/>
      <c r="AI71" s="690"/>
      <c r="AJ71" s="690"/>
      <c r="AK71" s="689"/>
      <c r="AL71" s="691"/>
      <c r="AM71" s="690"/>
      <c r="AN71" s="692"/>
      <c r="AO71" s="695"/>
      <c r="AP71" s="693"/>
      <c r="AQ71" s="866">
        <f t="shared" si="13"/>
        <v>27.249865733664667</v>
      </c>
      <c r="AR71" s="3"/>
      <c r="AS71" s="5"/>
    </row>
    <row r="72" spans="1:45" s="6" customFormat="1" ht="12.75" customHeight="1" thickBot="1">
      <c r="A72" s="739" t="s">
        <v>187</v>
      </c>
      <c r="B72" s="740"/>
      <c r="C72" s="741">
        <f t="shared" ref="C72:AP72" si="38">C26-C27-C29</f>
        <v>-2.719924399165734</v>
      </c>
      <c r="D72" s="742">
        <f t="shared" si="38"/>
        <v>0.18184486786384468</v>
      </c>
      <c r="E72" s="743">
        <f t="shared" si="38"/>
        <v>-3.4486883993195647</v>
      </c>
      <c r="F72" s="746">
        <f t="shared" si="38"/>
        <v>0</v>
      </c>
      <c r="G72" s="746">
        <f t="shared" si="38"/>
        <v>0.6924657422902083</v>
      </c>
      <c r="H72" s="744">
        <f t="shared" si="38"/>
        <v>1.9457250152908045</v>
      </c>
      <c r="I72" s="742">
        <f t="shared" si="38"/>
        <v>-0.45741265470912973</v>
      </c>
      <c r="J72" s="743">
        <f t="shared" si="38"/>
        <v>0</v>
      </c>
      <c r="K72" s="743">
        <f t="shared" si="38"/>
        <v>2.4031376700000067</v>
      </c>
      <c r="L72" s="744">
        <f t="shared" si="38"/>
        <v>-0.17452026544560795</v>
      </c>
      <c r="M72" s="743">
        <f t="shared" si="38"/>
        <v>0</v>
      </c>
      <c r="N72" s="743">
        <f t="shared" si="38"/>
        <v>-0.14794174855289199</v>
      </c>
      <c r="O72" s="743">
        <f t="shared" si="38"/>
        <v>-5.2567080980734033</v>
      </c>
      <c r="P72" s="743">
        <f t="shared" si="38"/>
        <v>-22.015945821971172</v>
      </c>
      <c r="Q72" s="743">
        <f t="shared" si="38"/>
        <v>15.370413414720133</v>
      </c>
      <c r="R72" s="743">
        <f t="shared" si="38"/>
        <v>-6.7103906044801533</v>
      </c>
      <c r="S72" s="743">
        <f t="shared" si="38"/>
        <v>8.1718040718781069</v>
      </c>
      <c r="T72" s="743">
        <f t="shared" si="38"/>
        <v>6.5570336698137623</v>
      </c>
      <c r="U72" s="743">
        <f t="shared" si="38"/>
        <v>-4.4746269624060915</v>
      </c>
      <c r="V72" s="743">
        <f t="shared" si="38"/>
        <v>0.82532907951213019</v>
      </c>
      <c r="W72" s="746">
        <f t="shared" si="38"/>
        <v>7.506512734116022</v>
      </c>
      <c r="X72" s="746">
        <f t="shared" si="38"/>
        <v>0</v>
      </c>
      <c r="Y72" s="746">
        <f t="shared" si="38"/>
        <v>0</v>
      </c>
      <c r="Z72" s="743">
        <f t="shared" si="38"/>
        <v>0</v>
      </c>
      <c r="AA72" s="744">
        <f t="shared" si="38"/>
        <v>-40.274710307198575</v>
      </c>
      <c r="AB72" s="745">
        <f t="shared" si="38"/>
        <v>-8.1303135021793764</v>
      </c>
      <c r="AC72" s="867">
        <f t="shared" si="38"/>
        <v>0</v>
      </c>
      <c r="AD72" s="743">
        <f t="shared" si="38"/>
        <v>0</v>
      </c>
      <c r="AE72" s="743">
        <f t="shared" si="38"/>
        <v>-5.8327477785794315</v>
      </c>
      <c r="AF72" s="743">
        <f t="shared" si="38"/>
        <v>0</v>
      </c>
      <c r="AG72" s="743">
        <f t="shared" si="38"/>
        <v>0</v>
      </c>
      <c r="AH72" s="743">
        <f t="shared" si="38"/>
        <v>0</v>
      </c>
      <c r="AI72" s="743">
        <f t="shared" si="38"/>
        <v>-2.9556858672000175</v>
      </c>
      <c r="AJ72" s="743">
        <f t="shared" si="38"/>
        <v>0.65812014360000148</v>
      </c>
      <c r="AK72" s="742">
        <f t="shared" si="38"/>
        <v>0</v>
      </c>
      <c r="AL72" s="746">
        <f t="shared" si="38"/>
        <v>0</v>
      </c>
      <c r="AM72" s="743">
        <f t="shared" si="38"/>
        <v>0</v>
      </c>
      <c r="AN72" s="744">
        <f t="shared" si="38"/>
        <v>0</v>
      </c>
      <c r="AO72" s="744">
        <f t="shared" si="38"/>
        <v>-36.15143685982639</v>
      </c>
      <c r="AP72" s="745">
        <f t="shared" si="38"/>
        <v>0</v>
      </c>
      <c r="AQ72" s="747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6" t="s">
        <v>835</v>
      </c>
      <c r="B74" s="704"/>
      <c r="C74" s="704"/>
      <c r="D74" s="704"/>
      <c r="E74" s="704"/>
      <c r="F74" s="704"/>
      <c r="G74" s="704"/>
      <c r="H74" s="704"/>
      <c r="I74" s="704"/>
      <c r="J74" s="704"/>
      <c r="K74" s="704"/>
      <c r="L74" s="13"/>
      <c r="M74" s="704"/>
      <c r="N74" s="704"/>
      <c r="Q74" s="704"/>
      <c r="R74" s="704"/>
      <c r="S74" s="704"/>
      <c r="T74" s="704"/>
      <c r="U74" s="704"/>
      <c r="V74" s="704"/>
      <c r="W74" s="697"/>
      <c r="Y74" s="704"/>
      <c r="Z74" s="704"/>
      <c r="AA74" s="704"/>
      <c r="AB74" s="704"/>
      <c r="AC74" s="704"/>
      <c r="AD74" s="704"/>
      <c r="AE74" s="704"/>
      <c r="AF74" s="704"/>
      <c r="AG74" s="704"/>
      <c r="AH74" s="704"/>
      <c r="AI74" s="704"/>
      <c r="AJ74" s="704"/>
      <c r="AK74" s="704"/>
      <c r="AL74" s="704"/>
      <c r="AM74" s="704"/>
      <c r="AN74" s="704"/>
      <c r="AO74" s="704"/>
      <c r="AP74" s="704"/>
      <c r="AQ74" s="704"/>
      <c r="AS74" s="5"/>
    </row>
    <row r="75" spans="1:45" ht="12.75" customHeight="1">
      <c r="A75" s="868" t="s">
        <v>836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9" t="s">
        <v>188</v>
      </c>
      <c r="B76" s="870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71" t="s">
        <v>189</v>
      </c>
      <c r="B77" s="868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8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2" t="s">
        <v>191</v>
      </c>
      <c r="B79" s="15"/>
      <c r="C79" s="15"/>
      <c r="D79" s="15"/>
      <c r="E79" s="873"/>
      <c r="F79" s="874"/>
      <c r="G79" s="874"/>
      <c r="H79" s="875"/>
      <c r="I79" s="874"/>
      <c r="J79" s="874"/>
      <c r="K79" s="874"/>
      <c r="L79" s="875"/>
      <c r="M79" s="874"/>
      <c r="N79" s="874"/>
      <c r="O79" s="874"/>
      <c r="P79" s="874"/>
      <c r="Q79" s="874"/>
      <c r="R79" s="874"/>
      <c r="S79" s="876"/>
      <c r="T79" s="487"/>
      <c r="U79" s="876"/>
      <c r="V79" s="876"/>
      <c r="W79" s="874"/>
      <c r="X79" s="874"/>
      <c r="Y79" s="874"/>
      <c r="Z79" s="874"/>
      <c r="AA79" s="875"/>
      <c r="AB79" s="877"/>
      <c r="AC79" s="874"/>
      <c r="AD79" s="874"/>
      <c r="AE79" s="874"/>
      <c r="AF79" s="874"/>
      <c r="AG79" s="874"/>
      <c r="AH79" s="874"/>
      <c r="AI79" s="874"/>
      <c r="AJ79" s="874"/>
      <c r="AK79" s="874"/>
      <c r="AL79" s="874"/>
      <c r="AM79" s="874"/>
      <c r="AN79" s="874"/>
      <c r="AO79" s="875"/>
      <c r="AP79" s="877"/>
      <c r="AQ79" s="874"/>
    </row>
    <row r="80" spans="1:45" ht="12.75" customHeight="1">
      <c r="A80" s="872" t="s">
        <v>192</v>
      </c>
      <c r="B80" s="15"/>
      <c r="C80" s="15"/>
      <c r="D80" s="15"/>
      <c r="E80" s="873"/>
      <c r="F80" s="874"/>
      <c r="G80" s="874"/>
      <c r="H80" s="875"/>
      <c r="I80" s="874"/>
      <c r="J80" s="874"/>
      <c r="K80" s="874"/>
      <c r="L80" s="875"/>
      <c r="M80" s="874"/>
      <c r="N80" s="874"/>
      <c r="O80" s="874"/>
      <c r="P80" s="874"/>
      <c r="Q80" s="874"/>
      <c r="R80" s="874"/>
      <c r="S80" s="876"/>
      <c r="T80" s="487"/>
      <c r="U80" s="876"/>
      <c r="V80" s="876"/>
      <c r="W80" s="874"/>
      <c r="X80" s="874"/>
      <c r="Y80" s="874"/>
      <c r="Z80" s="874"/>
      <c r="AA80" s="875"/>
      <c r="AB80" s="877"/>
      <c r="AC80" s="874"/>
      <c r="AD80" s="874"/>
      <c r="AE80" s="874"/>
      <c r="AF80" s="874"/>
      <c r="AG80" s="874"/>
      <c r="AH80" s="874"/>
      <c r="AI80" s="874"/>
      <c r="AJ80" s="874"/>
      <c r="AK80" s="874"/>
      <c r="AL80" s="874"/>
      <c r="AM80" s="874"/>
      <c r="AN80" s="874"/>
      <c r="AO80" s="875"/>
      <c r="AP80" s="877"/>
      <c r="AQ80" s="874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1039" t="s">
        <v>659</v>
      </c>
      <c r="G1" s="1039"/>
      <c r="H1" s="1039" t="s">
        <v>668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999" t="s">
        <v>643</v>
      </c>
      <c r="G2" s="1000"/>
      <c r="H2" s="523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040" t="s">
        <v>496</v>
      </c>
      <c r="G3" s="1041"/>
      <c r="H3" s="104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001" t="s">
        <v>211</v>
      </c>
      <c r="G4" s="1002"/>
      <c r="H4" s="524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03" t="s">
        <v>504</v>
      </c>
      <c r="G5" s="1004"/>
      <c r="H5" s="52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862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863</v>
      </c>
      <c r="AO6" s="81">
        <v>0.33</v>
      </c>
      <c r="AP6" s="81"/>
      <c r="AQ6" s="81" t="s">
        <v>621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1043"/>
      <c r="F7" s="1044" t="s">
        <v>221</v>
      </c>
      <c r="G7" s="1045"/>
      <c r="H7" s="1046"/>
      <c r="I7" s="1047" t="s">
        <v>222</v>
      </c>
      <c r="J7" s="1048"/>
      <c r="K7" s="1049"/>
      <c r="L7" s="1047" t="s">
        <v>223</v>
      </c>
      <c r="M7" s="1048"/>
      <c r="N7" s="1049"/>
      <c r="O7" s="1047" t="s">
        <v>224</v>
      </c>
      <c r="P7" s="1048"/>
      <c r="Q7" s="1049"/>
      <c r="R7" s="1063" t="s">
        <v>225</v>
      </c>
      <c r="S7" s="1047" t="s">
        <v>658</v>
      </c>
      <c r="T7" s="1048"/>
      <c r="U7" s="1048"/>
      <c r="V7" s="1048"/>
      <c r="W7" s="1048"/>
      <c r="X7" s="1049"/>
      <c r="Y7" s="1050" t="s">
        <v>725</v>
      </c>
      <c r="Z7" s="1050" t="s">
        <v>505</v>
      </c>
      <c r="AA7" s="1007" t="s">
        <v>787</v>
      </c>
      <c r="AB7" s="81"/>
      <c r="AC7" s="81"/>
      <c r="AD7" s="1005" t="s">
        <v>859</v>
      </c>
      <c r="AE7" s="1007" t="s">
        <v>860</v>
      </c>
      <c r="AF7" s="81"/>
      <c r="AG7" s="81"/>
      <c r="AH7" s="81"/>
      <c r="AI7" s="81" t="s">
        <v>731</v>
      </c>
      <c r="AK7" s="81"/>
      <c r="AL7" s="81"/>
      <c r="AM7" s="81"/>
      <c r="AN7" s="81" t="s">
        <v>864</v>
      </c>
      <c r="AO7" s="81">
        <v>1.75</v>
      </c>
      <c r="AP7" s="81"/>
      <c r="AQ7" s="81" t="s">
        <v>867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68"/>
      <c r="F8" s="1069" t="s">
        <v>44</v>
      </c>
      <c r="G8" s="1070" t="s">
        <v>46</v>
      </c>
      <c r="H8" s="1071" t="s">
        <v>48</v>
      </c>
      <c r="I8" s="1072" t="s">
        <v>44</v>
      </c>
      <c r="J8" s="1073" t="s">
        <v>46</v>
      </c>
      <c r="K8" s="1074" t="s">
        <v>48</v>
      </c>
      <c r="L8" s="1075" t="s">
        <v>44</v>
      </c>
      <c r="M8" s="1073" t="s">
        <v>46</v>
      </c>
      <c r="N8" s="1074" t="s">
        <v>48</v>
      </c>
      <c r="O8" s="1072" t="s">
        <v>44</v>
      </c>
      <c r="P8" s="1073" t="s">
        <v>46</v>
      </c>
      <c r="Q8" s="1074" t="s">
        <v>48</v>
      </c>
      <c r="R8" s="1064"/>
      <c r="S8" s="1076" t="s">
        <v>226</v>
      </c>
      <c r="T8" s="1076" t="s">
        <v>227</v>
      </c>
      <c r="U8" s="1076" t="s">
        <v>228</v>
      </c>
      <c r="V8" s="1076" t="s">
        <v>229</v>
      </c>
      <c r="W8" s="1076" t="s">
        <v>231</v>
      </c>
      <c r="X8" s="1077" t="s">
        <v>230</v>
      </c>
      <c r="Y8" s="1052"/>
      <c r="Z8" s="1052"/>
      <c r="AA8" s="1008" t="s">
        <v>667</v>
      </c>
      <c r="AD8" s="1006"/>
      <c r="AE8" s="1008" t="s">
        <v>667</v>
      </c>
      <c r="AI8" s="988" t="s">
        <v>868</v>
      </c>
      <c r="AJ8" s="987">
        <v>1.1516522859674401</v>
      </c>
      <c r="AN8" s="81" t="s">
        <v>865</v>
      </c>
      <c r="AO8" s="81">
        <v>2.73</v>
      </c>
      <c r="AQ8" s="81" t="s">
        <v>791</v>
      </c>
      <c r="AR8" s="81">
        <v>0.04</v>
      </c>
    </row>
    <row r="9" spans="1:45" s="81" customFormat="1" ht="12" customHeight="1">
      <c r="A9" s="448" t="s">
        <v>643</v>
      </c>
      <c r="B9" s="449" t="s">
        <v>585</v>
      </c>
      <c r="C9" s="449">
        <f>SUM('EB2018'!C56)*RSD_Balance!B4</f>
        <v>10.270341048136247</v>
      </c>
      <c r="D9" s="64"/>
      <c r="E9" s="1051" t="s">
        <v>643</v>
      </c>
      <c r="F9" s="1053">
        <f>'SHWLP-Apt'!$AC$7+'SHWLP-Apt'!AC20</f>
        <v>0.16544583186899126</v>
      </c>
      <c r="G9" s="1054">
        <f>'SHWLP-Att'!$AC$7+'SHWLP-Att'!$AC$20</f>
        <v>5.0532253541375196</v>
      </c>
      <c r="H9" s="1055">
        <f>'SHWLP-Det'!$AC$7+'SHWLP-Det'!$AC$20</f>
        <v>4.441302847516865</v>
      </c>
      <c r="I9" s="1053">
        <f>'SHWLP-Apt'!$AC$33+'SHWLP-Apt'!$AC$46</f>
        <v>7.0051234757231694E-3</v>
      </c>
      <c r="J9" s="1054">
        <f>'SHWLP-Att'!$AC$33+'SHWLP-Att'!$AC$46</f>
        <v>0.4110810304299109</v>
      </c>
      <c r="K9" s="1055">
        <f>'SHWLP-Det'!$AC$33+'SHWLP-Det'!$AC$46</f>
        <v>0.19272609338861538</v>
      </c>
      <c r="L9" s="1056"/>
      <c r="M9" s="1057"/>
      <c r="N9" s="1058"/>
      <c r="O9" s="1056"/>
      <c r="P9" s="1057"/>
      <c r="Q9" s="1058"/>
      <c r="R9" s="1059"/>
      <c r="S9" s="1056"/>
      <c r="T9" s="1057"/>
      <c r="U9" s="1057"/>
      <c r="V9" s="1057"/>
      <c r="W9" s="1057"/>
      <c r="X9" s="1058"/>
      <c r="Y9" s="1060">
        <f>SUM(F9:X9)</f>
        <v>10.270786280817624</v>
      </c>
      <c r="Z9" s="1061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8" t="s">
        <v>870</v>
      </c>
      <c r="AJ9" s="987">
        <v>9.6599740335233797</v>
      </c>
      <c r="AN9" s="81" t="s">
        <v>866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8" t="s">
        <v>496</v>
      </c>
      <c r="F10" s="514">
        <f>'SHWLP-Apt'!$AC$18+'SHWLP-Apt'!$AC$21</f>
        <v>6.2811496129074898E-2</v>
      </c>
      <c r="G10" s="513">
        <f>'SHWLP-Att'!$AC$18+'SHWLP-Att'!$AC$21</f>
        <v>1.9799670923286381</v>
      </c>
      <c r="H10" s="515">
        <f>'SHWLP-Det'!$AC$18+'SHWLP-Det'!$AC$21</f>
        <v>5.3541915074111817</v>
      </c>
      <c r="I10" s="514">
        <f>'SHWLP-Apt'!$AC$44+'SHWLP-Apt'!$AC$47</f>
        <v>6.887642101817814E-3</v>
      </c>
      <c r="J10" s="513">
        <f>'SHWLP-Att'!$AC$44+'SHWLP-Att'!$AC$47</f>
        <v>0.38603250857605881</v>
      </c>
      <c r="K10" s="515">
        <f>'SHWLP-Det'!$AC$44+'SHWLP-Det'!$AC$47</f>
        <v>0.41240503232004544</v>
      </c>
      <c r="L10" s="514"/>
      <c r="M10" s="513"/>
      <c r="N10" s="515"/>
      <c r="O10" s="514"/>
      <c r="P10" s="513"/>
      <c r="Q10" s="515"/>
      <c r="R10" s="506"/>
      <c r="S10" s="516"/>
      <c r="T10" s="513"/>
      <c r="U10" s="513"/>
      <c r="V10" s="513"/>
      <c r="W10" s="513"/>
      <c r="X10" s="515"/>
      <c r="Y10" s="510">
        <f>SUM(F10:X10)</f>
        <v>8.2022952788668171</v>
      </c>
      <c r="Z10" s="476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8" t="s">
        <v>413</v>
      </c>
      <c r="AJ10" s="987">
        <v>4.4337733997372402</v>
      </c>
      <c r="AN10" s="81" t="s">
        <v>863</v>
      </c>
      <c r="AO10" s="81">
        <v>7.0000000000000007E-2</v>
      </c>
    </row>
    <row r="11" spans="1:45" s="81" customFormat="1" ht="12" customHeight="1">
      <c r="A11" s="292" t="s">
        <v>791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1051" t="s">
        <v>203</v>
      </c>
      <c r="F11" s="1053">
        <f>'SHWLP-Apt'!$AC$10</f>
        <v>8.3646700905797663E-2</v>
      </c>
      <c r="G11" s="1054">
        <f>'SHWLP-Att'!$AC$10</f>
        <v>0.32798315311906001</v>
      </c>
      <c r="H11" s="1055">
        <f>'SHWLP-Det'!$AC$10</f>
        <v>1.2958570775015474</v>
      </c>
      <c r="I11" s="1053">
        <f>'SHWLP-Apt'!$AC$36</f>
        <v>4.1520615164251887E-2</v>
      </c>
      <c r="J11" s="1054">
        <f>'SHWLP-Att'!$AC$36</f>
        <v>0.14970582220157677</v>
      </c>
      <c r="K11" s="1055">
        <f>'SHWLP-Det'!$AC$36</f>
        <v>0.31593985850262613</v>
      </c>
      <c r="L11" s="1053"/>
      <c r="M11" s="1054"/>
      <c r="N11" s="1055"/>
      <c r="O11" s="1053"/>
      <c r="P11" s="1054"/>
      <c r="Q11" s="1055"/>
      <c r="R11" s="1062">
        <v>3.9492406345735545E-2</v>
      </c>
      <c r="S11" s="1053"/>
      <c r="T11" s="1054"/>
      <c r="U11" s="1054"/>
      <c r="V11" s="1054"/>
      <c r="W11" s="1054"/>
      <c r="X11" s="1055"/>
      <c r="Y11" s="1060">
        <f t="shared" ref="Y11:Y25" si="2">SUM(F11:X11)</f>
        <v>2.2541456337405954</v>
      </c>
      <c r="Z11" s="1061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8" t="s">
        <v>872</v>
      </c>
      <c r="AJ11" s="987">
        <v>16.539193232500899</v>
      </c>
      <c r="AN11" s="81" t="s">
        <v>864</v>
      </c>
      <c r="AO11" s="81">
        <v>0.49</v>
      </c>
    </row>
    <row r="12" spans="1:45" s="81" customFormat="1" ht="12" customHeight="1">
      <c r="A12" s="293" t="s">
        <v>790</v>
      </c>
      <c r="B12" s="299" t="str">
        <f>'EB2018'!P1</f>
        <v xml:space="preserve"> Gasoline</v>
      </c>
      <c r="C12" s="299">
        <f>'EB2018'!P56*B4</f>
        <v>0</v>
      </c>
      <c r="D12" s="64"/>
      <c r="E12" s="1065" t="s">
        <v>204</v>
      </c>
      <c r="F12" s="514"/>
      <c r="G12" s="513"/>
      <c r="H12" s="515"/>
      <c r="I12" s="514"/>
      <c r="J12" s="513"/>
      <c r="K12" s="515"/>
      <c r="L12" s="514"/>
      <c r="M12" s="513"/>
      <c r="N12" s="515"/>
      <c r="O12" s="514"/>
      <c r="P12" s="513"/>
      <c r="Q12" s="515"/>
      <c r="R12" s="506"/>
      <c r="S12" s="516"/>
      <c r="T12" s="513"/>
      <c r="U12" s="513"/>
      <c r="V12" s="513"/>
      <c r="W12" s="513"/>
      <c r="X12" s="515"/>
      <c r="Y12" s="510">
        <f t="shared" si="2"/>
        <v>0</v>
      </c>
      <c r="Z12" s="476">
        <f t="shared" si="0"/>
        <v>0</v>
      </c>
      <c r="AA12" s="409"/>
      <c r="AD12" s="55"/>
      <c r="AE12" s="409"/>
      <c r="AI12" s="988" t="s">
        <v>873</v>
      </c>
      <c r="AJ12" s="987">
        <v>33.821000958649797</v>
      </c>
      <c r="AN12" s="81" t="s">
        <v>865</v>
      </c>
      <c r="AO12" s="81">
        <v>0.56999999999999995</v>
      </c>
    </row>
    <row r="13" spans="1:45" s="81" customFormat="1" ht="12" customHeight="1">
      <c r="A13" s="292" t="s">
        <v>792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1051" t="s">
        <v>205</v>
      </c>
      <c r="F13" s="1053">
        <f>'SHWLP-Apt'!$AC$14</f>
        <v>0.27753795733809883</v>
      </c>
      <c r="G13" s="1054">
        <f>'SHWLP-Att'!$AC$14</f>
        <v>7.9486580069891355</v>
      </c>
      <c r="H13" s="1055">
        <f>'SHWLP-Det'!$AC$14</f>
        <v>28.537520952350732</v>
      </c>
      <c r="I13" s="1053">
        <f>'SHWLP-Apt'!$AC$40</f>
        <v>7.2978353960760328E-2</v>
      </c>
      <c r="J13" s="1054">
        <f>'SHWLP-Att'!$AC$40</f>
        <v>3.0651314405454286</v>
      </c>
      <c r="K13" s="1055">
        <f>'SHWLP-Det'!$AC$40</f>
        <v>8.2893668982745474</v>
      </c>
      <c r="L13" s="1053"/>
      <c r="M13" s="1054"/>
      <c r="N13" s="1055"/>
      <c r="O13" s="1053"/>
      <c r="P13" s="1054"/>
      <c r="Q13" s="1055"/>
      <c r="R13" s="1062"/>
      <c r="S13" s="1053"/>
      <c r="T13" s="1054"/>
      <c r="U13" s="1054"/>
      <c r="V13" s="1054"/>
      <c r="W13" s="1054"/>
      <c r="X13" s="1055"/>
      <c r="Y13" s="511">
        <f t="shared" si="2"/>
        <v>48.191193609458708</v>
      </c>
      <c r="Z13" s="504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8" t="s">
        <v>874</v>
      </c>
      <c r="AJ13" s="987">
        <v>1.6238402306206099</v>
      </c>
    </row>
    <row r="14" spans="1:45" s="81" customFormat="1" ht="12" customHeight="1">
      <c r="A14" s="293" t="s">
        <v>793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65" t="s">
        <v>206</v>
      </c>
      <c r="F14" s="514"/>
      <c r="G14" s="513"/>
      <c r="H14" s="515"/>
      <c r="I14" s="514"/>
      <c r="J14" s="513"/>
      <c r="K14" s="515"/>
      <c r="L14" s="514"/>
      <c r="M14" s="513"/>
      <c r="N14" s="515"/>
      <c r="O14" s="514"/>
      <c r="P14" s="513"/>
      <c r="Q14" s="515"/>
      <c r="R14" s="506"/>
      <c r="S14" s="516"/>
      <c r="T14" s="513"/>
      <c r="U14" s="513"/>
      <c r="V14" s="513"/>
      <c r="W14" s="513"/>
      <c r="X14" s="515"/>
      <c r="Y14" s="512">
        <f t="shared" si="2"/>
        <v>0</v>
      </c>
      <c r="Z14" s="505">
        <f t="shared" si="0"/>
        <v>11.893905446769136</v>
      </c>
      <c r="AA14" s="409">
        <f>ABS(Z13+Z14+Z16-Y13)/(Z13+Z14+Z16)</f>
        <v>3.0673184078375199E-5</v>
      </c>
      <c r="AI14" s="988" t="s">
        <v>414</v>
      </c>
      <c r="AJ14" s="987">
        <v>7.3969700958689097</v>
      </c>
    </row>
    <row r="15" spans="1:45" s="81" customFormat="1" ht="12" customHeight="1">
      <c r="A15" s="292" t="s">
        <v>794</v>
      </c>
      <c r="B15" s="298" t="str">
        <f>'EB2018'!S1</f>
        <v xml:space="preserve"> Fueloil</v>
      </c>
      <c r="C15" s="298">
        <f>'EB2018'!S56*RSD_Balance!B4</f>
        <v>0</v>
      </c>
      <c r="D15" s="64"/>
      <c r="E15" s="1066" t="s">
        <v>207</v>
      </c>
      <c r="F15" s="1053"/>
      <c r="G15" s="1054"/>
      <c r="H15" s="1055"/>
      <c r="I15" s="1053"/>
      <c r="J15" s="1054"/>
      <c r="K15" s="1055"/>
      <c r="L15" s="1053"/>
      <c r="M15" s="1054"/>
      <c r="N15" s="1055"/>
      <c r="O15" s="1053"/>
      <c r="P15" s="1054"/>
      <c r="Q15" s="1055"/>
      <c r="R15" s="1062"/>
      <c r="S15" s="1053"/>
      <c r="T15" s="1054"/>
      <c r="U15" s="1054"/>
      <c r="V15" s="1054"/>
      <c r="W15" s="1054"/>
      <c r="X15" s="1055"/>
      <c r="Y15" s="511">
        <f t="shared" si="2"/>
        <v>0</v>
      </c>
      <c r="Z15" s="505">
        <f t="shared" si="0"/>
        <v>0</v>
      </c>
      <c r="AA15" s="409">
        <f>ABS(Z13+Z14+Z16-Y13)/(Z13+Z14+Z16)</f>
        <v>3.0673184078375199E-5</v>
      </c>
      <c r="AI15" s="988" t="s">
        <v>876</v>
      </c>
      <c r="AJ15" s="987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795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65" t="s">
        <v>208</v>
      </c>
      <c r="F16" s="514"/>
      <c r="G16" s="513"/>
      <c r="H16" s="515"/>
      <c r="I16" s="514"/>
      <c r="J16" s="513"/>
      <c r="K16" s="515"/>
      <c r="L16" s="514"/>
      <c r="M16" s="513"/>
      <c r="N16" s="515"/>
      <c r="O16" s="514"/>
      <c r="P16" s="513"/>
      <c r="Q16" s="515"/>
      <c r="R16" s="506"/>
      <c r="S16" s="516"/>
      <c r="T16" s="513"/>
      <c r="U16" s="513"/>
      <c r="V16" s="513"/>
      <c r="W16" s="513"/>
      <c r="X16" s="515"/>
      <c r="Y16" s="512">
        <f t="shared" si="2"/>
        <v>0</v>
      </c>
      <c r="Z16" s="505">
        <f t="shared" si="0"/>
        <v>0.14696868507580046</v>
      </c>
      <c r="AA16" s="409">
        <f>ABS(Z13+Z14+Z16-Y13)/(Z13+Z14+Z16)</f>
        <v>3.0673184078375199E-5</v>
      </c>
      <c r="AQ16" s="81" t="s">
        <v>738</v>
      </c>
      <c r="AR16" s="81">
        <v>1.1000000000000001</v>
      </c>
    </row>
    <row r="17" spans="1:45" s="81" customFormat="1" ht="12" customHeight="1">
      <c r="A17" s="292" t="s">
        <v>796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1051" t="s">
        <v>209</v>
      </c>
      <c r="F17" s="1053">
        <f>'SHWLP-Apt'!$AC$16</f>
        <v>1.2330602547738085</v>
      </c>
      <c r="G17" s="1054">
        <f>'SHWLP-Att'!$AC$16</f>
        <v>11.252890681411458</v>
      </c>
      <c r="H17" s="1055">
        <f>'SHWLP-Det'!$AC$16</f>
        <v>5.0887959066492119</v>
      </c>
      <c r="I17" s="1053">
        <f>'SHWLP-Apt'!$AC$42</f>
        <v>0.73352387446611567</v>
      </c>
      <c r="J17" s="1054">
        <f>'SHWLP-Att'!$AC$42</f>
        <v>4.6877267184596745</v>
      </c>
      <c r="K17" s="1055">
        <f>'SHWLP-Det'!$AC$42</f>
        <v>1.6258142323829905</v>
      </c>
      <c r="L17" s="1053"/>
      <c r="M17" s="1054"/>
      <c r="N17" s="1055"/>
      <c r="O17" s="1053"/>
      <c r="P17" s="1054"/>
      <c r="Q17" s="1055"/>
      <c r="R17" s="1062">
        <v>0.66992893469234771</v>
      </c>
      <c r="S17" s="1053"/>
      <c r="T17" s="1054"/>
      <c r="U17" s="1054"/>
      <c r="V17" s="1054"/>
      <c r="W17" s="1054"/>
      <c r="X17" s="1055"/>
      <c r="Y17" s="509">
        <f t="shared" si="2"/>
        <v>25.291740602835606</v>
      </c>
      <c r="Z17" s="475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733</v>
      </c>
      <c r="AQ17" s="81" t="s">
        <v>739</v>
      </c>
      <c r="AR17" s="81">
        <v>1.19</v>
      </c>
    </row>
    <row r="18" spans="1:45" s="81" customFormat="1" ht="12" customHeight="1">
      <c r="A18" s="293" t="s">
        <v>797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67" t="s">
        <v>210</v>
      </c>
      <c r="F18" s="514"/>
      <c r="G18" s="513"/>
      <c r="H18" s="515"/>
      <c r="I18" s="514">
        <f>($C$18*0.05)</f>
        <v>2.8008835678000416E-2</v>
      </c>
      <c r="J18" s="513">
        <f>($C$18*0.475)</f>
        <v>0.26608393894100396</v>
      </c>
      <c r="K18" s="515">
        <f>($C$18*0.475)</f>
        <v>0.26608393894100396</v>
      </c>
      <c r="L18" s="514"/>
      <c r="M18" s="513"/>
      <c r="N18" s="515"/>
      <c r="O18" s="514"/>
      <c r="P18" s="513"/>
      <c r="Q18" s="515"/>
      <c r="R18" s="506"/>
      <c r="S18" s="516"/>
      <c r="T18" s="513"/>
      <c r="U18" s="513"/>
      <c r="V18" s="513"/>
      <c r="W18" s="513"/>
      <c r="X18" s="515"/>
      <c r="Y18" s="510">
        <f t="shared" si="2"/>
        <v>0.56017671356000842</v>
      </c>
      <c r="Z18" s="476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90" t="s">
        <v>861</v>
      </c>
      <c r="AJ18" s="989">
        <v>1.0513799860672901</v>
      </c>
      <c r="AQ18" s="81" t="s">
        <v>740</v>
      </c>
      <c r="AR18" s="81">
        <v>10.84</v>
      </c>
    </row>
    <row r="19" spans="1:45" s="81" customFormat="1" ht="12" customHeight="1">
      <c r="A19" s="292" t="s">
        <v>798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1051" t="s">
        <v>211</v>
      </c>
      <c r="F19" s="1053">
        <f>'SHWLP-Apt'!$AC$22+'SHWLP-Apt'!$AC$23</f>
        <v>1.2337526201974791E-2</v>
      </c>
      <c r="G19" s="1054">
        <f>'SHWLP-Att'!$AC$22+'SHWLP-Att'!$AC$23</f>
        <v>0.2523797052534526</v>
      </c>
      <c r="H19" s="1055">
        <f>'SHWLP-Det'!$AC$22+'SHWLP-Det'!$AC$23</f>
        <v>0.86485444630425223</v>
      </c>
      <c r="I19" s="1053">
        <f>'SHWLP-Apt'!$AC$49+'SHWLP-Apt'!$AC$48</f>
        <v>4.416887565271861E-3</v>
      </c>
      <c r="J19" s="1054">
        <f>'SHWLP-Att'!$AC$49+'SHWLP-Att'!$AC$48</f>
        <v>4.409576410996377E-2</v>
      </c>
      <c r="K19" s="1055">
        <f>'SHWLP-Det'!$AC$49+'SHWLP-Det'!$AC$48</f>
        <v>0.10265054358596062</v>
      </c>
      <c r="L19" s="1053"/>
      <c r="M19" s="1054"/>
      <c r="N19" s="1055"/>
      <c r="O19" s="1053"/>
      <c r="P19" s="1054"/>
      <c r="Q19" s="1055"/>
      <c r="R19" s="1062"/>
      <c r="S19" s="1053"/>
      <c r="T19" s="1054"/>
      <c r="U19" s="1054"/>
      <c r="V19" s="1054"/>
      <c r="W19" s="1054"/>
      <c r="X19" s="1055"/>
      <c r="Y19" s="509">
        <f>SUM(F19:X19)</f>
        <v>1.2807348730208759</v>
      </c>
      <c r="Z19" s="475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90" t="s">
        <v>869</v>
      </c>
      <c r="AJ19" s="989">
        <v>7.8153182244299698E-5</v>
      </c>
      <c r="AQ19" s="81" t="s">
        <v>736</v>
      </c>
      <c r="AR19" s="81">
        <v>1.41</v>
      </c>
    </row>
    <row r="20" spans="1:45" s="81" customFormat="1" ht="12" customHeight="1">
      <c r="A20" s="293" t="s">
        <v>799</v>
      </c>
      <c r="B20" s="299" t="str">
        <f>'EB2018'!AH1</f>
        <v xml:space="preserve"> Biogas</v>
      </c>
      <c r="C20" s="299">
        <f>'EB2018'!AH56*RSD_Balance!B4</f>
        <v>0</v>
      </c>
      <c r="D20" s="64"/>
      <c r="E20" s="1065" t="s">
        <v>212</v>
      </c>
      <c r="F20" s="514"/>
      <c r="G20" s="513"/>
      <c r="H20" s="515"/>
      <c r="I20" s="514"/>
      <c r="J20" s="513"/>
      <c r="K20" s="515"/>
      <c r="L20" s="514"/>
      <c r="M20" s="513"/>
      <c r="N20" s="515"/>
      <c r="O20" s="514"/>
      <c r="P20" s="513"/>
      <c r="Q20" s="515"/>
      <c r="R20" s="506"/>
      <c r="S20" s="516"/>
      <c r="T20" s="513"/>
      <c r="U20" s="513"/>
      <c r="V20" s="513"/>
      <c r="W20" s="513"/>
      <c r="X20" s="515"/>
      <c r="Y20" s="510">
        <f t="shared" si="2"/>
        <v>0</v>
      </c>
      <c r="Z20" s="476">
        <f t="shared" si="0"/>
        <v>0</v>
      </c>
      <c r="AI20" s="990" t="s">
        <v>870</v>
      </c>
      <c r="AJ20" s="989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1051" t="s">
        <v>213</v>
      </c>
      <c r="F21" s="1053"/>
      <c r="G21" s="1054"/>
      <c r="H21" s="1055"/>
      <c r="I21" s="1053"/>
      <c r="J21" s="1054"/>
      <c r="K21" s="1055"/>
      <c r="L21" s="1053"/>
      <c r="M21" s="1054"/>
      <c r="N21" s="1055"/>
      <c r="O21" s="1053"/>
      <c r="P21" s="1054"/>
      <c r="Q21" s="1055"/>
      <c r="R21" s="1062"/>
      <c r="S21" s="1053"/>
      <c r="T21" s="1054"/>
      <c r="U21" s="1054"/>
      <c r="V21" s="1054"/>
      <c r="W21" s="1054"/>
      <c r="X21" s="1055"/>
      <c r="Y21" s="509">
        <f t="shared" si="2"/>
        <v>0</v>
      </c>
      <c r="Z21" s="475">
        <f t="shared" si="0"/>
        <v>0</v>
      </c>
      <c r="AI21" s="990" t="s">
        <v>413</v>
      </c>
      <c r="AJ21" s="989">
        <v>2.3626993757787398</v>
      </c>
    </row>
    <row r="22" spans="1:45" s="81" customFormat="1" ht="12" customHeight="1">
      <c r="A22" s="293" t="s">
        <v>844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67" t="s">
        <v>851</v>
      </c>
      <c r="F22" s="514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3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5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4">
        <f>('SHWLP-Apt'!$AC$38/('SHWLP-Apt'!$AC$12+'SHWLP-Att'!$AC$12+'SHWLP-Det'!$AC$12+'SHWLP-Apt'!$AC$38+'SHWLP-Att'!$AC$38+'SHWLP-Det'!$AC$38+'SHWLP-Apt'!AC50))</f>
        <v>0.30865202858270147</v>
      </c>
      <c r="J22" s="513">
        <f>('SHWLP-Att'!$AC$38/('SHWLP-Apt'!$AC$12+'SHWLP-Att'!$AC$12+'SHWLP-Det'!$AC$12+'SHWLP-Apt'!$AC$38+'SHWLP-Att'!$AC$38+'SHWLP-Det'!$AC$38+'SHWLP-Att'!AC50))</f>
        <v>0.14724077582745962</v>
      </c>
      <c r="K22" s="515">
        <f>('SHWLP-Det'!$AC$38/('SHWLP-Apt'!$AC$12+'SHWLP-Att'!$AC$12+'SHWLP-Det'!$AC$12+'SHWLP-Apt'!$AC$38+'SHWLP-Att'!$AC$38+'SHWLP-Det'!$AC$38+'SHWLP-Det'!AC50))</f>
        <v>8.7721246646459097E-2</v>
      </c>
      <c r="L22" s="514"/>
      <c r="M22" s="513"/>
      <c r="N22" s="515"/>
      <c r="O22" s="514"/>
      <c r="P22" s="513"/>
      <c r="Q22" s="515"/>
      <c r="R22" s="506"/>
      <c r="S22" s="516"/>
      <c r="T22" s="513"/>
      <c r="U22" s="513"/>
      <c r="V22" s="513"/>
      <c r="W22" s="513"/>
      <c r="X22" s="515"/>
      <c r="Y22" s="517">
        <f>SUM(F22:X22)</f>
        <v>0.93251301761267114</v>
      </c>
      <c r="Z22" s="518">
        <f t="shared" si="0"/>
        <v>1.1776284562901849</v>
      </c>
      <c r="AA22" s="943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90" t="s">
        <v>871</v>
      </c>
      <c r="AJ22" s="989">
        <v>2.1879412797081899E-5</v>
      </c>
    </row>
    <row r="23" spans="1:45" s="81" customFormat="1" ht="12" customHeight="1">
      <c r="A23" s="292" t="s">
        <v>800</v>
      </c>
      <c r="B23" s="298" t="s">
        <v>215</v>
      </c>
      <c r="C23" s="298">
        <f>'EB2018'!AI56*RSD_Balance!B4*0.5</f>
        <v>0</v>
      </c>
      <c r="D23" s="64"/>
      <c r="E23" s="1051" t="s">
        <v>214</v>
      </c>
      <c r="F23" s="1053">
        <f>'SHWLP-Apt'!$AC$9</f>
        <v>1.6411258099618979E-8</v>
      </c>
      <c r="G23" s="1054">
        <f>'SHWLP-Att'!$AC$9</f>
        <v>0</v>
      </c>
      <c r="H23" s="1055">
        <f>'SHWLP-Det'!$AC$9</f>
        <v>0</v>
      </c>
      <c r="I23" s="1053">
        <f>'SHWLP-Apt'!$AC$35</f>
        <v>4.395559180299348E-5</v>
      </c>
      <c r="J23" s="1054">
        <f>'SHWLP-Att'!$AC$35</f>
        <v>2.1879412797081848E-5</v>
      </c>
      <c r="K23" s="1055">
        <f>'SHWLP-Det'!$AC$35</f>
        <v>7.4096000727488155E-5</v>
      </c>
      <c r="L23" s="1053"/>
      <c r="M23" s="1054"/>
      <c r="N23" s="1055"/>
      <c r="O23" s="1053"/>
      <c r="P23" s="1054"/>
      <c r="Q23" s="1055"/>
      <c r="R23" s="1062"/>
      <c r="S23" s="1053"/>
      <c r="T23" s="1054"/>
      <c r="U23" s="1054"/>
      <c r="V23" s="1054"/>
      <c r="W23" s="1054"/>
      <c r="X23" s="1055"/>
      <c r="Y23" s="509">
        <f t="shared" si="2"/>
        <v>1.3994741658566312E-4</v>
      </c>
      <c r="Z23" s="475">
        <f t="shared" si="0"/>
        <v>0</v>
      </c>
      <c r="AA23" s="55"/>
      <c r="AI23" s="990" t="s">
        <v>872</v>
      </c>
      <c r="AJ23" s="989">
        <v>6.3135409508426799</v>
      </c>
    </row>
    <row r="24" spans="1:45" s="81" customFormat="1" ht="12" customHeight="1">
      <c r="A24" s="293" t="s">
        <v>801</v>
      </c>
      <c r="B24" s="299" t="s">
        <v>217</v>
      </c>
      <c r="C24" s="299">
        <f>'EB2018'!AI56*RSD_Balance!B4*0.5</f>
        <v>0</v>
      </c>
      <c r="D24" s="64"/>
      <c r="E24" s="1065" t="s">
        <v>216</v>
      </c>
      <c r="F24" s="514">
        <f>'SHWLP-Apt'!$AC$8</f>
        <v>2.2877293790868852E-5</v>
      </c>
      <c r="G24" s="513">
        <f>'SHWLP-Att'!$AC$8</f>
        <v>2.872353931024329E-5</v>
      </c>
      <c r="H24" s="515">
        <f>'SHWLP-Det'!$AC$8</f>
        <v>0</v>
      </c>
      <c r="I24" s="514">
        <f>'SHWLP-Apt'!$AC$34</f>
        <v>4.8644706191773872E-5</v>
      </c>
      <c r="J24" s="513">
        <f>'SHWLP-Att'!$AC$34</f>
        <v>7.8153182244299725E-5</v>
      </c>
      <c r="K24" s="515">
        <f>'SHWLP-Det'!$AC$34</f>
        <v>6.5413263264443806E-5</v>
      </c>
      <c r="L24" s="514"/>
      <c r="M24" s="513"/>
      <c r="N24" s="515"/>
      <c r="O24" s="514"/>
      <c r="P24" s="513"/>
      <c r="Q24" s="515"/>
      <c r="R24" s="506"/>
      <c r="S24" s="516"/>
      <c r="T24" s="513"/>
      <c r="U24" s="513"/>
      <c r="V24" s="513"/>
      <c r="W24" s="513"/>
      <c r="X24" s="515"/>
      <c r="Y24" s="510">
        <f t="shared" si="2"/>
        <v>2.4381198480162954E-4</v>
      </c>
      <c r="Z24" s="476">
        <f t="shared" si="0"/>
        <v>0</v>
      </c>
      <c r="AA24" s="55"/>
      <c r="AI24" s="990" t="s">
        <v>411</v>
      </c>
      <c r="AJ24" s="989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66" t="s">
        <v>218</v>
      </c>
      <c r="F25" s="1053"/>
      <c r="G25" s="1054"/>
      <c r="H25" s="1055"/>
      <c r="I25" s="1053"/>
      <c r="J25" s="1054"/>
      <c r="K25" s="1055"/>
      <c r="L25" s="1053"/>
      <c r="M25" s="1054"/>
      <c r="N25" s="1055"/>
      <c r="O25" s="1053"/>
      <c r="P25" s="1054"/>
      <c r="Q25" s="1055"/>
      <c r="R25" s="1062"/>
      <c r="S25" s="1053"/>
      <c r="T25" s="1054"/>
      <c r="U25" s="1054"/>
      <c r="V25" s="1054"/>
      <c r="W25" s="1054"/>
      <c r="X25" s="1055"/>
      <c r="Y25" s="509">
        <f t="shared" si="2"/>
        <v>0</v>
      </c>
      <c r="Z25" s="475">
        <f t="shared" si="0"/>
        <v>0</v>
      </c>
      <c r="AA25" s="55"/>
      <c r="AI25" s="990" t="s">
        <v>873</v>
      </c>
      <c r="AJ25" s="989">
        <v>9.90629955911613</v>
      </c>
    </row>
    <row r="26" spans="1:45" s="81" customFormat="1" ht="12" customHeight="1">
      <c r="A26" s="293" t="s">
        <v>621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8" t="s">
        <v>621</v>
      </c>
      <c r="F26" s="514">
        <f>'SHWLP-Apt'!$AC$11+'SHWLP-Apt'!$AC$13</f>
        <v>0.72642840655037644</v>
      </c>
      <c r="G26" s="513">
        <f>'SHWLP-Att'!$AC$11+'SHWLP-Att'!$AC$13</f>
        <v>1.0928322552739964</v>
      </c>
      <c r="H26" s="515">
        <f>'SHWLP-Det'!$AC$11+'SHWLP-Det'!$AC$13</f>
        <v>1.5966848527454152</v>
      </c>
      <c r="I26" s="514">
        <f>'SHWLP-Apt'!$AC$37+'SHWLP-Apt'!$AC$39</f>
        <v>0.71770036884193256</v>
      </c>
      <c r="J26" s="513">
        <f>'SHWLP-Att'!$AC$37+'SHWLP-Att'!$AC$39</f>
        <v>0.57128023117993987</v>
      </c>
      <c r="K26" s="515">
        <f>'SHWLP-Det'!$AC$37+'SHWLP-Det'!$AC$39</f>
        <v>0.47934820777932857</v>
      </c>
      <c r="L26" s="514">
        <f>'SHWLP-Apt'!$AC$59</f>
        <v>0.33324972411353743</v>
      </c>
      <c r="M26" s="513">
        <f>'SHWLP-Att'!$AC$59</f>
        <v>1.7527820568537191</v>
      </c>
      <c r="N26" s="515">
        <f>'SHWLP-Det'!$AC$59</f>
        <v>2.7292596494240944</v>
      </c>
      <c r="O26" s="514">
        <f>'SHWLP-Apt'!$AC$60</f>
        <v>6.8669034558234018E-2</v>
      </c>
      <c r="P26" s="513">
        <f>'SHWLP-Att'!$AC$60</f>
        <v>0.48537443842897676</v>
      </c>
      <c r="Q26" s="515">
        <f>'SHWLP-Det'!$AC$60</f>
        <v>0.56807842105210182</v>
      </c>
      <c r="R26" s="506">
        <v>2.051734110329881</v>
      </c>
      <c r="S26" s="516">
        <f>(T38*0.0000000036)*(DwellingStocks!L28*RSD_Balance!U38)</f>
        <v>1.4117078065859998</v>
      </c>
      <c r="T26" s="513">
        <f>(T36*0.0000000036)*(DwellingStocks!L28*RSD_Balance!U36)</f>
        <v>1.1023237905322498</v>
      </c>
      <c r="U26" s="513">
        <f>(T37*0.0000000036)*(DwellingStocks!L28*RSD_Balance!U37)</f>
        <v>1.7147299705763039</v>
      </c>
      <c r="V26" s="513">
        <f>(T39*0.0000000036)*(DwellingStocks!L28*RSD_Balance!U39)</f>
        <v>1.1862012348845998</v>
      </c>
      <c r="W26" s="513">
        <v>10.843443600154002</v>
      </c>
      <c r="X26" s="515">
        <v>0</v>
      </c>
      <c r="Y26" s="510">
        <f>SUM(F26:X26)</f>
        <v>29.431828159864686</v>
      </c>
      <c r="Z26" s="476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90" t="s">
        <v>874</v>
      </c>
      <c r="AJ26" s="989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1051" t="s">
        <v>219</v>
      </c>
      <c r="F27" s="1053">
        <f>'SHWLP-Apt'!$AC$24</f>
        <v>3.751289270479366E-2</v>
      </c>
      <c r="G27" s="1054">
        <f>'SHWLP-Att'!$AC$24</f>
        <v>4.4456193579378724E-2</v>
      </c>
      <c r="H27" s="1055">
        <f>'SHWLP-Det'!$AC$24</f>
        <v>0.14955731044202938</v>
      </c>
      <c r="I27" s="1053">
        <f>'SHWLP-Apt'!$AC$50</f>
        <v>1.0162354538216969E-2</v>
      </c>
      <c r="J27" s="1054">
        <f>'SHWLP-Att'!$AC$50</f>
        <v>2.3853289854202531E-3</v>
      </c>
      <c r="K27" s="1055">
        <f>'SHWLP-Det'!$AC$50</f>
        <v>1.0237223508519498E-3</v>
      </c>
      <c r="L27" s="1053"/>
      <c r="M27" s="1054"/>
      <c r="N27" s="1055"/>
      <c r="O27" s="1053"/>
      <c r="P27" s="1054"/>
      <c r="Q27" s="1055"/>
      <c r="R27" s="1062"/>
      <c r="S27" s="1053"/>
      <c r="T27" s="1054"/>
      <c r="U27" s="1054"/>
      <c r="V27" s="1054"/>
      <c r="W27" s="1054"/>
      <c r="X27" s="1055"/>
      <c r="Y27" s="525">
        <f>SUM(F27:X27)</f>
        <v>0.24509780260069097</v>
      </c>
      <c r="Z27" s="519">
        <f t="shared" si="0"/>
        <v>0</v>
      </c>
      <c r="AA27" s="943">
        <f>ABS(Z22+Z27-Y22-Y27)/(Z22+Z27)</f>
        <v>1.4975926174810547E-5</v>
      </c>
      <c r="AI27" s="990" t="s">
        <v>414</v>
      </c>
      <c r="AJ27" s="989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601" t="s">
        <v>504</v>
      </c>
      <c r="F28" s="601">
        <f>SUM('SHWLP-Apt'!AC20:AC22)</f>
        <v>8.0306945735614532E-2</v>
      </c>
      <c r="G28" s="601">
        <f>SUM('SHWLP-Att'!AC20:AC22)</f>
        <v>2.5365387026370665</v>
      </c>
      <c r="H28" s="601">
        <f>SUM('SHWLP-Det'!AC20:AC22)</f>
        <v>6.7042583807020266</v>
      </c>
      <c r="I28" s="601">
        <f>SUM('SHWLP-Apt'!AC46:AC48)</f>
        <v>8.8177086195802782E-3</v>
      </c>
      <c r="J28" s="601">
        <f>SUM('SHWLP-Att'!AC46:AC48)</f>
        <v>0.48732257014454378</v>
      </c>
      <c r="K28" s="601">
        <f>SUM('SHWLP-Det'!AC46:AC48)</f>
        <v>0.5222552925680668</v>
      </c>
      <c r="L28" s="601"/>
      <c r="M28" s="601"/>
      <c r="N28" s="601"/>
      <c r="O28" s="601"/>
      <c r="P28" s="601"/>
      <c r="Q28" s="601"/>
      <c r="R28" s="601"/>
      <c r="S28" s="601"/>
      <c r="T28" s="601"/>
      <c r="U28" s="601"/>
      <c r="V28" s="601"/>
      <c r="W28" s="601"/>
      <c r="X28" s="601"/>
      <c r="Y28" s="601">
        <f>SUM(F28:K28)</f>
        <v>10.339499600406898</v>
      </c>
      <c r="Z28" s="602"/>
      <c r="AA28" s="409"/>
      <c r="AD28" s="55"/>
      <c r="AI28" s="990" t="s">
        <v>875</v>
      </c>
      <c r="AJ28" s="989">
        <v>0.56017671356000898</v>
      </c>
    </row>
    <row r="29" spans="1:45" ht="13.5" thickBot="1">
      <c r="A29" s="55"/>
      <c r="B29" s="55"/>
      <c r="C29" s="55"/>
      <c r="D29" s="55"/>
      <c r="E29" s="55"/>
      <c r="F29" s="477">
        <f>SUM(F9:F27)</f>
        <v>2.7620518214592935</v>
      </c>
      <c r="G29" s="477">
        <f t="shared" ref="G29:K29" si="4">SUM(G9:G27)</f>
        <v>28.057733461536916</v>
      </c>
      <c r="H29" s="477">
        <f t="shared" si="4"/>
        <v>47.449103710290977</v>
      </c>
      <c r="I29" s="477">
        <f t="shared" si="4"/>
        <v>1.9309486846727868</v>
      </c>
      <c r="J29" s="477">
        <f t="shared" si="4"/>
        <v>9.7308635918514756</v>
      </c>
      <c r="K29" s="477">
        <f t="shared" si="4"/>
        <v>11.77321928343642</v>
      </c>
      <c r="L29" s="479">
        <f t="shared" ref="L29:X29" si="5">SUM(L9:L27)</f>
        <v>0.33324972411353743</v>
      </c>
      <c r="M29" s="479">
        <f t="shared" si="5"/>
        <v>1.7527820568537191</v>
      </c>
      <c r="N29" s="479">
        <f t="shared" si="5"/>
        <v>2.7292596494240944</v>
      </c>
      <c r="O29" s="479">
        <f t="shared" si="5"/>
        <v>6.8669034558234018E-2</v>
      </c>
      <c r="P29" s="479">
        <f t="shared" si="5"/>
        <v>0.48537443842897676</v>
      </c>
      <c r="Q29" s="479">
        <f t="shared" si="5"/>
        <v>0.56807842105210182</v>
      </c>
      <c r="R29" s="604">
        <f t="shared" si="5"/>
        <v>2.7611554513679644</v>
      </c>
      <c r="S29" s="479">
        <f t="shared" si="5"/>
        <v>1.4117078065859998</v>
      </c>
      <c r="T29" s="479">
        <f t="shared" si="5"/>
        <v>1.1023237905322498</v>
      </c>
      <c r="U29" s="479">
        <f t="shared" si="5"/>
        <v>1.7147299705763039</v>
      </c>
      <c r="V29" s="479">
        <f t="shared" si="5"/>
        <v>1.1862012348845998</v>
      </c>
      <c r="W29" s="603">
        <f t="shared" si="5"/>
        <v>10.843443600154002</v>
      </c>
      <c r="X29" s="479">
        <f t="shared" si="5"/>
        <v>0</v>
      </c>
      <c r="Y29" s="923">
        <f>SUM(Y9:Y27)</f>
        <v>126.66089573177968</v>
      </c>
      <c r="Z29" s="922">
        <f>SUM(Z9:Z27)</f>
        <v>126.68456757434075</v>
      </c>
      <c r="AA29" s="409">
        <f>ABS(Z29-Y29)/Z29</f>
        <v>1.8685656046606264E-4</v>
      </c>
      <c r="AB29" s="81"/>
      <c r="AC29" s="81"/>
      <c r="AD29" s="922">
        <f>SUM(AD9:AD27)</f>
        <v>122.9150304745302</v>
      </c>
      <c r="AE29" s="81"/>
      <c r="AF29" s="81"/>
      <c r="AG29" s="81"/>
      <c r="AH29" s="81"/>
      <c r="AI29" s="990" t="s">
        <v>876</v>
      </c>
      <c r="AJ29" s="989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7">
        <f>SUM(F29:H29)</f>
        <v>78.268888993287192</v>
      </c>
      <c r="G30" s="478">
        <f>F30/$Y$29</f>
        <v>0.61794043489974504</v>
      </c>
      <c r="H30" s="353"/>
      <c r="I30" s="479">
        <f>SUM(I29:K29)</f>
        <v>23.435031559960684</v>
      </c>
      <c r="J30" s="478">
        <f>I30/$Y$29</f>
        <v>0.18502183664946836</v>
      </c>
      <c r="K30" s="353"/>
      <c r="L30" s="479">
        <f>SUM(L29:N29)</f>
        <v>4.8152914303913512</v>
      </c>
      <c r="M30" s="478">
        <f>L30/$Y$29</f>
        <v>3.8017190724660074E-2</v>
      </c>
      <c r="N30" s="353"/>
      <c r="O30" s="479">
        <f>SUM(O29:Q29)</f>
        <v>1.1221218940393127</v>
      </c>
      <c r="P30" s="478">
        <f>O30/$Y$29</f>
        <v>8.8592606862306304E-3</v>
      </c>
      <c r="Q30" s="353"/>
      <c r="R30" s="478">
        <f>R29/$Y$29</f>
        <v>2.1799588858230225E-2</v>
      </c>
      <c r="S30" s="479">
        <f>SUM(S29:X29)</f>
        <v>16.258406402733154</v>
      </c>
      <c r="T30" s="478">
        <f>S30/$Y$29</f>
        <v>0.12836168818166555</v>
      </c>
      <c r="U30" s="353"/>
      <c r="V30" s="353"/>
      <c r="W30" s="353"/>
      <c r="X30" s="353"/>
      <c r="Y30" s="480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5"/>
      <c r="Z31" s="98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6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80"/>
      <c r="S35" s="1081" t="s">
        <v>507</v>
      </c>
      <c r="T35" s="1081" t="s">
        <v>506</v>
      </c>
      <c r="U35" s="1082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3" t="s">
        <v>227</v>
      </c>
      <c r="S36" s="1079"/>
      <c r="T36" s="60">
        <v>185</v>
      </c>
      <c r="U36" s="108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3" t="s">
        <v>228</v>
      </c>
      <c r="S37" s="1079"/>
      <c r="T37" s="55">
        <v>433</v>
      </c>
      <c r="U37" s="108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3" t="s">
        <v>226</v>
      </c>
      <c r="S38" s="1079"/>
      <c r="T38" s="55">
        <v>231</v>
      </c>
      <c r="U38" s="108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5" t="s">
        <v>229</v>
      </c>
      <c r="S39" s="1078"/>
      <c r="T39" s="1086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087" t="s">
        <v>560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487"/>
      <c r="O4" s="1087" t="s">
        <v>562</v>
      </c>
      <c r="P4" s="1088"/>
      <c r="Q4" s="1088"/>
      <c r="R4" s="1088"/>
      <c r="S4" s="1088"/>
      <c r="T4" s="1088"/>
      <c r="U4" s="1088"/>
      <c r="V4" s="1088"/>
      <c r="W4" s="1088"/>
      <c r="X4" s="1088"/>
      <c r="Y4" s="1088"/>
      <c r="Z4" s="1089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572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10" t="s">
        <v>569</v>
      </c>
      <c r="AZ18" s="1010"/>
      <c r="BA18" s="1010"/>
      <c r="BB18" s="1010"/>
      <c r="BC18" s="1010"/>
      <c r="BD18" s="1010"/>
      <c r="BE18" s="1010"/>
      <c r="BF18" s="1010"/>
      <c r="BG18" s="1010"/>
      <c r="BH18" s="1010"/>
      <c r="BI18" s="1010"/>
      <c r="BJ18" s="1010"/>
      <c r="BL18" s="1010" t="s">
        <v>570</v>
      </c>
      <c r="BM18" s="1010"/>
      <c r="BN18" s="1010"/>
      <c r="BO18" s="1010"/>
      <c r="BP18" s="1010"/>
      <c r="BQ18" s="1010"/>
      <c r="BR18" s="1010"/>
      <c r="BS18" s="1010"/>
      <c r="BT18" s="1010"/>
      <c r="BU18" s="1010"/>
      <c r="BV18" s="1010"/>
      <c r="BW18" s="1010"/>
      <c r="BX18" s="1010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087" t="s">
        <v>561</v>
      </c>
      <c r="C19" s="1088"/>
      <c r="D19" s="1088"/>
      <c r="E19" s="1088"/>
      <c r="F19" s="1088"/>
      <c r="G19" s="1088"/>
      <c r="H19" s="1088"/>
      <c r="I19" s="1088"/>
      <c r="J19" s="1088"/>
      <c r="K19" s="1088"/>
      <c r="L19" s="1088"/>
      <c r="M19" s="1088"/>
      <c r="O19" s="1087" t="s">
        <v>562</v>
      </c>
      <c r="P19" s="1088"/>
      <c r="Q19" s="1088"/>
      <c r="R19" s="1088"/>
      <c r="S19" s="1088"/>
      <c r="T19" s="1088"/>
      <c r="U19" s="1088"/>
      <c r="V19" s="1088"/>
      <c r="W19" s="1088"/>
      <c r="X19" s="1088"/>
      <c r="Y19" s="1088"/>
      <c r="Z19" s="1088"/>
      <c r="AB19" s="1087" t="s">
        <v>563</v>
      </c>
      <c r="AC19" s="1088"/>
      <c r="AD19" s="1088"/>
      <c r="AE19" s="1088"/>
      <c r="AF19" s="1088"/>
      <c r="AG19" s="1088"/>
      <c r="AH19" s="1088"/>
      <c r="AI19" s="1088"/>
      <c r="AJ19" s="1088"/>
      <c r="AK19" s="1088"/>
      <c r="AL19" s="1088"/>
      <c r="AN19" s="1090" t="s">
        <v>564</v>
      </c>
      <c r="AO19" s="1091"/>
      <c r="AP19" s="1091"/>
      <c r="AQ19" s="1091"/>
      <c r="AR19" s="1091"/>
      <c r="AS19" s="1091"/>
      <c r="AT19" s="1091"/>
      <c r="AU19" s="1091"/>
      <c r="AV19" s="1091"/>
      <c r="AW19" s="1091"/>
      <c r="AY19" s="1092" t="s">
        <v>565</v>
      </c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L19" s="1092" t="s">
        <v>571</v>
      </c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  <c r="BX19" s="1092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577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577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577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3" t="s">
        <v>232</v>
      </c>
      <c r="D2" s="593"/>
      <c r="M2" s="593" t="s">
        <v>232</v>
      </c>
      <c r="N2" s="594"/>
    </row>
    <row r="3" spans="1:21" ht="15">
      <c r="C3" s="34" t="s">
        <v>780</v>
      </c>
      <c r="D3" s="34"/>
      <c r="E3" s="596"/>
      <c r="F3" s="596"/>
      <c r="G3" s="596"/>
      <c r="H3" s="596"/>
      <c r="I3" s="596"/>
      <c r="J3" s="596"/>
      <c r="K3" s="595"/>
      <c r="M3" s="34" t="s">
        <v>780</v>
      </c>
      <c r="N3" s="67"/>
      <c r="O3" s="67"/>
      <c r="P3" s="67"/>
      <c r="Q3" s="67"/>
      <c r="R3" s="67"/>
      <c r="S3" s="67"/>
      <c r="T3" s="67"/>
      <c r="U3" s="595"/>
    </row>
    <row r="4" spans="1:21" ht="15.75" thickBot="1">
      <c r="C4" s="35" t="s">
        <v>233</v>
      </c>
      <c r="D4" s="35" t="s">
        <v>781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781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782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782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842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842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842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621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843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783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781</v>
      </c>
      <c r="C5" s="332" t="s">
        <v>234</v>
      </c>
      <c r="D5" s="529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98" t="s">
        <v>254</v>
      </c>
      <c r="E6" s="1098" t="s">
        <v>254</v>
      </c>
      <c r="F6" s="1098" t="s">
        <v>254</v>
      </c>
      <c r="G6" s="1098" t="s">
        <v>254</v>
      </c>
      <c r="H6" s="1098" t="s">
        <v>254</v>
      </c>
      <c r="I6" s="1098" t="s">
        <v>254</v>
      </c>
      <c r="J6" s="1098" t="s">
        <v>254</v>
      </c>
      <c r="K6" s="1098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93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99">
        <v>0</v>
      </c>
      <c r="M7" s="487"/>
      <c r="N7" s="487"/>
      <c r="O7" s="487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94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100">
        <v>0.01</v>
      </c>
      <c r="M8" s="487"/>
      <c r="N8" s="487"/>
      <c r="O8" s="487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95" t="str">
        <f>COMM!E28</f>
        <v>RSDN2O</v>
      </c>
      <c r="D9" s="1101">
        <v>0</v>
      </c>
      <c r="E9" s="1102"/>
      <c r="F9" s="1103"/>
      <c r="G9" s="1103"/>
      <c r="H9" s="1102"/>
      <c r="I9" s="1102"/>
      <c r="J9" s="1102"/>
      <c r="K9" s="1104"/>
      <c r="M9" s="487"/>
      <c r="N9" s="487"/>
      <c r="O9" s="487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96" t="str">
        <f>COMM!E29</f>
        <v>RSDSO2N</v>
      </c>
      <c r="D10" s="1105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106">
        <v>5.9999999999999995E-4</v>
      </c>
      <c r="M10" s="487"/>
      <c r="N10" s="487"/>
      <c r="O10" s="487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95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107"/>
      <c r="M11" s="487"/>
      <c r="N11" s="487"/>
      <c r="O11" s="487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97" t="str">
        <f>COMM!E31</f>
        <v>RSDPM25</v>
      </c>
      <c r="D12" s="1108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109"/>
      <c r="M12" s="487"/>
      <c r="N12" s="487"/>
      <c r="O12" s="487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7"/>
      <c r="N13" s="487"/>
      <c r="O13" s="487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7" customWidth="1"/>
    <col min="2" max="2" width="10" style="487" bestFit="1" customWidth="1"/>
    <col min="3" max="3" width="15.85546875" style="487" bestFit="1" customWidth="1"/>
    <col min="4" max="4" width="24" style="487" bestFit="1" customWidth="1"/>
    <col min="5" max="5" width="12.85546875" style="487" bestFit="1" customWidth="1"/>
    <col min="6" max="6" width="7.85546875" style="487" bestFit="1" customWidth="1"/>
    <col min="7" max="7" width="12.85546875" style="487" bestFit="1" customWidth="1"/>
    <col min="8" max="8" width="10.85546875" style="487" bestFit="1" customWidth="1"/>
    <col min="9" max="9" width="13.28515625" style="487" bestFit="1" customWidth="1"/>
    <col min="10" max="10" width="3.7109375" style="487" customWidth="1"/>
    <col min="11" max="11" width="9.85546875" style="487" customWidth="1"/>
    <col min="12" max="12" width="10" style="487" bestFit="1" customWidth="1"/>
    <col min="13" max="13" width="15.7109375" style="487" bestFit="1" customWidth="1"/>
    <col min="14" max="14" width="44.85546875" style="487" bestFit="1" customWidth="1"/>
    <col min="15" max="15" width="6.140625" style="487" bestFit="1" customWidth="1"/>
    <col min="16" max="16" width="7" style="487" bestFit="1" customWidth="1"/>
    <col min="17" max="17" width="12.85546875" style="487" customWidth="1"/>
    <col min="18" max="18" width="13.28515625" style="487" customWidth="1"/>
    <col min="19" max="19" width="8" style="487" bestFit="1" customWidth="1"/>
    <col min="20" max="16384" width="8.85546875" style="487"/>
  </cols>
  <sheetData>
    <row r="2" spans="1:19">
      <c r="E2" s="488" t="s">
        <v>785</v>
      </c>
      <c r="F2" s="488"/>
      <c r="H2" s="488"/>
      <c r="K2" s="489" t="s">
        <v>784</v>
      </c>
      <c r="L2" s="489"/>
      <c r="M2" s="490"/>
      <c r="N2" s="490"/>
      <c r="O2" s="490"/>
      <c r="P2" s="490"/>
      <c r="Q2" s="490"/>
      <c r="R2" s="490"/>
      <c r="S2" s="490"/>
    </row>
    <row r="3" spans="1:19">
      <c r="B3" s="491" t="s">
        <v>781</v>
      </c>
      <c r="C3" s="491" t="s">
        <v>257</v>
      </c>
      <c r="D3" s="492" t="s">
        <v>259</v>
      </c>
      <c r="E3" s="491" t="s">
        <v>260</v>
      </c>
      <c r="F3" s="491" t="s">
        <v>261</v>
      </c>
      <c r="G3" s="493" t="s">
        <v>779</v>
      </c>
      <c r="H3" s="493" t="s">
        <v>778</v>
      </c>
      <c r="I3" s="493" t="s">
        <v>703</v>
      </c>
      <c r="K3" s="494" t="s">
        <v>263</v>
      </c>
      <c r="L3" s="494" t="s">
        <v>781</v>
      </c>
      <c r="M3" s="494" t="s">
        <v>257</v>
      </c>
      <c r="N3" s="494" t="s">
        <v>258</v>
      </c>
      <c r="O3" s="494" t="s">
        <v>264</v>
      </c>
      <c r="P3" s="494" t="s">
        <v>265</v>
      </c>
      <c r="Q3" s="494" t="s">
        <v>266</v>
      </c>
      <c r="R3" s="494" t="s">
        <v>267</v>
      </c>
      <c r="S3" s="494" t="s">
        <v>704</v>
      </c>
    </row>
    <row r="4" spans="1:19" ht="34.5" thickBot="1">
      <c r="B4" s="495" t="s">
        <v>782</v>
      </c>
      <c r="C4" s="495" t="s">
        <v>273</v>
      </c>
      <c r="D4" s="495" t="s">
        <v>275</v>
      </c>
      <c r="E4" s="495" t="s">
        <v>276</v>
      </c>
      <c r="F4" s="495" t="s">
        <v>705</v>
      </c>
      <c r="G4" s="495" t="s">
        <v>706</v>
      </c>
      <c r="H4" s="495" t="s">
        <v>707</v>
      </c>
      <c r="I4" s="495" t="s">
        <v>708</v>
      </c>
      <c r="K4" s="496" t="s">
        <v>709</v>
      </c>
      <c r="L4" s="496" t="s">
        <v>782</v>
      </c>
      <c r="M4" s="496" t="s">
        <v>710</v>
      </c>
      <c r="N4" s="496" t="s">
        <v>274</v>
      </c>
      <c r="O4" s="496" t="s">
        <v>711</v>
      </c>
      <c r="P4" s="496" t="s">
        <v>712</v>
      </c>
      <c r="Q4" s="496" t="s">
        <v>713</v>
      </c>
      <c r="R4" s="496" t="s">
        <v>714</v>
      </c>
      <c r="S4" s="496" t="s">
        <v>715</v>
      </c>
    </row>
    <row r="5" spans="1:19" ht="13.5" thickBot="1">
      <c r="B5" s="495"/>
      <c r="C5" s="495" t="s">
        <v>495</v>
      </c>
      <c r="D5" s="497"/>
      <c r="E5" s="497"/>
      <c r="F5" s="497"/>
      <c r="G5" s="497" t="s">
        <v>716</v>
      </c>
      <c r="H5" s="497" t="s">
        <v>717</v>
      </c>
      <c r="I5" s="497" t="s">
        <v>15</v>
      </c>
      <c r="K5" s="496" t="s">
        <v>256</v>
      </c>
      <c r="L5" s="496"/>
      <c r="M5" s="498"/>
      <c r="N5" s="498"/>
      <c r="O5" s="498"/>
      <c r="P5" s="498"/>
      <c r="Q5" s="498"/>
      <c r="R5" s="498"/>
      <c r="S5" s="498"/>
    </row>
    <row r="6" spans="1:19" s="501" customFormat="1">
      <c r="A6" s="501" t="str">
        <f>COMM!A6</f>
        <v/>
      </c>
      <c r="B6" s="499" t="str">
        <f>_xlfn.TEXTJOIN(",",TRUE,IF(LEFT(Regions!$C$3,1)&lt;&gt;"*",Regions!$C$3,""),IF(LEFT(Regions!$D$3,1)&lt;&gt;"*",Regions!$D$3,""))</f>
        <v>IE,National</v>
      </c>
      <c r="C6" s="499" t="str">
        <f>_xlfn.TEXTJOIN("-",TRUE,SETUP!$B$4,COMM!E6)</f>
        <v>FT-RSDCOA</v>
      </c>
      <c r="D6" s="500" t="s">
        <v>719</v>
      </c>
      <c r="E6" s="499" t="str">
        <f>COMM!E6</f>
        <v>RSDCOA</v>
      </c>
      <c r="F6" s="501">
        <v>1</v>
      </c>
      <c r="G6" s="501">
        <v>50</v>
      </c>
      <c r="H6" s="501">
        <v>0.01</v>
      </c>
      <c r="I6" s="597"/>
      <c r="K6" s="499" t="s">
        <v>268</v>
      </c>
      <c r="L6" s="499" t="str">
        <f>_xlfn.TEXTJOIN(",",TRUE,IF(LEFT(Regions!$C$3,1)&lt;&gt;"*",Regions!$C$3,""),IF(LEFT(Regions!$D$3,1)&lt;&gt;"*",Regions!$D$3,""))</f>
        <v>IE,National</v>
      </c>
      <c r="M6" s="502" t="str">
        <f t="shared" ref="M6:M17" si="0">C6</f>
        <v>FT-RSDCOA</v>
      </c>
      <c r="N6" s="503" t="str">
        <f>_xlfn.TEXTJOIN(" ",TRUE,SETUP!$B$3,COMM!F6)</f>
        <v>RSD Coal to Residential</v>
      </c>
      <c r="O6" s="502" t="s">
        <v>15</v>
      </c>
      <c r="P6" s="502" t="s">
        <v>702</v>
      </c>
      <c r="Q6" s="502"/>
      <c r="R6" s="502"/>
      <c r="S6" s="502"/>
    </row>
    <row r="7" spans="1:19" s="501" customFormat="1">
      <c r="A7" s="501" t="str">
        <f>COMM!A7</f>
        <v/>
      </c>
      <c r="B7" s="499" t="str">
        <f>_xlfn.TEXTJOIN(",",TRUE,IF(LEFT(Regions!$C$3,1)&lt;&gt;"*",Regions!$C$3,""),IF(LEFT(Regions!$D$3,1)&lt;&gt;"*",Regions!$D$3,""))</f>
        <v>IE,National</v>
      </c>
      <c r="C7" s="499" t="str">
        <f>_xlfn.TEXTJOIN("-",TRUE,SETUP!$B$4,COMM!E7)</f>
        <v>FT-RSDPEA</v>
      </c>
      <c r="D7" s="500" t="s">
        <v>202</v>
      </c>
      <c r="E7" s="499" t="str">
        <f>COMM!E7</f>
        <v>RSDPEA</v>
      </c>
      <c r="F7" s="501">
        <v>1</v>
      </c>
      <c r="G7" s="501">
        <v>50</v>
      </c>
      <c r="H7" s="501">
        <v>0.01</v>
      </c>
      <c r="K7" s="499"/>
      <c r="L7" s="499" t="str">
        <f>_xlfn.TEXTJOIN(",",TRUE,IF(LEFT(Regions!$C$3,1)&lt;&gt;"*",Regions!$C$3,""),IF(LEFT(Regions!$D$3,1)&lt;&gt;"*",Regions!$D$3,""))</f>
        <v>IE,National</v>
      </c>
      <c r="M7" s="502" t="str">
        <f t="shared" si="0"/>
        <v>FT-RSDPEA</v>
      </c>
      <c r="N7" s="503" t="str">
        <f>_xlfn.TEXTJOIN(" ",TRUE,SETUP!$B$3,COMM!F7)</f>
        <v>RSD Peat to Residential</v>
      </c>
      <c r="O7" s="502" t="s">
        <v>15</v>
      </c>
      <c r="P7" s="502" t="s">
        <v>702</v>
      </c>
    </row>
    <row r="8" spans="1:19" s="501" customFormat="1">
      <c r="A8" s="501" t="str">
        <f>COMM!A8</f>
        <v/>
      </c>
      <c r="B8" s="499" t="str">
        <f>_xlfn.TEXTJOIN(",",TRUE,IF(LEFT(Regions!$C$3,1)&lt;&gt;"*",Regions!$C$3,""),IF(LEFT(Regions!$D$3,1)&lt;&gt;"*",Regions!$D$3,""))</f>
        <v>IE,National</v>
      </c>
      <c r="C8" s="499" t="str">
        <f>_xlfn.TEXTJOIN("-",TRUE,SETUP!$B$4,COMM!E8)</f>
        <v>FT-RSDLPG</v>
      </c>
      <c r="D8" s="500" t="s">
        <v>203</v>
      </c>
      <c r="E8" s="499" t="str">
        <f>COMM!E8</f>
        <v>RSDLPG</v>
      </c>
      <c r="F8" s="501">
        <v>1</v>
      </c>
      <c r="G8" s="501">
        <v>50</v>
      </c>
      <c r="H8" s="501">
        <v>0.01</v>
      </c>
      <c r="K8" s="499"/>
      <c r="L8" s="499" t="str">
        <f>_xlfn.TEXTJOIN(",",TRUE,IF(LEFT(Regions!$C$3,1)&lt;&gt;"*",Regions!$C$3,""),IF(LEFT(Regions!$D$3,1)&lt;&gt;"*",Regions!$D$3,""))</f>
        <v>IE,National</v>
      </c>
      <c r="M8" s="502" t="str">
        <f t="shared" si="0"/>
        <v>FT-RSDLPG</v>
      </c>
      <c r="N8" s="503" t="str">
        <f>_xlfn.TEXTJOIN(" ",TRUE,SETUP!$B$3,COMM!F8)</f>
        <v>RSD LPG to Residential</v>
      </c>
      <c r="O8" s="502" t="s">
        <v>15</v>
      </c>
      <c r="P8" s="502" t="s">
        <v>702</v>
      </c>
    </row>
    <row r="9" spans="1:19" s="501" customFormat="1">
      <c r="A9" s="501" t="str">
        <f>COMM!A10</f>
        <v/>
      </c>
      <c r="B9" s="499" t="str">
        <f>_xlfn.TEXTJOIN(",",TRUE,IF(LEFT(Regions!$C$3,1)&lt;&gt;"*",Regions!$C$3,""),IF(LEFT(Regions!$D$3,1)&lt;&gt;"*",Regions!$D$3,""))</f>
        <v>IE,National</v>
      </c>
      <c r="C9" s="499" t="str">
        <f>_xlfn.TEXTJOIN("-",TRUE,SETUP!$B$4,COMM!E10)</f>
        <v>FT-RSDKER</v>
      </c>
      <c r="D9" s="500" t="s">
        <v>205</v>
      </c>
      <c r="E9" s="499" t="str">
        <f>COMM!E10</f>
        <v>RSDKER</v>
      </c>
      <c r="F9" s="501">
        <v>1</v>
      </c>
      <c r="G9" s="501">
        <v>50</v>
      </c>
      <c r="H9" s="501">
        <v>0.01</v>
      </c>
      <c r="K9" s="499"/>
      <c r="L9" s="499" t="str">
        <f>_xlfn.TEXTJOIN(",",TRUE,IF(LEFT(Regions!$C$3,1)&lt;&gt;"*",Regions!$C$3,""),IF(LEFT(Regions!$D$3,1)&lt;&gt;"*",Regions!$D$3,""))</f>
        <v>IE,National</v>
      </c>
      <c r="M9" s="502" t="str">
        <f t="shared" si="0"/>
        <v>FT-RSDKER</v>
      </c>
      <c r="N9" s="503" t="str">
        <f>_xlfn.TEXTJOIN(" ",TRUE,SETUP!$B$3,COMM!F10)</f>
        <v>RSD Kerosene to Residential</v>
      </c>
      <c r="O9" s="502" t="s">
        <v>15</v>
      </c>
      <c r="P9" s="502" t="s">
        <v>702</v>
      </c>
    </row>
    <row r="10" spans="1:19" s="501" customFormat="1">
      <c r="A10" s="501" t="str">
        <f>COMM!A14</f>
        <v/>
      </c>
      <c r="B10" s="499" t="str">
        <f>_xlfn.TEXTJOIN(",",TRUE,IF(LEFT(Regions!$C$3,1)&lt;&gt;"*",Regions!$C$3,""),IF(LEFT(Regions!$D$3,1)&lt;&gt;"*",Regions!$D$3,""))</f>
        <v>IE,National</v>
      </c>
      <c r="C10" s="499" t="str">
        <f>_xlfn.TEXTJOIN("-",TRUE,SETUP!$B$4,COMM!E14)</f>
        <v>FT-RSDGAS</v>
      </c>
      <c r="D10" s="500" t="s">
        <v>209</v>
      </c>
      <c r="E10" s="499" t="str">
        <f>COMM!E14</f>
        <v>RSDGAS</v>
      </c>
      <c r="F10" s="501">
        <v>1</v>
      </c>
      <c r="G10" s="501">
        <v>50</v>
      </c>
      <c r="H10" s="501">
        <v>0.01</v>
      </c>
      <c r="K10" s="499"/>
      <c r="L10" s="499" t="str">
        <f>_xlfn.TEXTJOIN(",",TRUE,IF(LEFT(Regions!$C$3,1)&lt;&gt;"*",Regions!$C$3,""),IF(LEFT(Regions!$D$3,1)&lt;&gt;"*",Regions!$D$3,""))</f>
        <v>IE,National</v>
      </c>
      <c r="M10" s="502" t="str">
        <f t="shared" si="0"/>
        <v>FT-RSDGAS</v>
      </c>
      <c r="N10" s="503" t="str">
        <f>_xlfn.TEXTJOIN(" ",TRUE,SETUP!$B$3,COMM!F14)</f>
        <v>RSD Natural Gas to Residential</v>
      </c>
      <c r="O10" s="502" t="s">
        <v>15</v>
      </c>
      <c r="P10" s="502" t="s">
        <v>702</v>
      </c>
    </row>
    <row r="11" spans="1:19" s="501" customFormat="1">
      <c r="B11" s="499" t="str">
        <f>_xlfn.TEXTJOIN(",",TRUE,IF(LEFT(Regions!$C$3,1)&lt;&gt;"*",Regions!$C$3,""),IF(LEFT(Regions!$D$3,1)&lt;&gt;"*",Regions!$D$3,""))</f>
        <v>IE,National</v>
      </c>
      <c r="C11" s="499" t="str">
        <f>_xlfn.TEXTJOIN("-",TRUE,SETUP!$B$4,COMM!E15)</f>
        <v>FT-RSDSOL</v>
      </c>
      <c r="D11" s="500" t="s">
        <v>210</v>
      </c>
      <c r="E11" s="499" t="str">
        <f>COMM!E15</f>
        <v>RSDSOL</v>
      </c>
      <c r="F11" s="501">
        <v>1</v>
      </c>
      <c r="G11" s="501">
        <v>50</v>
      </c>
      <c r="H11" s="501">
        <v>0.01</v>
      </c>
      <c r="K11" s="499"/>
      <c r="L11" s="499" t="str">
        <f>_xlfn.TEXTJOIN(",",TRUE,IF(LEFT(Regions!$C$3,1)&lt;&gt;"*",Regions!$C$3,""),IF(LEFT(Regions!$D$3,1)&lt;&gt;"*",Regions!$D$3,""))</f>
        <v>IE,National</v>
      </c>
      <c r="M11" s="502" t="str">
        <f t="shared" ref="M11" si="1">C11</f>
        <v>FT-RSDSOL</v>
      </c>
      <c r="N11" s="503" t="str">
        <f>_xlfn.TEXTJOIN(" ",TRUE,SETUP!$B$3,COMM!F15)</f>
        <v>RSD Solar Thermal to Residential</v>
      </c>
      <c r="O11" s="502" t="s">
        <v>15</v>
      </c>
      <c r="P11" s="502" t="s">
        <v>702</v>
      </c>
    </row>
    <row r="12" spans="1:19" s="501" customFormat="1">
      <c r="A12" s="501" t="str">
        <f>COMM!A16</f>
        <v/>
      </c>
      <c r="B12" s="499" t="str">
        <f>_xlfn.TEXTJOIN(",",TRUE,IF(LEFT(Regions!$C$3,1)&lt;&gt;"*",Regions!$C$3,""),IF(LEFT(Regions!$D$3,1)&lt;&gt;"*",Regions!$D$3,""))</f>
        <v>IE,National</v>
      </c>
      <c r="C12" s="499" t="str">
        <f>_xlfn.TEXTJOIN("-",TRUE,SETUP!$B$4,COMM!E16)</f>
        <v>FT-RSDWOO</v>
      </c>
      <c r="D12" s="500" t="s">
        <v>838</v>
      </c>
      <c r="E12" s="499" t="str">
        <f>COMM!E16</f>
        <v>RSDWOO</v>
      </c>
      <c r="F12" s="501">
        <v>1</v>
      </c>
      <c r="G12" s="501">
        <v>50</v>
      </c>
      <c r="H12" s="501">
        <v>0.01</v>
      </c>
      <c r="L12" s="499" t="str">
        <f>_xlfn.TEXTJOIN(",",TRUE,IF(LEFT(Regions!$C$3,1)&lt;&gt;"*",Regions!$C$3,""),IF(LEFT(Regions!$D$3,1)&lt;&gt;"*",Regions!$D$3,""))</f>
        <v>IE,National</v>
      </c>
      <c r="M12" s="502" t="str">
        <f t="shared" si="0"/>
        <v>FT-RSDWOO</v>
      </c>
      <c r="N12" s="503" t="str">
        <f>_xlfn.TEXTJOIN(" ",TRUE,SETUP!$B$3,COMM!F16)</f>
        <v>RSD Biomass to Residential</v>
      </c>
      <c r="O12" s="502" t="s">
        <v>15</v>
      </c>
      <c r="P12" s="502" t="s">
        <v>702</v>
      </c>
    </row>
    <row r="13" spans="1:19" s="501" customFormat="1">
      <c r="B13" s="499" t="str">
        <f>_xlfn.TEXTJOIN(",",TRUE,IF(LEFT(Regions!$C$3,1)&lt;&gt;"*",Regions!$C$3,""),IF(LEFT(Regions!$D$3,1)&lt;&gt;"*",Regions!$D$3,""))</f>
        <v>IE,National</v>
      </c>
      <c r="C13" s="499" t="str">
        <f>_xlfn.TEXTJOIN("-",TRUE,SETUP!$B$4,COMM!E19)</f>
        <v>FT-RSDAHT</v>
      </c>
      <c r="D13" s="500" t="s">
        <v>851</v>
      </c>
      <c r="E13" s="499" t="str">
        <f>COMM!E19</f>
        <v>RSDAHT</v>
      </c>
      <c r="F13" s="501">
        <v>1</v>
      </c>
      <c r="G13" s="501">
        <v>50</v>
      </c>
      <c r="H13" s="501">
        <v>0.01</v>
      </c>
      <c r="L13" s="499" t="str">
        <f>_xlfn.TEXTJOIN(",",TRUE,IF(LEFT(Regions!$C$3,1)&lt;&gt;"*",Regions!$C$3,""),IF(LEFT(Regions!$D$3,1)&lt;&gt;"*",Regions!$D$3,""))</f>
        <v>IE,National</v>
      </c>
      <c r="M13" s="502" t="str">
        <f t="shared" ref="M13" si="2">C13</f>
        <v>FT-RSDAHT</v>
      </c>
      <c r="N13" s="503" t="str">
        <f>_xlfn.TEXTJOIN(" ",TRUE,SETUP!$B$3,COMM!F19)</f>
        <v>RSD Ambient Heat to Residential</v>
      </c>
      <c r="O13" s="502" t="s">
        <v>15</v>
      </c>
      <c r="P13" s="502" t="s">
        <v>702</v>
      </c>
    </row>
    <row r="14" spans="1:19">
      <c r="A14" s="501" t="str">
        <f>COMM!A20</f>
        <v/>
      </c>
      <c r="B14" s="499" t="str">
        <f>_xlfn.TEXTJOIN(",",TRUE,IF(LEFT(Regions!$C$3,1)&lt;&gt;"*",Regions!$C$3,""),IF(LEFT(Regions!$D$3,1)&lt;&gt;"*",Regions!$D$3,""))</f>
        <v>IE,National</v>
      </c>
      <c r="C14" s="499" t="str">
        <f>_xlfn.TEXTJOIN("-",TRUE,SETUP!$B$4,COMM!E20)</f>
        <v>FT-RSDETH</v>
      </c>
      <c r="D14" s="500" t="s">
        <v>720</v>
      </c>
      <c r="E14" s="499" t="str">
        <f>COMM!E20</f>
        <v>RSDETH</v>
      </c>
      <c r="F14" s="501">
        <v>1</v>
      </c>
      <c r="G14" s="501">
        <v>50</v>
      </c>
      <c r="H14" s="501">
        <v>0.01</v>
      </c>
      <c r="I14" s="501"/>
      <c r="L14" s="499" t="str">
        <f>_xlfn.TEXTJOIN(",",TRUE,IF(LEFT(Regions!$C$3,1)&lt;&gt;"*",Regions!$C$3,""),IF(LEFT(Regions!$D$3,1)&lt;&gt;"*",Regions!$D$3,""))</f>
        <v>IE,National</v>
      </c>
      <c r="M14" s="502" t="str">
        <f t="shared" si="0"/>
        <v>FT-RSDETH</v>
      </c>
      <c r="N14" s="503" t="str">
        <f>_xlfn.TEXTJOIN(" ",TRUE,SETUP!$B$3,COMM!F20)</f>
        <v>RSD Ethanol to Residential</v>
      </c>
      <c r="O14" s="502" t="s">
        <v>15</v>
      </c>
      <c r="P14" s="502" t="s">
        <v>702</v>
      </c>
    </row>
    <row r="15" spans="1:19">
      <c r="A15" s="501" t="str">
        <f>COMM!A21</f>
        <v/>
      </c>
      <c r="B15" s="499" t="str">
        <f>_xlfn.TEXTJOIN(",",TRUE,IF(LEFT(Regions!$C$3,1)&lt;&gt;"*",Regions!$C$3,""),IF(LEFT(Regions!$D$3,1)&lt;&gt;"*",Regions!$D$3,""))</f>
        <v>IE,National</v>
      </c>
      <c r="C15" s="499" t="str">
        <f>_xlfn.TEXTJOIN("-",TRUE,SETUP!$B$4,COMM!E21)</f>
        <v>FT-RSDBDL</v>
      </c>
      <c r="D15" s="500" t="s">
        <v>721</v>
      </c>
      <c r="E15" s="499" t="str">
        <f>COMM!E21</f>
        <v>RSDBDL</v>
      </c>
      <c r="F15" s="501">
        <v>1</v>
      </c>
      <c r="G15" s="501">
        <v>50</v>
      </c>
      <c r="H15" s="501">
        <v>0.01</v>
      </c>
      <c r="I15" s="501"/>
      <c r="L15" s="499" t="str">
        <f>_xlfn.TEXTJOIN(",",TRUE,IF(LEFT(Regions!$C$3,1)&lt;&gt;"*",Regions!$C$3,""),IF(LEFT(Regions!$D$3,1)&lt;&gt;"*",Regions!$D$3,""))</f>
        <v>IE,National</v>
      </c>
      <c r="M15" s="502" t="str">
        <f t="shared" si="0"/>
        <v>FT-RSDBDL</v>
      </c>
      <c r="N15" s="503" t="str">
        <f>_xlfn.TEXTJOIN(" ",TRUE,SETUP!$B$3,COMM!F21)</f>
        <v>RSD Biodiesel to Residential</v>
      </c>
      <c r="O15" s="502" t="s">
        <v>15</v>
      </c>
      <c r="P15" s="502" t="s">
        <v>702</v>
      </c>
    </row>
    <row r="16" spans="1:19">
      <c r="A16" s="501"/>
      <c r="B16" s="499" t="str">
        <f>_xlfn.TEXTJOIN(",",TRUE,IF(LEFT(Regions!$C$3,1)&lt;&gt;"*",Regions!$C$3,""),IF(LEFT(Regions!$D$3,1)&lt;&gt;"*",Regions!$D$3,""))</f>
        <v>IE,National</v>
      </c>
      <c r="C16" s="499" t="str">
        <f>_xlfn.TEXTJOIN("-",TRUE,SETUP!$B$4,COMM!E24)</f>
        <v>FT-RSDELC</v>
      </c>
      <c r="D16" s="500" t="s">
        <v>837</v>
      </c>
      <c r="E16" s="499" t="str">
        <f>COMM!E24</f>
        <v>RSDELC</v>
      </c>
      <c r="F16" s="501">
        <v>1</v>
      </c>
      <c r="G16" s="501">
        <v>50</v>
      </c>
      <c r="H16" s="501">
        <v>0.01</v>
      </c>
      <c r="I16" s="501"/>
      <c r="L16" s="499" t="str">
        <f>_xlfn.TEXTJOIN(",",TRUE,IF(LEFT(Regions!$C$3,1)&lt;&gt;"*",Regions!$C$3,""),IF(LEFT(Regions!$D$3,1)&lt;&gt;"*",Regions!$D$3,""))</f>
        <v>IE,National</v>
      </c>
      <c r="M16" s="502" t="str">
        <f t="shared" si="0"/>
        <v>FT-RSDELC</v>
      </c>
      <c r="N16" s="503" t="str">
        <f>_xlfn.TEXTJOIN(" ",TRUE,SETUP!$B$3,COMM!F24)</f>
        <v>RSD Electricity to Residential</v>
      </c>
      <c r="O16" s="502" t="s">
        <v>15</v>
      </c>
      <c r="P16" s="502" t="s">
        <v>702</v>
      </c>
      <c r="Q16" s="487" t="s">
        <v>877</v>
      </c>
    </row>
    <row r="17" spans="1:17">
      <c r="A17" s="501"/>
      <c r="B17" s="499" t="str">
        <f>_xlfn.TEXTJOIN(",",TRUE,IF(LEFT(Regions!$C$3,1)&lt;&gt;"*",Regions!$C$3,""),IF(LEFT(Regions!$D$3,1)&lt;&gt;"*",Regions!$D$3,""))</f>
        <v>IE,National</v>
      </c>
      <c r="C17" s="499" t="str">
        <f>_xlfn.TEXTJOIN("-",TRUE,SETUP!$B$4,COMM!E25)</f>
        <v>FT-RSDHET</v>
      </c>
      <c r="D17" s="500" t="s">
        <v>839</v>
      </c>
      <c r="E17" s="499" t="str">
        <f>COMM!E25</f>
        <v>RSDHET</v>
      </c>
      <c r="F17" s="501">
        <v>1</v>
      </c>
      <c r="G17" s="501">
        <v>50</v>
      </c>
      <c r="H17" s="501">
        <v>0.01</v>
      </c>
      <c r="I17" s="501"/>
      <c r="L17" s="499" t="str">
        <f>_xlfn.TEXTJOIN(",",TRUE,IF(LEFT(Regions!$C$3,1)&lt;&gt;"*",Regions!$C$3,""),IF(LEFT(Regions!$D$3,1)&lt;&gt;"*",Regions!$D$3,""))</f>
        <v>IE,National</v>
      </c>
      <c r="M17" s="502" t="str">
        <f t="shared" si="0"/>
        <v>FT-RSDHET</v>
      </c>
      <c r="N17" s="503" t="str">
        <f>_xlfn.TEXTJOIN(" ",TRUE,SETUP!$B$3,COMM!F25)</f>
        <v>RSD Heat to Residential</v>
      </c>
      <c r="O17" s="502" t="s">
        <v>15</v>
      </c>
      <c r="P17" s="502" t="s">
        <v>702</v>
      </c>
      <c r="Q17" s="487" t="s">
        <v>877</v>
      </c>
    </row>
    <row r="18" spans="1:17">
      <c r="A18" s="501"/>
      <c r="B18" s="501"/>
      <c r="C18" s="499"/>
    </row>
    <row r="19" spans="1:17">
      <c r="A19" s="501"/>
      <c r="B19" s="501"/>
      <c r="C19" s="499"/>
    </row>
    <row r="20" spans="1:17">
      <c r="A20" s="501"/>
      <c r="B20" s="501"/>
      <c r="C20" s="499"/>
    </row>
    <row r="21" spans="1:17">
      <c r="A21" s="501"/>
      <c r="B21" s="501"/>
      <c r="C21" s="499"/>
    </row>
    <row r="22" spans="1:17">
      <c r="A22" s="501"/>
      <c r="B22" s="501"/>
      <c r="C22" s="499"/>
    </row>
    <row r="23" spans="1:17">
      <c r="A23" s="501"/>
      <c r="B23" s="501"/>
      <c r="C23" s="499"/>
    </row>
    <row r="24" spans="1:17">
      <c r="A24" s="501"/>
      <c r="B24" s="501"/>
      <c r="C24" s="499"/>
    </row>
    <row r="25" spans="1:17">
      <c r="A25" s="501"/>
      <c r="B25" s="501"/>
      <c r="C25" s="499"/>
    </row>
    <row r="26" spans="1:17">
      <c r="A26" s="501"/>
      <c r="B26" s="501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workbookViewId="0"/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7" customWidth="1"/>
    <col min="25" max="26" width="9" style="487" customWidth="1"/>
    <col min="27" max="27" width="6.42578125" style="487" customWidth="1"/>
    <col min="28" max="29" width="10.42578125" style="487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786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7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669</v>
      </c>
      <c r="C3" s="70"/>
      <c r="D3" s="70"/>
      <c r="E3" s="70"/>
      <c r="F3" s="43" t="s">
        <v>785</v>
      </c>
      <c r="G3" s="43"/>
      <c r="H3" s="43"/>
      <c r="I3" s="43"/>
      <c r="J3" s="43"/>
      <c r="K3" s="43"/>
      <c r="L3" s="43"/>
      <c r="M3" s="32"/>
      <c r="N3" s="34" t="s">
        <v>784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781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789</v>
      </c>
      <c r="I4" s="44" t="s">
        <v>840</v>
      </c>
      <c r="J4" s="44" t="s">
        <v>271</v>
      </c>
      <c r="K4" s="44" t="s">
        <v>272</v>
      </c>
      <c r="L4" s="44" t="s">
        <v>726</v>
      </c>
      <c r="M4" s="32"/>
      <c r="N4" s="36" t="s">
        <v>263</v>
      </c>
      <c r="O4" s="36" t="s">
        <v>781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5" t="s">
        <v>788</v>
      </c>
      <c r="C5" s="945" t="s">
        <v>273</v>
      </c>
      <c r="D5" s="945" t="s">
        <v>274</v>
      </c>
      <c r="E5" s="945" t="s">
        <v>275</v>
      </c>
      <c r="F5" s="945" t="s">
        <v>276</v>
      </c>
      <c r="G5" s="946" t="s">
        <v>277</v>
      </c>
      <c r="H5" s="946" t="s">
        <v>277</v>
      </c>
      <c r="I5" s="946"/>
      <c r="J5" s="947"/>
      <c r="K5" s="947"/>
      <c r="L5" s="947" t="s">
        <v>727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8" t="str">
        <f>_xlfn.TEXTJOIN(",",TRUE,IF(LEFT(Regions!$C$3,1)&lt;&gt;"*",Regions!$C$3,""),IF(LEFT(Regions!$D$3,1)&lt;&gt;"*",Regions!$D$3,""))</f>
        <v>IE,National</v>
      </c>
      <c r="C6" s="949" t="str">
        <f>P6</f>
        <v>R-BLD_Apt</v>
      </c>
      <c r="D6" s="950" t="str">
        <f>Q6</f>
        <v>Residential Building Apartment</v>
      </c>
      <c r="E6" s="951" t="str">
        <f>COMM!O9</f>
        <v>RSDSH_Apt</v>
      </c>
      <c r="F6" s="950" t="str">
        <f>COMM!O6</f>
        <v>RSD_Apt</v>
      </c>
      <c r="G6" s="952">
        <f>IF(DwellingStocks!H19=0,"",DwellingStocks!$I$28/1000)</f>
        <v>206.79888499999998</v>
      </c>
      <c r="H6" s="952">
        <v>172.33</v>
      </c>
      <c r="I6" s="952">
        <v>1</v>
      </c>
      <c r="J6" s="950">
        <v>100</v>
      </c>
      <c r="K6" s="950">
        <v>1</v>
      </c>
      <c r="L6" s="979">
        <f>'SHWLP-Apt'!$AB$27/$G$6</f>
        <v>1.3872137905792753E-2</v>
      </c>
      <c r="M6" s="487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3"/>
      <c r="C7" s="954"/>
      <c r="D7" s="955"/>
      <c r="E7" s="956" t="str">
        <f>COMM!O12</f>
        <v>RSDSC_Apt</v>
      </c>
      <c r="F7" s="955"/>
      <c r="G7" s="957"/>
      <c r="H7" s="957"/>
      <c r="I7" s="957"/>
      <c r="J7" s="955"/>
      <c r="K7" s="955"/>
      <c r="L7" s="980">
        <v>0</v>
      </c>
      <c r="M7" s="487"/>
      <c r="N7" s="527" t="s">
        <v>278</v>
      </c>
      <c r="O7" s="527" t="str">
        <f>_xlfn.TEXTJOIN(",",TRUE,IF(LEFT(Regions!$C$3,1)&lt;&gt;"*",Regions!$C$3,""),IF(LEFT(Regions!$D$3,1)&lt;&gt;"*",Regions!$D$3,""))</f>
        <v>IE,National</v>
      </c>
      <c r="P7" s="527" t="str">
        <f>_xlfn.TEXTJOIN("",TRUE,LEFT(SETUP!B$3,1),"-",SETUP!B$85,"_",SETUP!B$37)</f>
        <v>R-BLD_Att</v>
      </c>
      <c r="Q7" s="527" t="str">
        <f>_xlfn.TEXTJOIN(" ",TRUE,SETUP!C$3,SETUP!C$85,SETUP!C$37)</f>
        <v>Residential Building Attached</v>
      </c>
      <c r="R7" s="528" t="s">
        <v>277</v>
      </c>
      <c r="S7" s="527" t="s">
        <v>277</v>
      </c>
      <c r="T7" s="528"/>
      <c r="U7" s="527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8"/>
      <c r="C8" s="959"/>
      <c r="D8" s="959"/>
      <c r="E8" s="960" t="str">
        <f>COMM!O15</f>
        <v>RSDWH_Apt</v>
      </c>
      <c r="F8" s="959"/>
      <c r="G8" s="961"/>
      <c r="H8" s="961"/>
      <c r="I8" s="961"/>
      <c r="J8" s="959"/>
      <c r="K8" s="959"/>
      <c r="L8" s="981">
        <f>'SHWLP-Apt'!$AB$54/$G$6</f>
        <v>1.2270545185884585E-2</v>
      </c>
      <c r="M8" s="487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3"/>
      <c r="C9" s="954"/>
      <c r="D9" s="955"/>
      <c r="E9" s="956" t="str">
        <f>COMM!O18</f>
        <v>RSDLT_Apt</v>
      </c>
      <c r="F9" s="955"/>
      <c r="G9" s="957"/>
      <c r="H9" s="957"/>
      <c r="I9" s="957"/>
      <c r="J9" s="955"/>
      <c r="K9" s="955"/>
      <c r="L9" s="980">
        <f>'SHWLP-Apt'!$AB$59/$G$6</f>
        <v>6.4458708104453747E-4</v>
      </c>
      <c r="M9" s="487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2"/>
      <c r="C10" s="963"/>
      <c r="D10" s="963"/>
      <c r="E10" s="964" t="str">
        <f>COMM!O21</f>
        <v>RSDPF_Apt</v>
      </c>
      <c r="F10" s="963"/>
      <c r="G10" s="965"/>
      <c r="H10" s="965"/>
      <c r="I10" s="965"/>
      <c r="J10" s="963"/>
      <c r="K10" s="963"/>
      <c r="L10" s="982">
        <f>'SHWLP-Apt'!$AB$60/$G$6</f>
        <v>1.9923424990874787E-4</v>
      </c>
      <c r="M10" s="487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6" t="str">
        <f>_xlfn.TEXTJOIN(",",TRUE,IF(LEFT(Regions!$C$3,1)&lt;&gt;"*",Regions!$C$3,""),IF(LEFT(Regions!$D$3,1)&lt;&gt;"*",Regions!$D$3,""))</f>
        <v>IE,National</v>
      </c>
      <c r="C11" s="974" t="str">
        <f>P7</f>
        <v>R-BLD_Att</v>
      </c>
      <c r="D11" s="967" t="str">
        <f>Q7</f>
        <v>Residential Building Attached</v>
      </c>
      <c r="E11" s="968" t="str">
        <f>COMM!O10</f>
        <v>RSDSH_Att</v>
      </c>
      <c r="F11" s="967" t="str">
        <f>COMM!O7</f>
        <v>RSD_Att</v>
      </c>
      <c r="G11" s="969">
        <f>IF(DwellingStocks!H20=0,"",DwellingStocks!$J$28/1000)</f>
        <v>766.35172099999977</v>
      </c>
      <c r="H11" s="969">
        <v>638.63</v>
      </c>
      <c r="I11" s="969">
        <v>1</v>
      </c>
      <c r="J11" s="967">
        <v>100</v>
      </c>
      <c r="K11" s="967">
        <v>1</v>
      </c>
      <c r="L11" s="983">
        <f>'SHWLP-Att'!$AB$27/$G$11</f>
        <v>2.8267190629549382E-2</v>
      </c>
      <c r="M11" s="487"/>
      <c r="T11"/>
      <c r="U11" s="81"/>
      <c r="V11" s="81"/>
      <c r="W11" s="926"/>
      <c r="X11" s="926"/>
      <c r="Y11" s="926"/>
      <c r="Z11" s="926"/>
      <c r="AA11" s="926"/>
      <c r="AB11" s="926"/>
      <c r="AC11" s="926"/>
      <c r="AD11" s="926"/>
      <c r="AE11" s="926"/>
      <c r="AF11" s="926"/>
      <c r="AG11" s="926"/>
      <c r="AH11" s="926"/>
      <c r="AI11" s="926"/>
      <c r="AJ11" s="926"/>
      <c r="AK11" s="926"/>
      <c r="AL11" s="926"/>
      <c r="AM11" s="926"/>
      <c r="AN11" s="926"/>
      <c r="AO11" s="926"/>
      <c r="AP11" s="926"/>
      <c r="AQ11" s="926"/>
      <c r="AR11" s="926"/>
      <c r="AS11" s="926"/>
      <c r="AT11" s="926"/>
      <c r="AU11" s="926"/>
      <c r="AV11" s="926"/>
      <c r="AW11" s="926"/>
      <c r="AX11" s="926"/>
      <c r="AY11" s="926"/>
      <c r="AZ11" s="926"/>
      <c r="BA11" s="926"/>
      <c r="BB11" s="926"/>
      <c r="BC11" s="926"/>
      <c r="BD11" s="926"/>
      <c r="BE11" s="926"/>
      <c r="BF11" s="926"/>
      <c r="BG11" s="926"/>
      <c r="BH11" s="926"/>
      <c r="BI11" s="926"/>
      <c r="BJ11" s="926"/>
      <c r="BK11" s="926"/>
      <c r="BL11" s="926"/>
      <c r="BM11" s="926"/>
      <c r="BN11" s="926"/>
      <c r="BO11" s="926"/>
      <c r="BP11" s="926"/>
      <c r="BQ11" s="926"/>
      <c r="BR11" s="926"/>
      <c r="BS11" s="926"/>
      <c r="BT11" s="926"/>
      <c r="BU11" s="926"/>
      <c r="BV11" s="926"/>
      <c r="BW11" s="926"/>
      <c r="BX11" s="926"/>
      <c r="BY11" s="926"/>
      <c r="BZ11" s="926"/>
      <c r="CA11" s="926"/>
    </row>
    <row r="12" spans="2:79" ht="12" customHeight="1" thickBot="1">
      <c r="B12" s="958"/>
      <c r="C12" s="959"/>
      <c r="D12" s="959"/>
      <c r="E12" s="960" t="str">
        <f>COMM!O13</f>
        <v>RSDSC_Att</v>
      </c>
      <c r="F12" s="959"/>
      <c r="G12" s="961"/>
      <c r="H12" s="961"/>
      <c r="I12" s="961"/>
      <c r="J12" s="959"/>
      <c r="K12" s="959"/>
      <c r="L12" s="981">
        <v>0</v>
      </c>
      <c r="M12" s="487"/>
      <c r="T12"/>
      <c r="U12" s="81"/>
      <c r="V12" s="81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926"/>
      <c r="BB12" s="926"/>
      <c r="BC12" s="926"/>
      <c r="BD12" s="926"/>
      <c r="BE12" s="926"/>
      <c r="BF12" s="926"/>
      <c r="BG12" s="926"/>
      <c r="BH12" s="926"/>
      <c r="BI12" s="926"/>
      <c r="BJ12" s="926"/>
      <c r="BK12" s="926"/>
      <c r="BL12" s="926"/>
      <c r="BM12" s="926"/>
      <c r="BN12" s="926"/>
      <c r="BO12" s="926"/>
      <c r="BP12" s="926"/>
      <c r="BQ12" s="926"/>
      <c r="BR12" s="926"/>
      <c r="BS12" s="926"/>
      <c r="BT12" s="926"/>
      <c r="BU12" s="926"/>
      <c r="BV12" s="926"/>
      <c r="BW12" s="926"/>
      <c r="BX12" s="926"/>
      <c r="BY12" s="926"/>
      <c r="BZ12" s="926"/>
      <c r="CA12" s="926"/>
    </row>
    <row r="13" spans="2:79" ht="12" customHeight="1" thickBot="1">
      <c r="B13" s="953"/>
      <c r="C13" s="954"/>
      <c r="D13" s="955"/>
      <c r="E13" s="956" t="str">
        <f>COMM!O16</f>
        <v>RSDWH_Att</v>
      </c>
      <c r="F13" s="955"/>
      <c r="G13" s="957"/>
      <c r="H13" s="957"/>
      <c r="I13" s="957"/>
      <c r="J13" s="955"/>
      <c r="K13" s="955"/>
      <c r="L13" s="980">
        <f>'SHWLP-Att'!$AB$54/$G$11</f>
        <v>1.0838880017831469E-2</v>
      </c>
      <c r="N13" s="81"/>
      <c r="O13" s="1011" t="s">
        <v>615</v>
      </c>
      <c r="P13" s="1012"/>
      <c r="Q13" s="1012"/>
      <c r="R13" s="1012"/>
      <c r="S13" s="1013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8"/>
      <c r="C14" s="959"/>
      <c r="D14" s="959"/>
      <c r="E14" s="960" t="str">
        <f>COMM!O19</f>
        <v>RSDLT_Att</v>
      </c>
      <c r="F14" s="959"/>
      <c r="G14" s="961"/>
      <c r="H14" s="961"/>
      <c r="I14" s="961"/>
      <c r="J14" s="959"/>
      <c r="K14" s="959"/>
      <c r="L14" s="981">
        <f>'SHWLP-Att'!AB59/$G$11</f>
        <v>9.1487081392159866E-4</v>
      </c>
      <c r="M14" s="487"/>
      <c r="N14" s="81"/>
      <c r="O14" s="927"/>
      <c r="P14" s="928" t="s">
        <v>855</v>
      </c>
      <c r="Q14" s="928" t="s">
        <v>854</v>
      </c>
      <c r="R14" s="929" t="s">
        <v>856</v>
      </c>
      <c r="S14" s="927" t="s">
        <v>857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70"/>
      <c r="C15" s="975"/>
      <c r="D15" s="971"/>
      <c r="E15" s="972" t="str">
        <f>COMM!O22</f>
        <v>RSDPF_Att</v>
      </c>
      <c r="F15" s="971"/>
      <c r="G15" s="973"/>
      <c r="H15" s="973"/>
      <c r="I15" s="973"/>
      <c r="J15" s="971"/>
      <c r="K15" s="971"/>
      <c r="L15" s="984">
        <f>'SHWLP-Att'!AB60/$G$11</f>
        <v>3.8001436556751221E-4</v>
      </c>
      <c r="M15" s="487"/>
      <c r="N15" s="81"/>
      <c r="O15" s="930" t="s">
        <v>44</v>
      </c>
      <c r="P15" s="939">
        <f>'SHWLP-Apt'!E25</f>
        <v>37772</v>
      </c>
      <c r="Q15" s="931">
        <f>P15/SUM(P15+R15)</f>
        <v>0.58696834548025667</v>
      </c>
      <c r="R15" s="939">
        <f>'SHWLP-Apt'!E12</f>
        <v>26579</v>
      </c>
      <c r="S15" s="932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6" t="str">
        <f>_xlfn.TEXTJOIN(",",TRUE,IF(LEFT(Regions!$C$3,1)&lt;&gt;"*",Regions!$C$3,""),IF(LEFT(Regions!$D$3,1)&lt;&gt;"*",Regions!$D$3,""))</f>
        <v>IE,National</v>
      </c>
      <c r="C16" s="950" t="str">
        <f>P8</f>
        <v>R-BLD_Det</v>
      </c>
      <c r="D16" s="950" t="str">
        <f>Q8</f>
        <v>Residential Building Detached</v>
      </c>
      <c r="E16" s="951" t="str">
        <f>COMM!O11</f>
        <v>RSDSH_Det</v>
      </c>
      <c r="F16" s="950" t="str">
        <f>COMM!O8</f>
        <v>RSD_Det</v>
      </c>
      <c r="G16" s="952">
        <f>IF(DwellingStocks!H24=0,"",DwellingStocks!$K$28/1000)</f>
        <v>724.42972899999995</v>
      </c>
      <c r="H16" s="952">
        <f>G16*0.8333217</f>
        <v>603.68301330081931</v>
      </c>
      <c r="I16" s="952">
        <v>1</v>
      </c>
      <c r="J16" s="950">
        <v>100</v>
      </c>
      <c r="K16" s="950">
        <v>1</v>
      </c>
      <c r="L16" s="979">
        <f>'SHWLP-Det'!$AB$27/$G$16</f>
        <v>5.1858242929872012E-2</v>
      </c>
      <c r="M16" s="487"/>
      <c r="N16" s="81"/>
      <c r="O16" s="933" t="s">
        <v>46</v>
      </c>
      <c r="P16" s="940">
        <f>'SHWLP-Att'!E25</f>
        <v>12745</v>
      </c>
      <c r="Q16" s="934">
        <f t="shared" ref="Q16:Q17" si="0">P16/SUM(P16+R16)</f>
        <v>0.36680481206469812</v>
      </c>
      <c r="R16" s="940">
        <f>'SHWLP-Att'!E12</f>
        <v>22001</v>
      </c>
      <c r="S16" s="935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3"/>
      <c r="C17" s="954"/>
      <c r="D17" s="955"/>
      <c r="E17" s="956" t="str">
        <f>COMM!O14</f>
        <v>RSDSC_Det</v>
      </c>
      <c r="F17" s="955"/>
      <c r="G17" s="954"/>
      <c r="H17" s="954"/>
      <c r="I17" s="954"/>
      <c r="J17" s="955"/>
      <c r="K17" s="955"/>
      <c r="L17" s="980">
        <v>0</v>
      </c>
      <c r="M17" s="487"/>
      <c r="N17" s="81"/>
      <c r="O17" s="936" t="s">
        <v>48</v>
      </c>
      <c r="P17" s="941">
        <f>'SHWLP-Det'!E25</f>
        <v>6299</v>
      </c>
      <c r="Q17" s="937">
        <f t="shared" si="0"/>
        <v>0.35199776473875383</v>
      </c>
      <c r="R17" s="941">
        <f>'SHWLP-Det'!E12</f>
        <v>11596</v>
      </c>
      <c r="S17" s="938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8"/>
      <c r="C18" s="959"/>
      <c r="D18" s="959"/>
      <c r="E18" s="960" t="str">
        <f>COMM!O17</f>
        <v>RSDWH_Det</v>
      </c>
      <c r="F18" s="959"/>
      <c r="G18" s="977"/>
      <c r="H18" s="977"/>
      <c r="I18" s="977"/>
      <c r="J18" s="959"/>
      <c r="K18" s="959"/>
      <c r="L18" s="981">
        <f>'SHWLP-Det'!AB54/$G$16</f>
        <v>1.3699686064869055E-2</v>
      </c>
      <c r="M18" s="487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3"/>
      <c r="C19" s="954"/>
      <c r="D19" s="955"/>
      <c r="E19" s="956" t="str">
        <f>COMM!O20</f>
        <v>RSDLT_Det</v>
      </c>
      <c r="F19" s="955"/>
      <c r="G19" s="954"/>
      <c r="H19" s="954"/>
      <c r="I19" s="954"/>
      <c r="J19" s="955"/>
      <c r="K19" s="955"/>
      <c r="L19" s="980">
        <f>'SHWLP-Det'!AB59/$G$16</f>
        <v>1.5069837916185766E-3</v>
      </c>
      <c r="M19" s="487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2"/>
      <c r="C20" s="963"/>
      <c r="D20" s="963"/>
      <c r="E20" s="964" t="str">
        <f>COMM!O23</f>
        <v>RSDPF_Det</v>
      </c>
      <c r="F20" s="963"/>
      <c r="G20" s="978"/>
      <c r="H20" s="978"/>
      <c r="I20" s="978"/>
      <c r="J20" s="963"/>
      <c r="K20" s="963"/>
      <c r="L20" s="982">
        <f>'SHWLP-Det'!AB60/G16</f>
        <v>4.7050395502371922E-4</v>
      </c>
      <c r="M20" s="487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858</v>
      </c>
      <c r="P22" s="487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8" t="s">
        <v>854</v>
      </c>
      <c r="Q23" s="928" t="s">
        <v>857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014" t="s">
        <v>627</v>
      </c>
      <c r="C24" s="1014"/>
      <c r="D24" s="1014"/>
      <c r="E24" s="1014"/>
      <c r="F24" s="1014"/>
      <c r="G24" s="1014"/>
      <c r="M24" s="81"/>
      <c r="N24" s="81"/>
      <c r="O24" s="930" t="s">
        <v>44</v>
      </c>
      <c r="P24" s="931">
        <v>0.7</v>
      </c>
      <c r="Q24" s="931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3" t="s">
        <v>46</v>
      </c>
      <c r="P25" s="934">
        <v>0.65</v>
      </c>
      <c r="Q25" s="934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785</v>
      </c>
      <c r="F26" s="67"/>
      <c r="G26" s="67"/>
      <c r="M26" s="81"/>
      <c r="N26" s="81"/>
      <c r="O26" s="936" t="s">
        <v>48</v>
      </c>
      <c r="P26" s="937">
        <v>0.7</v>
      </c>
      <c r="Q26" s="937">
        <v>0.3</v>
      </c>
      <c r="R26" s="487"/>
      <c r="S26" s="487"/>
      <c r="AD26" s="487"/>
      <c r="AE26" s="487"/>
      <c r="AF26" s="487"/>
      <c r="AG26" s="487"/>
      <c r="AH26" s="487"/>
      <c r="AI26" s="487"/>
      <c r="AJ26" s="487"/>
      <c r="AK26" s="487"/>
      <c r="AL26" s="487"/>
      <c r="AM26" s="487"/>
      <c r="AN26" s="487"/>
      <c r="AO26" s="487"/>
      <c r="AP26" s="487"/>
      <c r="AQ26" s="487"/>
      <c r="AR26" s="487"/>
      <c r="AS26" s="487"/>
      <c r="AT26" s="487"/>
      <c r="AU26" s="487"/>
      <c r="AV26" s="487"/>
      <c r="AW26" s="487"/>
      <c r="AX26" s="487"/>
      <c r="AY26" s="487"/>
      <c r="AZ26" s="487"/>
      <c r="BA26" s="487"/>
      <c r="BB26" s="487"/>
      <c r="BC26" s="487"/>
      <c r="BD26" s="487"/>
      <c r="BE26" s="487"/>
      <c r="BF26" s="487"/>
      <c r="BG26" s="487"/>
      <c r="BH26" s="487"/>
      <c r="BI26" s="487"/>
      <c r="BJ26" s="487"/>
      <c r="BK26" s="487"/>
      <c r="BL26" s="487"/>
      <c r="BM26" s="487"/>
      <c r="BN26" s="487"/>
      <c r="BO26" s="487"/>
      <c r="BP26" s="487"/>
      <c r="BQ26" s="487"/>
      <c r="BR26" s="487"/>
      <c r="BS26" s="487"/>
      <c r="BT26" s="487"/>
      <c r="BU26" s="487"/>
      <c r="BV26" s="487"/>
      <c r="BW26" s="487"/>
      <c r="BX26" s="487"/>
      <c r="BY26" s="487"/>
      <c r="BZ26" s="487"/>
      <c r="CA26" s="487"/>
    </row>
    <row r="27" spans="2:79" ht="15">
      <c r="B27" s="305" t="s">
        <v>781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7"/>
      <c r="Q27" s="487"/>
      <c r="R27" s="487"/>
      <c r="S27" s="487"/>
      <c r="AD27" s="487"/>
      <c r="AE27" s="487"/>
      <c r="AF27" s="487"/>
      <c r="AG27" s="487"/>
      <c r="AH27" s="487"/>
      <c r="AI27" s="487"/>
      <c r="AJ27" s="487"/>
      <c r="AK27" s="487"/>
      <c r="AL27" s="487"/>
      <c r="AM27" s="487"/>
      <c r="AN27" s="487"/>
      <c r="AO27" s="487"/>
      <c r="AP27" s="487"/>
      <c r="AQ27" s="487"/>
      <c r="AR27" s="487"/>
      <c r="AS27" s="487"/>
      <c r="AT27" s="487"/>
      <c r="AU27" s="487"/>
      <c r="AV27" s="487"/>
      <c r="AW27" s="487"/>
      <c r="AX27" s="487"/>
      <c r="AY27" s="487"/>
      <c r="AZ27" s="487"/>
      <c r="BA27" s="487"/>
      <c r="BB27" s="487"/>
      <c r="BC27" s="487"/>
      <c r="BD27" s="487"/>
      <c r="BE27" s="487"/>
      <c r="BF27" s="487"/>
      <c r="BG27" s="487"/>
      <c r="BH27" s="487"/>
      <c r="BI27" s="487"/>
      <c r="BJ27" s="487"/>
      <c r="BK27" s="487"/>
      <c r="BL27" s="487"/>
      <c r="BM27" s="487"/>
      <c r="BN27" s="487"/>
      <c r="BO27" s="487"/>
      <c r="BP27" s="487"/>
      <c r="BQ27" s="487"/>
      <c r="BR27" s="487"/>
      <c r="BS27" s="487"/>
      <c r="BT27" s="487"/>
      <c r="BU27" s="487"/>
      <c r="BV27" s="487"/>
      <c r="BW27" s="487"/>
      <c r="BX27" s="487"/>
      <c r="BY27" s="487"/>
      <c r="BZ27" s="487"/>
      <c r="CA27" s="487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5">
        <v>206.79888499999998</v>
      </c>
      <c r="G28" s="422" t="s">
        <v>250</v>
      </c>
      <c r="M28" s="81"/>
      <c r="N28" s="81"/>
      <c r="O28" s="81"/>
      <c r="P28" s="487"/>
      <c r="Q28" s="487"/>
      <c r="R28" s="487"/>
      <c r="S28" s="487"/>
      <c r="AD28" s="487"/>
      <c r="AE28" s="487"/>
      <c r="AF28" s="487"/>
      <c r="AG28" s="487"/>
      <c r="AH28" s="487"/>
      <c r="AI28" s="487"/>
      <c r="AJ28" s="487"/>
      <c r="AK28" s="487"/>
      <c r="AL28" s="487"/>
      <c r="AM28" s="487"/>
      <c r="AN28" s="487"/>
      <c r="AO28" s="487"/>
      <c r="AP28" s="487"/>
      <c r="AQ28" s="487"/>
      <c r="AR28" s="487"/>
      <c r="AS28" s="487"/>
      <c r="AT28" s="487"/>
      <c r="AU28" s="487"/>
      <c r="AV28" s="487"/>
      <c r="AW28" s="487"/>
      <c r="AX28" s="487"/>
      <c r="AY28" s="487"/>
      <c r="AZ28" s="487"/>
      <c r="BA28" s="487"/>
      <c r="BB28" s="487"/>
      <c r="BC28" s="487"/>
      <c r="BD28" s="487"/>
      <c r="BE28" s="487"/>
      <c r="BF28" s="487"/>
      <c r="BG28" s="487"/>
      <c r="BH28" s="487"/>
      <c r="BI28" s="487"/>
      <c r="BJ28" s="487"/>
      <c r="BK28" s="487"/>
      <c r="BL28" s="487"/>
      <c r="BM28" s="487"/>
      <c r="BN28" s="487"/>
      <c r="BO28" s="487"/>
      <c r="BP28" s="487"/>
      <c r="BQ28" s="487"/>
      <c r="BR28" s="487"/>
      <c r="BS28" s="487"/>
      <c r="BT28" s="487"/>
      <c r="BU28" s="487"/>
      <c r="BV28" s="487"/>
      <c r="BW28" s="487"/>
      <c r="BX28" s="487"/>
      <c r="BY28" s="487"/>
      <c r="BZ28" s="487"/>
      <c r="CA28" s="487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6">
        <v>766.35172099999977</v>
      </c>
      <c r="G29" s="420" t="s">
        <v>250</v>
      </c>
      <c r="M29" s="81"/>
      <c r="N29" s="81"/>
      <c r="O29" s="81"/>
      <c r="P29" s="81"/>
      <c r="Q29" s="487"/>
      <c r="R29" s="487"/>
      <c r="S29" s="487"/>
      <c r="AD29" s="487"/>
      <c r="AE29" s="487"/>
      <c r="AF29" s="487"/>
      <c r="AG29" s="487"/>
      <c r="AH29" s="487"/>
      <c r="AI29" s="487"/>
      <c r="AJ29" s="487"/>
      <c r="AK29" s="487"/>
      <c r="AL29" s="487"/>
      <c r="AM29" s="487"/>
      <c r="AN29" s="487"/>
      <c r="AO29" s="487"/>
      <c r="AP29" s="487"/>
      <c r="AQ29" s="487"/>
      <c r="AR29" s="487"/>
      <c r="AS29" s="487"/>
      <c r="AT29" s="487"/>
      <c r="AU29" s="487"/>
      <c r="AV29" s="487"/>
      <c r="AW29" s="487"/>
      <c r="AX29" s="487"/>
      <c r="AY29" s="487"/>
      <c r="AZ29" s="487"/>
      <c r="BA29" s="487"/>
      <c r="BB29" s="487"/>
      <c r="BC29" s="487"/>
      <c r="BD29" s="487"/>
      <c r="BE29" s="487"/>
      <c r="BF29" s="487"/>
      <c r="BG29" s="487"/>
      <c r="BH29" s="487"/>
      <c r="BI29" s="487"/>
      <c r="BJ29" s="487"/>
      <c r="BK29" s="487"/>
      <c r="BL29" s="487"/>
      <c r="BM29" s="487"/>
      <c r="BN29" s="487"/>
      <c r="BO29" s="487"/>
      <c r="BP29" s="487"/>
      <c r="BQ29" s="487"/>
      <c r="BR29" s="487"/>
      <c r="BS29" s="487"/>
      <c r="BT29" s="487"/>
      <c r="BU29" s="487"/>
      <c r="BV29" s="487"/>
      <c r="BW29" s="487"/>
      <c r="BX29" s="487"/>
      <c r="BY29" s="487"/>
      <c r="BZ29" s="487"/>
      <c r="CA29" s="487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5">
        <v>724.42972899999995</v>
      </c>
      <c r="G30" s="422" t="s">
        <v>250</v>
      </c>
      <c r="M30" s="81"/>
      <c r="N30" s="81"/>
      <c r="O30" s="1011" t="s">
        <v>853</v>
      </c>
      <c r="P30" s="1012"/>
      <c r="Q30" s="1012"/>
      <c r="R30" s="1012"/>
      <c r="S30" s="1013"/>
      <c r="AD30" s="487"/>
      <c r="AE30" s="487"/>
      <c r="AF30" s="487"/>
      <c r="AG30" s="487"/>
      <c r="AH30" s="487"/>
      <c r="AI30" s="487"/>
      <c r="AJ30" s="487"/>
      <c r="AK30" s="487"/>
      <c r="AL30" s="487"/>
      <c r="AM30" s="487"/>
      <c r="AN30" s="487"/>
      <c r="AO30" s="487"/>
      <c r="AP30" s="487"/>
      <c r="AQ30" s="487"/>
      <c r="AR30" s="487"/>
      <c r="AS30" s="487"/>
      <c r="AT30" s="487"/>
      <c r="AU30" s="487"/>
      <c r="AV30" s="487"/>
      <c r="AW30" s="487"/>
      <c r="AX30" s="487"/>
      <c r="AY30" s="487"/>
      <c r="AZ30" s="487"/>
      <c r="BA30" s="487"/>
      <c r="BB30" s="487"/>
      <c r="BC30" s="487"/>
      <c r="BD30" s="487"/>
      <c r="BE30" s="487"/>
      <c r="BF30" s="487"/>
      <c r="BG30" s="487"/>
      <c r="BH30" s="487"/>
      <c r="BI30" s="487"/>
      <c r="BJ30" s="487"/>
      <c r="BK30" s="487"/>
      <c r="BL30" s="487"/>
      <c r="BM30" s="487"/>
      <c r="BN30" s="487"/>
      <c r="BO30" s="487"/>
      <c r="BP30" s="487"/>
      <c r="BQ30" s="487"/>
      <c r="BR30" s="487"/>
      <c r="BS30" s="487"/>
      <c r="BT30" s="487"/>
      <c r="BU30" s="487"/>
      <c r="BV30" s="487"/>
      <c r="BW30" s="487"/>
      <c r="BX30" s="487"/>
      <c r="BY30" s="487"/>
      <c r="BZ30" s="487"/>
      <c r="CA30" s="487"/>
    </row>
    <row r="31" spans="2:79" ht="15.75" thickBot="1">
      <c r="B31" s="36" t="s">
        <v>283</v>
      </c>
      <c r="C31" s="36" t="s">
        <v>623</v>
      </c>
      <c r="D31" s="36"/>
      <c r="E31" s="36"/>
      <c r="F31" s="36"/>
      <c r="G31" s="36"/>
      <c r="M31" s="81"/>
      <c r="N31" s="81"/>
      <c r="O31" s="927"/>
      <c r="P31" s="928" t="s">
        <v>855</v>
      </c>
      <c r="Q31" s="928" t="s">
        <v>854</v>
      </c>
      <c r="R31" s="929" t="s">
        <v>856</v>
      </c>
      <c r="S31" s="927" t="s">
        <v>857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7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622</v>
      </c>
      <c r="C32" s="425"/>
      <c r="D32" s="425"/>
      <c r="E32" s="425"/>
      <c r="F32" s="607">
        <f>SUM(F28:F30)</f>
        <v>1697.5803349999996</v>
      </c>
      <c r="G32" s="425"/>
      <c r="M32" s="81"/>
      <c r="N32" s="81"/>
      <c r="O32" s="930" t="s">
        <v>44</v>
      </c>
      <c r="P32" s="939">
        <f>'SHWLP-Apt'!S11*1000</f>
        <v>69107.395872611189</v>
      </c>
      <c r="Q32" s="931">
        <f>P32/SUM(P32+R32)</f>
        <v>0.70000000000000007</v>
      </c>
      <c r="R32" s="939">
        <f>'SHWLP-Apt'!S12*1000</f>
        <v>29617.455373976227</v>
      </c>
      <c r="S32" s="932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3" t="s">
        <v>46</v>
      </c>
      <c r="P33" s="940">
        <f>'SHWLP-Att'!S11*1000</f>
        <v>41710.491459586934</v>
      </c>
      <c r="Q33" s="931">
        <f>P33/SUM(P33+R33)</f>
        <v>0.65</v>
      </c>
      <c r="R33" s="940">
        <f>'SHWLP-Att'!S12*1000</f>
        <v>22459.495401316039</v>
      </c>
      <c r="S33" s="932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7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487"/>
      <c r="M34" s="81"/>
      <c r="N34" s="81"/>
      <c r="O34" s="936" t="s">
        <v>48</v>
      </c>
      <c r="P34" s="941">
        <f>'SHWLP-Det'!S11*1000</f>
        <v>34182.00001626688</v>
      </c>
      <c r="Q34" s="931">
        <f>P34/SUM(P34+R34)</f>
        <v>0.70000000000000007</v>
      </c>
      <c r="R34" s="941">
        <f>'SHWLP-Det'!S12*1000</f>
        <v>14649.428578400091</v>
      </c>
      <c r="S34" s="932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7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487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7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7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487"/>
      <c r="M37" s="487"/>
      <c r="N37" s="487"/>
      <c r="O37" s="487"/>
      <c r="P37" s="487"/>
      <c r="Q37" s="487"/>
      <c r="R37" s="487"/>
      <c r="S37" s="487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7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  <c r="O38" s="487"/>
      <c r="P38" s="487"/>
      <c r="Q38" s="487"/>
      <c r="R38" s="487"/>
      <c r="S38" s="487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487"/>
      <c r="M39" s="487"/>
      <c r="N39" s="487"/>
      <c r="O39" s="487"/>
      <c r="P39" s="487"/>
      <c r="Q39" s="487"/>
      <c r="R39" s="487"/>
      <c r="S39" s="487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487"/>
      <c r="M40" s="487"/>
      <c r="N40" s="487"/>
      <c r="O40" s="487"/>
      <c r="P40" s="487"/>
      <c r="Q40" s="487"/>
      <c r="R40" s="487"/>
      <c r="S40" s="487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487"/>
      <c r="M43" s="487"/>
      <c r="N43" s="487"/>
      <c r="O43" s="487"/>
      <c r="P43" s="487"/>
      <c r="Q43" s="487"/>
      <c r="R43" s="487"/>
      <c r="S43" s="487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  <c r="O44" s="487"/>
      <c r="P44" s="487"/>
      <c r="Q44" s="487"/>
      <c r="R44" s="487"/>
      <c r="S44" s="487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  <c r="O46" s="487"/>
      <c r="P46" s="487"/>
      <c r="Q46" s="487"/>
      <c r="R46" s="487"/>
      <c r="S46" s="487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  <c r="O47" s="487"/>
      <c r="P47" s="487"/>
      <c r="Q47" s="487"/>
      <c r="R47" s="487"/>
      <c r="S47" s="487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  <c r="O48" s="487"/>
      <c r="P48" s="487"/>
      <c r="Q48" s="487"/>
      <c r="R48" s="487"/>
      <c r="S48" s="487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487"/>
      <c r="P49" s="487"/>
      <c r="Q49" s="487"/>
      <c r="R49" s="487"/>
      <c r="S49" s="487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  <c r="O50" s="487"/>
      <c r="P50" s="487"/>
      <c r="Q50" s="487"/>
      <c r="R50" s="487"/>
      <c r="S50" s="487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  <c r="O51" s="487"/>
      <c r="P51" s="487"/>
      <c r="Q51" s="487"/>
      <c r="R51" s="487"/>
      <c r="S51" s="487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  <c r="O53" s="487"/>
      <c r="P53" s="487"/>
      <c r="Q53" s="487"/>
      <c r="R53" s="487"/>
      <c r="S53" s="487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  <c r="O54" s="487"/>
      <c r="P54" s="487"/>
      <c r="Q54" s="487"/>
      <c r="R54" s="487"/>
      <c r="S54" s="487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  <c r="Q55" s="487"/>
      <c r="R55" s="487"/>
      <c r="S55" s="487"/>
    </row>
    <row r="56" spans="1:30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  <c r="O56" s="487"/>
      <c r="P56" s="487"/>
      <c r="Q56" s="487"/>
      <c r="R56" s="487"/>
      <c r="S56" s="487"/>
    </row>
    <row r="57" spans="1:30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  <c r="O57" s="487"/>
      <c r="P57" s="487"/>
      <c r="Q57" s="487"/>
      <c r="R57" s="487"/>
      <c r="S57" s="487"/>
    </row>
    <row r="58" spans="1:30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  <c r="O58" s="487"/>
      <c r="P58" s="487"/>
      <c r="Q58" s="487"/>
      <c r="R58" s="487"/>
      <c r="S58" s="487"/>
    </row>
    <row r="59" spans="1:30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  <c r="O59" s="487"/>
      <c r="P59" s="487"/>
      <c r="Q59" s="487"/>
      <c r="R59" s="487"/>
      <c r="S59" s="487"/>
    </row>
    <row r="60" spans="1:30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  <c r="O60" s="487"/>
      <c r="P60" s="487"/>
      <c r="Q60" s="487"/>
      <c r="R60" s="487"/>
      <c r="S60" s="487"/>
    </row>
    <row r="61" spans="1:30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  <c r="Q61" s="487"/>
      <c r="R61" s="487"/>
      <c r="S61" s="487"/>
    </row>
    <row r="62" spans="1:30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</row>
    <row r="63" spans="1:30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  <c r="O63" s="487"/>
      <c r="P63" s="487"/>
      <c r="Q63" s="487"/>
      <c r="R63" s="487"/>
      <c r="S63" s="487"/>
    </row>
    <row r="64" spans="1:30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  <c r="O64" s="487"/>
      <c r="P64" s="487"/>
      <c r="Q64" s="487"/>
      <c r="R64" s="487"/>
      <c r="S64" s="487"/>
    </row>
    <row r="65" spans="1:19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  <c r="O65" s="487"/>
      <c r="P65" s="487"/>
      <c r="Q65" s="487"/>
      <c r="R65" s="487"/>
      <c r="S65" s="487"/>
    </row>
    <row r="66" spans="1:19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</row>
    <row r="67" spans="1:19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  <c r="O67" s="487"/>
      <c r="P67" s="487"/>
      <c r="Q67" s="487"/>
      <c r="R67" s="487"/>
      <c r="S67" s="487"/>
    </row>
    <row r="68" spans="1:19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  <c r="O68" s="487"/>
      <c r="P68" s="487"/>
      <c r="Q68" s="487"/>
      <c r="R68" s="487"/>
      <c r="S68" s="487"/>
    </row>
    <row r="69" spans="1:19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</row>
    <row r="70" spans="1:19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  <c r="Q70" s="487"/>
      <c r="R70" s="487"/>
      <c r="S70" s="487"/>
    </row>
    <row r="71" spans="1:19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</row>
    <row r="72" spans="1:19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</row>
    <row r="73" spans="1:19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  <c r="L73" s="487"/>
      <c r="M73" s="487"/>
      <c r="N73" s="487"/>
      <c r="O73" s="487"/>
      <c r="P73" s="487"/>
      <c r="Q73" s="487"/>
      <c r="R73" s="487"/>
      <c r="S73" s="487"/>
    </row>
    <row r="74" spans="1:19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</row>
    <row r="75" spans="1:19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</row>
    <row r="76" spans="1:19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  <c r="L76" s="487"/>
      <c r="M76" s="487"/>
      <c r="N76" s="487"/>
      <c r="O76" s="487"/>
      <c r="P76" s="487"/>
      <c r="Q76" s="487"/>
      <c r="R76" s="487"/>
      <c r="S76" s="487"/>
    </row>
    <row r="77" spans="1:19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</row>
    <row r="78" spans="1:19">
      <c r="A78" s="487"/>
      <c r="B78" s="487"/>
      <c r="C78" s="487"/>
      <c r="D78" s="487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</row>
    <row r="79" spans="1:19">
      <c r="A79" s="487"/>
      <c r="B79" s="487"/>
      <c r="C79" s="487"/>
      <c r="D79" s="487"/>
      <c r="E79" s="487"/>
      <c r="F79" s="487"/>
      <c r="G79" s="487"/>
      <c r="H79" s="487"/>
      <c r="I79" s="487"/>
      <c r="J79" s="487"/>
      <c r="K79" s="487"/>
      <c r="L79" s="487"/>
      <c r="M79" s="487"/>
      <c r="N79" s="487"/>
      <c r="O79" s="487"/>
      <c r="P79" s="487"/>
      <c r="Q79" s="487"/>
      <c r="R79" s="487"/>
      <c r="S79" s="487"/>
    </row>
    <row r="80" spans="1:19">
      <c r="A80" s="487"/>
      <c r="B80" s="487"/>
      <c r="C80" s="487"/>
      <c r="D80" s="487"/>
      <c r="E80" s="487"/>
      <c r="F80" s="487"/>
      <c r="G80" s="487"/>
      <c r="H80" s="487"/>
      <c r="I80" s="487"/>
      <c r="J80" s="487"/>
      <c r="K80" s="487"/>
      <c r="L80" s="487"/>
      <c r="M80" s="487"/>
      <c r="N80" s="487"/>
      <c r="O80" s="487"/>
      <c r="P80" s="487"/>
      <c r="Q80" s="487"/>
      <c r="R80" s="487"/>
      <c r="S80" s="487"/>
    </row>
    <row r="81" spans="1:19">
      <c r="A81" s="487"/>
      <c r="B81" s="487"/>
      <c r="C81" s="487"/>
      <c r="D81" s="487"/>
      <c r="E81" s="487"/>
      <c r="F81" s="487"/>
      <c r="G81" s="487"/>
      <c r="H81" s="487"/>
      <c r="I81" s="487"/>
      <c r="J81" s="487"/>
      <c r="K81" s="487"/>
      <c r="L81" s="487"/>
      <c r="M81" s="487"/>
      <c r="N81" s="487"/>
      <c r="O81" s="487"/>
      <c r="P81" s="487"/>
      <c r="Q81" s="487"/>
      <c r="R81" s="487"/>
      <c r="S81" s="487"/>
    </row>
    <row r="82" spans="1:19">
      <c r="A82" s="487"/>
      <c r="B82" s="487"/>
      <c r="C82" s="487"/>
      <c r="D82" s="487"/>
      <c r="E82" s="487"/>
      <c r="F82" s="487"/>
      <c r="G82" s="487"/>
      <c r="H82" s="487"/>
      <c r="I82" s="487"/>
      <c r="J82" s="487"/>
      <c r="K82" s="487"/>
      <c r="L82" s="487"/>
      <c r="M82" s="487"/>
      <c r="N82" s="487"/>
      <c r="O82" s="487"/>
      <c r="P82" s="487"/>
      <c r="Q82" s="487"/>
      <c r="R82" s="487"/>
      <c r="S82" s="487"/>
    </row>
    <row r="83" spans="1:19">
      <c r="A83" s="487"/>
      <c r="B83" s="487"/>
      <c r="C83" s="487"/>
      <c r="D83" s="487"/>
      <c r="E83" s="487"/>
      <c r="F83" s="487"/>
      <c r="G83" s="487"/>
      <c r="H83" s="487"/>
      <c r="I83" s="487"/>
      <c r="J83" s="487"/>
      <c r="K83" s="487"/>
      <c r="L83" s="487"/>
      <c r="M83" s="487"/>
      <c r="N83" s="487"/>
      <c r="O83" s="487"/>
      <c r="P83" s="487"/>
      <c r="Q83" s="487"/>
      <c r="R83" s="487"/>
      <c r="S83" s="487"/>
    </row>
    <row r="84" spans="1:19">
      <c r="A84" s="487"/>
      <c r="B84" s="487"/>
      <c r="C84" s="487"/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P84" s="487"/>
      <c r="Q84" s="487"/>
      <c r="R84" s="487"/>
      <c r="S84" s="487"/>
    </row>
    <row r="85" spans="1:19">
      <c r="A85" s="487"/>
      <c r="B85" s="487"/>
      <c r="C85" s="487"/>
      <c r="D85" s="487"/>
      <c r="E85" s="487"/>
      <c r="F85" s="487"/>
      <c r="G85" s="487"/>
      <c r="H85" s="487"/>
      <c r="I85" s="487"/>
      <c r="J85" s="487"/>
      <c r="K85" s="487"/>
      <c r="L85" s="487"/>
      <c r="M85" s="487"/>
      <c r="N85" s="487"/>
      <c r="O85" s="487"/>
      <c r="P85" s="487"/>
      <c r="Q85" s="487"/>
      <c r="R85" s="487"/>
      <c r="S85" s="487"/>
    </row>
    <row r="86" spans="1:19">
      <c r="A86" s="487"/>
      <c r="B86" s="487"/>
      <c r="C86" s="487"/>
      <c r="D86" s="487"/>
      <c r="E86" s="487"/>
      <c r="F86" s="487"/>
      <c r="G86" s="487"/>
      <c r="H86" s="487"/>
      <c r="I86" s="487"/>
      <c r="J86" s="487"/>
      <c r="K86" s="487"/>
      <c r="L86" s="487"/>
      <c r="M86" s="487"/>
      <c r="N86" s="487"/>
      <c r="O86" s="487"/>
      <c r="P86" s="487"/>
      <c r="Q86" s="487"/>
      <c r="R86" s="487"/>
      <c r="S86" s="487"/>
    </row>
    <row r="87" spans="1:19">
      <c r="A87" s="487"/>
      <c r="B87" s="487"/>
      <c r="C87" s="487"/>
      <c r="D87" s="487"/>
      <c r="E87" s="487"/>
      <c r="F87" s="487"/>
      <c r="G87" s="487"/>
      <c r="H87" s="487"/>
      <c r="I87" s="487"/>
      <c r="J87" s="487"/>
      <c r="K87" s="487"/>
      <c r="L87" s="487"/>
      <c r="M87" s="487"/>
      <c r="N87" s="487"/>
      <c r="O87" s="487"/>
      <c r="P87" s="487"/>
      <c r="Q87" s="487"/>
      <c r="R87" s="487"/>
      <c r="S87" s="487"/>
    </row>
    <row r="88" spans="1:19">
      <c r="A88" s="487"/>
      <c r="B88" s="487"/>
      <c r="C88" s="487"/>
      <c r="D88" s="487"/>
      <c r="E88" s="487"/>
      <c r="F88" s="487"/>
      <c r="G88" s="487"/>
      <c r="H88" s="487"/>
      <c r="I88" s="487"/>
      <c r="J88" s="487"/>
      <c r="K88" s="487"/>
      <c r="L88" s="487"/>
      <c r="M88" s="487"/>
      <c r="N88" s="487"/>
      <c r="O88" s="487"/>
      <c r="P88" s="487"/>
      <c r="Q88" s="487"/>
      <c r="R88" s="487"/>
      <c r="S88" s="487"/>
    </row>
    <row r="89" spans="1:19">
      <c r="A89" s="487"/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</row>
    <row r="90" spans="1:19">
      <c r="A90" s="487"/>
      <c r="B90" s="487"/>
      <c r="C90" s="487"/>
      <c r="D90" s="487"/>
      <c r="E90" s="487"/>
      <c r="F90" s="487"/>
      <c r="G90" s="487"/>
      <c r="H90" s="487"/>
      <c r="I90" s="487"/>
      <c r="J90" s="487"/>
      <c r="K90" s="487"/>
      <c r="L90" s="487"/>
      <c r="M90" s="487"/>
      <c r="N90" s="487"/>
      <c r="O90" s="487"/>
      <c r="P90" s="487"/>
      <c r="Q90" s="487"/>
      <c r="R90" s="487"/>
      <c r="S90" s="487"/>
    </row>
    <row r="91" spans="1:19">
      <c r="A91" s="487"/>
      <c r="B91" s="487"/>
      <c r="C91" s="487"/>
      <c r="D91" s="487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</row>
    <row r="92" spans="1:19">
      <c r="A92" s="487"/>
      <c r="B92" s="487"/>
      <c r="C92" s="487"/>
      <c r="D92" s="487"/>
      <c r="E92" s="487"/>
      <c r="F92" s="487"/>
      <c r="G92" s="487"/>
      <c r="H92" s="487"/>
      <c r="I92" s="487"/>
      <c r="J92" s="487"/>
      <c r="K92" s="487"/>
      <c r="L92" s="487"/>
      <c r="M92" s="487"/>
      <c r="N92" s="487"/>
      <c r="O92" s="487"/>
      <c r="P92" s="487"/>
      <c r="Q92" s="487"/>
      <c r="R92" s="487"/>
      <c r="S92" s="487"/>
    </row>
    <row r="93" spans="1:19">
      <c r="A93" s="487"/>
      <c r="B93" s="487"/>
      <c r="C93" s="487"/>
      <c r="D93" s="487"/>
      <c r="E93" s="487"/>
      <c r="F93" s="487"/>
      <c r="G93" s="487"/>
      <c r="H93" s="487"/>
      <c r="I93" s="487"/>
      <c r="J93" s="487"/>
      <c r="K93" s="487"/>
      <c r="L93" s="487"/>
      <c r="M93" s="487"/>
      <c r="N93" s="487"/>
      <c r="O93" s="487"/>
      <c r="P93" s="487"/>
      <c r="Q93" s="487"/>
      <c r="R93" s="487"/>
      <c r="S93" s="487"/>
    </row>
    <row r="94" spans="1:19">
      <c r="A94" s="487"/>
      <c r="B94" s="487"/>
      <c r="C94" s="487"/>
      <c r="D94" s="487"/>
      <c r="E94" s="487"/>
      <c r="F94" s="487"/>
      <c r="G94" s="487"/>
      <c r="H94" s="487"/>
      <c r="I94" s="487"/>
      <c r="J94" s="487"/>
      <c r="K94" s="487"/>
      <c r="L94" s="487"/>
      <c r="M94" s="487"/>
      <c r="N94" s="487"/>
      <c r="O94" s="487"/>
      <c r="P94" s="487"/>
      <c r="Q94" s="487"/>
      <c r="R94" s="487"/>
      <c r="S94" s="487"/>
    </row>
    <row r="95" spans="1:19">
      <c r="A95" s="487"/>
      <c r="B95" s="487"/>
      <c r="C95" s="487"/>
      <c r="D95" s="487"/>
      <c r="E95" s="487"/>
      <c r="F95" s="487"/>
      <c r="G95" s="487"/>
      <c r="H95" s="487"/>
      <c r="I95" s="487"/>
      <c r="J95" s="487"/>
      <c r="K95" s="487"/>
      <c r="L95" s="487"/>
      <c r="M95" s="487"/>
      <c r="N95" s="487"/>
      <c r="O95" s="487"/>
      <c r="P95" s="487"/>
      <c r="Q95" s="487"/>
      <c r="R95" s="487"/>
      <c r="S95" s="487"/>
    </row>
    <row r="96" spans="1:19">
      <c r="A96" s="487"/>
      <c r="B96" s="487"/>
      <c r="C96" s="487"/>
      <c r="D96" s="487"/>
      <c r="E96" s="487"/>
      <c r="F96" s="487"/>
      <c r="G96" s="487"/>
      <c r="H96" s="487"/>
      <c r="I96" s="487"/>
      <c r="J96" s="487"/>
      <c r="K96" s="487"/>
      <c r="L96" s="487"/>
      <c r="M96" s="487"/>
      <c r="N96" s="487"/>
      <c r="O96" s="487"/>
      <c r="P96" s="487"/>
      <c r="Q96" s="487"/>
      <c r="R96" s="487"/>
      <c r="S96" s="487"/>
    </row>
    <row r="97" spans="1:19">
      <c r="A97" s="487"/>
      <c r="B97" s="487"/>
      <c r="C97" s="487"/>
      <c r="D97" s="487"/>
      <c r="E97" s="487"/>
      <c r="F97" s="487"/>
      <c r="G97" s="487"/>
      <c r="H97" s="487"/>
      <c r="I97" s="487"/>
      <c r="J97" s="487"/>
      <c r="K97" s="487"/>
      <c r="L97" s="487"/>
      <c r="M97" s="487"/>
      <c r="N97" s="487"/>
      <c r="O97" s="487"/>
      <c r="P97" s="487"/>
      <c r="Q97" s="487"/>
      <c r="R97" s="487"/>
      <c r="S97" s="487"/>
    </row>
    <row r="98" spans="1:19">
      <c r="A98" s="487"/>
      <c r="B98" s="487"/>
      <c r="C98" s="487"/>
      <c r="D98" s="487"/>
      <c r="E98" s="487"/>
      <c r="F98" s="487"/>
      <c r="G98" s="487"/>
      <c r="H98" s="487"/>
      <c r="I98" s="487"/>
      <c r="J98" s="487"/>
      <c r="K98" s="487"/>
      <c r="L98" s="487"/>
      <c r="M98" s="487"/>
      <c r="N98" s="487"/>
      <c r="O98" s="487"/>
      <c r="P98" s="487"/>
      <c r="Q98" s="487"/>
      <c r="R98" s="487"/>
      <c r="S98" s="487"/>
    </row>
    <row r="99" spans="1:19">
      <c r="A99" s="487"/>
      <c r="B99" s="487"/>
      <c r="C99" s="487"/>
      <c r="D99" s="487"/>
      <c r="E99" s="487"/>
      <c r="F99" s="487"/>
      <c r="G99" s="487"/>
      <c r="H99" s="487"/>
      <c r="I99" s="487"/>
      <c r="J99" s="487"/>
      <c r="K99" s="487"/>
      <c r="L99" s="487"/>
      <c r="M99" s="487"/>
      <c r="N99" s="487"/>
      <c r="O99" s="487"/>
      <c r="P99" s="487"/>
      <c r="Q99" s="487"/>
      <c r="R99" s="487"/>
      <c r="S99" s="487"/>
    </row>
    <row r="100" spans="1:19">
      <c r="A100" s="487"/>
      <c r="B100" s="487"/>
      <c r="C100" s="487"/>
      <c r="D100" s="487"/>
      <c r="E100" s="487"/>
      <c r="F100" s="487"/>
      <c r="G100" s="487"/>
      <c r="H100" s="487"/>
      <c r="I100" s="487"/>
      <c r="J100" s="487"/>
      <c r="K100" s="487"/>
      <c r="L100" s="487"/>
      <c r="M100" s="487"/>
      <c r="N100" s="487"/>
      <c r="O100" s="487"/>
      <c r="P100" s="487"/>
      <c r="Q100" s="487"/>
      <c r="R100" s="487"/>
      <c r="S100" s="487"/>
    </row>
    <row r="101" spans="1:19">
      <c r="A101" s="487"/>
      <c r="B101" s="487"/>
      <c r="C101" s="487"/>
      <c r="D101" s="487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</row>
    <row r="102" spans="1:19">
      <c r="A102" s="487"/>
      <c r="B102" s="487"/>
      <c r="C102" s="487"/>
      <c r="D102" s="487"/>
      <c r="E102" s="487"/>
      <c r="F102" s="487"/>
      <c r="G102" s="487"/>
      <c r="H102" s="487"/>
      <c r="I102" s="487"/>
      <c r="J102" s="487"/>
      <c r="K102" s="487"/>
      <c r="L102" s="487"/>
      <c r="M102" s="487"/>
      <c r="N102" s="487"/>
      <c r="O102" s="487"/>
      <c r="P102" s="487"/>
      <c r="Q102" s="487"/>
      <c r="R102" s="487"/>
      <c r="S102" s="487"/>
    </row>
    <row r="103" spans="1:19">
      <c r="A103" s="487"/>
      <c r="B103" s="487"/>
      <c r="C103" s="487"/>
      <c r="D103" s="487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</row>
    <row r="104" spans="1:19">
      <c r="A104" s="487"/>
      <c r="B104" s="487"/>
      <c r="C104" s="487"/>
      <c r="D104" s="487"/>
      <c r="E104" s="487"/>
      <c r="F104" s="487"/>
      <c r="G104" s="487"/>
      <c r="H104" s="487"/>
      <c r="I104" s="487"/>
      <c r="J104" s="487"/>
      <c r="K104" s="487"/>
      <c r="L104" s="487"/>
      <c r="M104" s="487"/>
      <c r="N104" s="487"/>
      <c r="O104" s="487"/>
      <c r="P104" s="487"/>
      <c r="Q104" s="487"/>
      <c r="R104" s="487"/>
      <c r="S104" s="487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7"/>
    </row>
    <row r="2" spans="2:23" ht="21">
      <c r="B2" s="70" t="s">
        <v>662</v>
      </c>
      <c r="C2" s="70"/>
      <c r="D2" s="70"/>
      <c r="E2" s="70"/>
      <c r="F2" s="74" t="s">
        <v>785</v>
      </c>
      <c r="G2" s="590"/>
      <c r="H2" s="590"/>
      <c r="I2" s="590"/>
      <c r="J2" s="590"/>
      <c r="K2" s="590"/>
      <c r="L2" s="590"/>
      <c r="M2" s="590"/>
      <c r="N2" s="590"/>
      <c r="O2" s="47"/>
      <c r="P2" s="34" t="s">
        <v>784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781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646</v>
      </c>
      <c r="J3" s="44" t="s">
        <v>271</v>
      </c>
      <c r="K3" s="44" t="s">
        <v>272</v>
      </c>
      <c r="L3" s="44" t="s">
        <v>645</v>
      </c>
      <c r="M3" s="48" t="s">
        <v>644</v>
      </c>
      <c r="N3" s="48" t="s">
        <v>848</v>
      </c>
      <c r="P3" s="36" t="s">
        <v>263</v>
      </c>
      <c r="Q3" s="36" t="s">
        <v>781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788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849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10" t="str">
        <f>_xlfn.TEXTJOIN(",",TRUE,IF(LEFT(Regions!$C$3,1)&lt;&gt;"*",Regions!$C$3,""),IF(LEFT(Regions!$D$3,1)&lt;&gt;"*",Regions!$D$3,""))</f>
        <v>IE,National</v>
      </c>
      <c r="C5" s="908" t="str">
        <f>R5</f>
        <v>R-RSDRF_X0</v>
      </c>
      <c r="D5" s="908" t="str">
        <f>S5</f>
        <v>Residential Refrigeration Demand Technology</v>
      </c>
      <c r="E5" s="908" t="str">
        <f>COMM!$E$24</f>
        <v>RSDELC</v>
      </c>
      <c r="F5" s="908" t="str">
        <f>COMM!E32</f>
        <v>RSDRF</v>
      </c>
      <c r="G5" s="909">
        <f>DwellingStocks!$L$28/1000*RSD_Balance!U38</f>
        <v>1697.5803349999996</v>
      </c>
      <c r="H5" s="908">
        <v>0.8</v>
      </c>
      <c r="I5" s="911">
        <f>L5/G5/K5</f>
        <v>0.11719939117199392</v>
      </c>
      <c r="J5" s="912">
        <v>10</v>
      </c>
      <c r="K5" s="454">
        <f>31.536*(N5/1000)</f>
        <v>5.6764799999999994E-3</v>
      </c>
      <c r="L5" s="909">
        <f t="shared" ref="L5:L13" si="0">M5*H5</f>
        <v>1.1293662452687998</v>
      </c>
      <c r="M5" s="913">
        <f>RSD_Balance!S29</f>
        <v>1.4117078065859998</v>
      </c>
      <c r="N5" s="454">
        <v>0.18</v>
      </c>
      <c r="O5" s="487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4" t="str">
        <f>_xlfn.TEXTJOIN(",",TRUE,IF(LEFT(Regions!$C$3,1)&lt;&gt;"*",Regions!$C$3,""),IF(LEFT(Regions!$D$3,1)&lt;&gt;"*",Regions!$D$3,""))</f>
        <v>IE,National</v>
      </c>
      <c r="C6" s="915" t="str">
        <f>R6</f>
        <v>R-RSDCK_ELC_X0</v>
      </c>
      <c r="D6" s="916" t="str">
        <f>S6</f>
        <v>Residential Cooking Demand Electrical Technology</v>
      </c>
      <c r="E6" s="916" t="str">
        <f>COMM!E24</f>
        <v>RSDELC</v>
      </c>
      <c r="F6" s="915" t="str">
        <f>COMM!$E$33</f>
        <v>RSDCK</v>
      </c>
      <c r="G6" s="917">
        <f>DwellingStocks!$L$28/1000*R20</f>
        <v>1288.2597646247998</v>
      </c>
      <c r="H6" s="916">
        <v>0.74</v>
      </c>
      <c r="I6" s="918">
        <f>(SUM(L6))/G6/K6</f>
        <v>1.2457230310998246E-2</v>
      </c>
      <c r="J6" s="916">
        <v>15</v>
      </c>
      <c r="K6" s="915">
        <f t="shared" ref="K6:K13" si="1">31.536*(N6/1000)</f>
        <v>9.4608000000000012E-2</v>
      </c>
      <c r="L6" s="915">
        <f>M6*H6</f>
        <v>1.5182832416441119</v>
      </c>
      <c r="M6" s="919">
        <f>RSD_Balance!R26</f>
        <v>2.051734110329881</v>
      </c>
      <c r="N6" s="906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901" t="s">
        <v>15</v>
      </c>
      <c r="U6" s="458" t="s">
        <v>277</v>
      </c>
      <c r="V6" s="901"/>
      <c r="W6" s="458"/>
    </row>
    <row r="7" spans="2:23" ht="15">
      <c r="B7" s="910" t="str">
        <f>_xlfn.TEXTJOIN(",",TRUE,IF(LEFT(Regions!$C$3,1)&lt;&gt;"*",Regions!$C$3,""),IF(LEFT(Regions!$D$3,1)&lt;&gt;"*",Regions!$D$3,""))</f>
        <v>IE,National</v>
      </c>
      <c r="C7" s="908" t="str">
        <f t="shared" ref="C7:C8" si="2">R7</f>
        <v>R-RSDCK_GAS_X0</v>
      </c>
      <c r="D7" s="908" t="str">
        <f t="shared" ref="D7:D8" si="3">S7</f>
        <v>Residential Cooking Demand Gas Technology</v>
      </c>
      <c r="E7" s="908" t="str">
        <f>COMM!E14</f>
        <v>RSDGAS</v>
      </c>
      <c r="F7" s="908" t="str">
        <f>COMM!$E$33</f>
        <v>RSDCK</v>
      </c>
      <c r="G7" s="909">
        <f>DwellingStocks!$L$28/1000*R21</f>
        <v>386.53394953849494</v>
      </c>
      <c r="H7" s="908">
        <v>0.68</v>
      </c>
      <c r="I7" s="911">
        <f>(SUM(L7))/G7/K7</f>
        <v>1.0677641927395889E-2</v>
      </c>
      <c r="J7" s="912">
        <v>15</v>
      </c>
      <c r="K7" s="921">
        <f t="shared" si="1"/>
        <v>0.110376</v>
      </c>
      <c r="L7" s="909">
        <f>M7*H7</f>
        <v>0.45555167559079646</v>
      </c>
      <c r="M7" s="913">
        <f>RSD_Balance!R17</f>
        <v>0.66992893469234771</v>
      </c>
      <c r="N7" s="907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4" t="str">
        <f>_xlfn.TEXTJOIN(",",TRUE,IF(LEFT(Regions!$C$3,1)&lt;&gt;"*",Regions!$C$3,""),IF(LEFT(Regions!$D$3,1)&lt;&gt;"*",Regions!$D$3,""))</f>
        <v>IE,National</v>
      </c>
      <c r="C8" s="915" t="str">
        <f t="shared" si="2"/>
        <v>R-RSDCK_LPG_X0</v>
      </c>
      <c r="D8" s="916" t="str">
        <f t="shared" si="3"/>
        <v>Residential Cooking Demand LPG Technology</v>
      </c>
      <c r="E8" s="916" t="str">
        <f>COMM!E8</f>
        <v>RSDLPG</v>
      </c>
      <c r="F8" s="915" t="str">
        <f>COMM!$E$33</f>
        <v>RSDCK</v>
      </c>
      <c r="G8" s="917">
        <f>DwellingStocks!$L$28/1000*R22</f>
        <v>22.786262647254308</v>
      </c>
      <c r="H8" s="916">
        <v>0.68</v>
      </c>
      <c r="I8" s="918">
        <f t="shared" ref="I8" si="4">(SUM(L8))/G8/K8</f>
        <v>1.0677627336793453E-2</v>
      </c>
      <c r="J8" s="916">
        <v>15</v>
      </c>
      <c r="K8" s="915">
        <f t="shared" si="1"/>
        <v>0.110376</v>
      </c>
      <c r="L8" s="915">
        <f>M8*H8</f>
        <v>2.6854836315100172E-2</v>
      </c>
      <c r="M8" s="919">
        <f>RSD_Balance!R11</f>
        <v>3.9492406345735545E-2</v>
      </c>
      <c r="N8" s="906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901" t="s">
        <v>15</v>
      </c>
      <c r="U8" s="458" t="s">
        <v>277</v>
      </c>
      <c r="V8" s="901"/>
      <c r="W8" s="458"/>
    </row>
    <row r="9" spans="2:23" s="278" customFormat="1" ht="15">
      <c r="B9" s="910" t="str">
        <f>_xlfn.TEXTJOIN(",",TRUE,IF(LEFT(Regions!$C$3,1)&lt;&gt;"*",Regions!$C$3,""),IF(LEFT(Regions!$D$3,1)&lt;&gt;"*",Regions!$D$3,""))</f>
        <v>IE,National</v>
      </c>
      <c r="C9" s="908" t="str">
        <f t="shared" ref="C9:D13" si="5">R9</f>
        <v>R-RSDCW_X0</v>
      </c>
      <c r="D9" s="908" t="str">
        <f t="shared" si="5"/>
        <v>Residential Cloth Washing Demand Technology</v>
      </c>
      <c r="E9" s="908" t="str">
        <f>COMM!$E$24</f>
        <v>RSDELC</v>
      </c>
      <c r="F9" s="908" t="str">
        <f>COMM!E34</f>
        <v>RSDCW</v>
      </c>
      <c r="G9" s="909">
        <f>DwellingStocks!$L$28/1000*RSD_Balance!U36</f>
        <v>1655.1408266249996</v>
      </c>
      <c r="H9" s="908">
        <v>0.7</v>
      </c>
      <c r="I9" s="911">
        <f>L9/G9/K9</f>
        <v>6.7195931921959322E-3</v>
      </c>
      <c r="J9" s="912">
        <v>10</v>
      </c>
      <c r="K9" s="921">
        <f t="shared" si="1"/>
        <v>6.9379200000000002E-2</v>
      </c>
      <c r="L9" s="909">
        <f t="shared" si="0"/>
        <v>0.77162665337257486</v>
      </c>
      <c r="M9" s="913">
        <f>RSD_Balance!T29</f>
        <v>1.1023237905322498</v>
      </c>
      <c r="N9" s="907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4" t="str">
        <f>_xlfn.TEXTJOIN(",",TRUE,IF(LEFT(Regions!$C$3,1)&lt;&gt;"*",Regions!$C$3,""),IF(LEFT(Regions!$D$3,1)&lt;&gt;"*",Regions!$D$3,""))</f>
        <v>IE,National</v>
      </c>
      <c r="C10" s="915" t="str">
        <f t="shared" si="5"/>
        <v>R-RSDCD_X0</v>
      </c>
      <c r="D10" s="916" t="str">
        <f t="shared" si="5"/>
        <v>Residential Cloth Drying Demand Technology</v>
      </c>
      <c r="E10" s="916" t="str">
        <f>COMM!$E$24</f>
        <v>RSDELC</v>
      </c>
      <c r="F10" s="915" t="str">
        <f>COMM!E35</f>
        <v>RSDCD</v>
      </c>
      <c r="G10" s="917">
        <f>DwellingStocks!$L$28/1000*RSD_Balance!U37</f>
        <v>1100.0320570799997</v>
      </c>
      <c r="H10" s="915">
        <v>0.6</v>
      </c>
      <c r="I10" s="918">
        <f>L10/G10/K10</f>
        <v>1.1863013698630138E-2</v>
      </c>
      <c r="J10" s="916">
        <v>10</v>
      </c>
      <c r="K10" s="915">
        <f t="shared" si="1"/>
        <v>7.8840000000000007E-2</v>
      </c>
      <c r="L10" s="915">
        <f t="shared" si="0"/>
        <v>1.0288379823457823</v>
      </c>
      <c r="M10" s="919">
        <f>RSD_Balance!U26</f>
        <v>1.7147299705763039</v>
      </c>
      <c r="N10" s="906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901" t="s">
        <v>15</v>
      </c>
      <c r="U10" s="458" t="s">
        <v>277</v>
      </c>
      <c r="V10" s="901"/>
      <c r="W10" s="458"/>
    </row>
    <row r="11" spans="2:23" ht="15">
      <c r="B11" s="910" t="str">
        <f>_xlfn.TEXTJOIN(",",TRUE,IF(LEFT(Regions!$C$3,1)&lt;&gt;"*",Regions!$C$3,""),IF(LEFT(Regions!$D$3,1)&lt;&gt;"*",Regions!$D$3,""))</f>
        <v>IE,National</v>
      </c>
      <c r="C11" s="908" t="str">
        <f t="shared" si="5"/>
        <v>R-RSDDW_X0</v>
      </c>
      <c r="D11" s="908" t="str">
        <f t="shared" si="5"/>
        <v>Residential Dish Washing Demand Technology</v>
      </c>
      <c r="E11" s="908" t="str">
        <f>COMM!$E$24</f>
        <v>RSDELC</v>
      </c>
      <c r="F11" s="908" t="str">
        <f>COMM!E36</f>
        <v>RSDDW</v>
      </c>
      <c r="G11" s="909">
        <f>DwellingStocks!$L$28/1000*RSD_Balance!U39</f>
        <v>1098.3344767449998</v>
      </c>
      <c r="H11" s="908">
        <v>0.7</v>
      </c>
      <c r="I11" s="911">
        <f>L11/G11/K11</f>
        <v>1.0896637608966375E-2</v>
      </c>
      <c r="J11" s="912">
        <v>10</v>
      </c>
      <c r="K11" s="921">
        <f t="shared" si="1"/>
        <v>6.9379200000000002E-2</v>
      </c>
      <c r="L11" s="909">
        <f t="shared" si="0"/>
        <v>0.83034086441921984</v>
      </c>
      <c r="M11" s="913">
        <f>RSD_Balance!V29</f>
        <v>1.1862012348845998</v>
      </c>
      <c r="N11" s="907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4" t="str">
        <f>_xlfn.TEXTJOIN(",",TRUE,IF(LEFT(Regions!$C$3,1)&lt;&gt;"*",Regions!$C$3,""),IF(LEFT(Regions!$D$3,1)&lt;&gt;"*",Regions!$D$3,""))</f>
        <v>IE,National</v>
      </c>
      <c r="C12" s="915" t="str">
        <f t="shared" si="5"/>
        <v>R-RSDOE_X0</v>
      </c>
      <c r="D12" s="916" t="str">
        <f t="shared" si="5"/>
        <v>Residential ELC Appliances Demand Technology</v>
      </c>
      <c r="E12" s="916" t="str">
        <f>COMM!$E$24</f>
        <v>RSDELC</v>
      </c>
      <c r="F12" s="915" t="str">
        <f>COMM!E37</f>
        <v>RSDOE</v>
      </c>
      <c r="G12" s="917">
        <f>DwellingStocks!$L$28/1000*1</f>
        <v>1697.5803349999996</v>
      </c>
      <c r="H12" s="915">
        <v>0.85</v>
      </c>
      <c r="I12" s="918">
        <f>L12/G12/K12</f>
        <v>0.95648178299052611</v>
      </c>
      <c r="J12" s="916">
        <v>10</v>
      </c>
      <c r="K12" s="915">
        <f t="shared" si="1"/>
        <v>5.6764799999999994E-3</v>
      </c>
      <c r="L12" s="915">
        <f t="shared" si="0"/>
        <v>9.2169270601309012</v>
      </c>
      <c r="M12" s="919">
        <f>RSD_Balance!W26</f>
        <v>10.843443600154002</v>
      </c>
      <c r="N12" s="906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901" t="s">
        <v>15</v>
      </c>
      <c r="U12" s="458" t="s">
        <v>277</v>
      </c>
      <c r="V12" s="901"/>
      <c r="W12" s="458"/>
    </row>
    <row r="13" spans="2:23" ht="15">
      <c r="B13" s="910" t="str">
        <f>_xlfn.TEXTJOIN(",",TRUE,IF(LEFT(Regions!$C$3,1)&lt;&gt;"*",Regions!$C$3,""),IF(LEFT(Regions!$D$3,1)&lt;&gt;"*",Regions!$D$3,""))</f>
        <v>IE,National</v>
      </c>
      <c r="C13" s="908" t="str">
        <f t="shared" si="5"/>
        <v>R-RSDOA_X0</v>
      </c>
      <c r="D13" s="908" t="str">
        <f t="shared" si="5"/>
        <v>Residential Other Applications Demand Technology</v>
      </c>
      <c r="E13" s="908" t="str">
        <f>COMM!$E$24</f>
        <v>RSDELC</v>
      </c>
      <c r="F13" s="908" t="str">
        <f>COMM!E38</f>
        <v>RSDOA</v>
      </c>
      <c r="G13" s="909">
        <f>DwellingStocks!$L$28/1000*1</f>
        <v>1697.5803349999996</v>
      </c>
      <c r="H13" s="908">
        <v>0.85</v>
      </c>
      <c r="I13" s="911">
        <f>L13/G13/K13</f>
        <v>0</v>
      </c>
      <c r="J13" s="912">
        <v>10</v>
      </c>
      <c r="K13" s="921">
        <f t="shared" si="1"/>
        <v>5.6764799999999994E-3</v>
      </c>
      <c r="L13" s="909">
        <f t="shared" si="0"/>
        <v>0</v>
      </c>
      <c r="M13" s="913">
        <v>0</v>
      </c>
      <c r="N13" s="907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20"/>
      <c r="Q14" s="920"/>
      <c r="R14" s="920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500"/>
      <c r="O16" s="423"/>
      <c r="P16" s="423"/>
      <c r="Q16" s="423"/>
      <c r="R16" s="423"/>
    </row>
    <row r="17" spans="2:18" ht="18.75">
      <c r="B17" s="1014" t="s">
        <v>626</v>
      </c>
      <c r="C17" s="1014"/>
      <c r="D17" s="1014"/>
      <c r="E17" s="1014"/>
      <c r="F17" s="1014"/>
      <c r="G17" s="1014"/>
      <c r="L17" s="487"/>
      <c r="M17" s="487"/>
      <c r="O17" s="423"/>
      <c r="P17" s="423"/>
      <c r="Q17" s="423"/>
    </row>
    <row r="18" spans="2:18" ht="15.75" thickBot="1">
      <c r="L18" s="487"/>
      <c r="M18" s="487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785</v>
      </c>
      <c r="F19" s="67"/>
      <c r="G19" s="67"/>
      <c r="L19" s="487"/>
      <c r="M19" s="487"/>
      <c r="O19" s="423"/>
      <c r="P19" s="423"/>
      <c r="Q19" s="1114" t="s">
        <v>841</v>
      </c>
      <c r="R19" s="1115"/>
    </row>
    <row r="20" spans="2:18" ht="15">
      <c r="B20" s="305" t="s">
        <v>781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7"/>
      <c r="M20" s="487"/>
      <c r="O20" s="423"/>
      <c r="P20" s="423"/>
      <c r="Q20" s="1110" t="s">
        <v>882</v>
      </c>
      <c r="R20" s="1116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7"/>
      <c r="M21" s="487"/>
      <c r="O21" s="423"/>
      <c r="P21" s="423"/>
      <c r="Q21" s="1111" t="s">
        <v>867</v>
      </c>
      <c r="R21" s="1113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7"/>
      <c r="M22" s="487"/>
      <c r="O22" s="423"/>
      <c r="P22" s="423"/>
      <c r="Q22" s="1112" t="s">
        <v>791</v>
      </c>
      <c r="R22" s="1117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7"/>
      <c r="M23" s="487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7"/>
      <c r="M24" s="487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7"/>
      <c r="M25" s="487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7"/>
      <c r="M26" s="487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7"/>
      <c r="M27" s="487"/>
      <c r="O27" s="423"/>
      <c r="P27" s="423"/>
      <c r="Q27" s="423"/>
    </row>
    <row r="28" spans="2:18" ht="15">
      <c r="B28" s="425" t="s">
        <v>622</v>
      </c>
      <c r="C28" s="425"/>
      <c r="D28" s="425"/>
      <c r="E28" s="425"/>
      <c r="F28" s="426">
        <f>ArchetypeDemand!F32</f>
        <v>1697.5803349999996</v>
      </c>
      <c r="G28" s="425"/>
      <c r="L28" s="487"/>
      <c r="M28" s="487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023" t="s">
        <v>649</v>
      </c>
      <c r="R16" s="1023"/>
      <c r="S16" s="1023"/>
      <c r="T16" s="1023" t="s">
        <v>650</v>
      </c>
      <c r="U16" s="1023"/>
      <c r="V16" s="1023"/>
    </row>
    <row r="17" spans="1:22" ht="21.75" thickBot="1">
      <c r="A17" s="33"/>
      <c r="B17" s="33"/>
      <c r="C17" s="33"/>
      <c r="D17" s="33"/>
      <c r="E17" s="33"/>
      <c r="F17" s="33"/>
      <c r="H17" s="1023" t="s">
        <v>576</v>
      </c>
      <c r="I17" s="1023"/>
      <c r="J17" s="1023"/>
      <c r="K17" s="1023"/>
      <c r="L17" s="1023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 t="shared" si="2"/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 t="s">
        <v>575</v>
      </c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573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574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020" t="s">
        <v>290</v>
      </c>
      <c r="C48" s="1021"/>
      <c r="D48" s="1021"/>
      <c r="E48" s="1021"/>
      <c r="F48" s="1021"/>
      <c r="G48" s="1021"/>
      <c r="H48" s="1021"/>
      <c r="I48" s="1021"/>
      <c r="J48" s="1021"/>
      <c r="K48" s="1021"/>
      <c r="L48" s="1022"/>
      <c r="M48" s="1017" t="s">
        <v>291</v>
      </c>
      <c r="N48" s="1018"/>
      <c r="O48" s="1019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7"/>
      <c r="T49" s="487"/>
      <c r="U49" s="487"/>
      <c r="V49" s="487"/>
      <c r="W49" s="487"/>
      <c r="X49" s="487"/>
      <c r="Y49" s="487"/>
      <c r="Z49" s="487"/>
      <c r="AA49" s="487"/>
      <c r="AB49" s="487"/>
      <c r="AC49" s="487"/>
      <c r="AD49" s="487"/>
      <c r="AE49" s="487"/>
      <c r="AF49" s="487"/>
      <c r="AG49" s="487"/>
      <c r="AH49" s="487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7"/>
      <c r="T50" s="487"/>
      <c r="U50" s="487"/>
      <c r="V50" s="487"/>
      <c r="W50" s="487"/>
      <c r="X50" s="487"/>
      <c r="Y50" s="487"/>
      <c r="Z50" s="487"/>
      <c r="AA50" s="487"/>
      <c r="AB50" s="487"/>
      <c r="AC50" s="487"/>
      <c r="AD50" s="487"/>
      <c r="AE50" s="487"/>
      <c r="AF50" s="487"/>
      <c r="AG50" s="487"/>
      <c r="AH50" s="487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024" t="s">
        <v>352</v>
      </c>
      <c r="T82" s="1025"/>
      <c r="U82" s="1025"/>
      <c r="V82" s="1025"/>
      <c r="W82" s="1025"/>
      <c r="X82" s="1025"/>
      <c r="Y82" s="1025"/>
      <c r="Z82" s="1026"/>
      <c r="AB82" s="1015" t="s">
        <v>353</v>
      </c>
      <c r="AC82" s="1015"/>
      <c r="AD82" s="1015"/>
      <c r="AE82" s="1015"/>
      <c r="AF82" s="1016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015"/>
      <c r="AC83" s="1015"/>
      <c r="AD83" s="1015"/>
      <c r="AE83" s="1015"/>
      <c r="AF83" s="1016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118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120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119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121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119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120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119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121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119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120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119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121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119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120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119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121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119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120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119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121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119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120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119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121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119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120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119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121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119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120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119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121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119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120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119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121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119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120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119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121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118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120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119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121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119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120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119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121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119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120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119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121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122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7"/>
      <c r="R116" s="487"/>
      <c r="S116" s="487"/>
      <c r="T116" s="487"/>
      <c r="U116" s="487"/>
      <c r="V116" s="487"/>
      <c r="W116" s="487"/>
      <c r="X116" s="487"/>
      <c r="Y116" s="487"/>
      <c r="Z116" s="487"/>
      <c r="AA116" s="487"/>
      <c r="AB116" s="487"/>
      <c r="AC116" s="487"/>
      <c r="AD116" s="487"/>
      <c r="AE116" s="487"/>
      <c r="AF116" s="487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7"/>
      <c r="R117" s="487"/>
      <c r="S117" s="487"/>
      <c r="T117" s="487"/>
      <c r="U117" s="487"/>
      <c r="V117" s="487"/>
      <c r="W117" s="487"/>
      <c r="X117" s="487"/>
      <c r="Y117" s="487"/>
      <c r="Z117" s="487"/>
      <c r="AA117" s="487"/>
      <c r="AB117" s="487"/>
      <c r="AC117" s="487"/>
      <c r="AD117" s="487"/>
      <c r="AE117" s="487"/>
      <c r="AF117" s="487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7"/>
      <c r="R118" s="487"/>
      <c r="S118" s="487"/>
      <c r="T118" s="487"/>
      <c r="U118" s="487"/>
      <c r="V118" s="487"/>
      <c r="W118" s="487"/>
      <c r="X118" s="487"/>
      <c r="Y118" s="487"/>
      <c r="Z118" s="487"/>
      <c r="AA118" s="487"/>
      <c r="AB118" s="487"/>
      <c r="AC118" s="487"/>
      <c r="AD118" s="487"/>
      <c r="AE118" s="487"/>
      <c r="AF118" s="487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7"/>
      <c r="R119" s="487"/>
      <c r="S119" s="487"/>
      <c r="T119" s="487"/>
      <c r="U119" s="487"/>
      <c r="V119" s="487"/>
      <c r="W119" s="487"/>
      <c r="X119" s="487"/>
      <c r="Y119" s="487"/>
      <c r="Z119" s="487"/>
      <c r="AA119" s="487"/>
      <c r="AB119" s="487"/>
      <c r="AC119" s="487"/>
      <c r="AD119" s="487"/>
      <c r="AE119" s="487"/>
      <c r="AF119" s="487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7"/>
      <c r="R120" s="487"/>
      <c r="S120" s="487"/>
      <c r="T120" s="487"/>
      <c r="U120" s="487"/>
      <c r="V120" s="487"/>
      <c r="W120" s="487"/>
      <c r="X120" s="487"/>
      <c r="Y120" s="487"/>
      <c r="Z120" s="487"/>
      <c r="AA120" s="487"/>
      <c r="AB120" s="487"/>
      <c r="AC120" s="487"/>
      <c r="AD120" s="487"/>
      <c r="AE120" s="487"/>
      <c r="AF120" s="487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7"/>
      <c r="R121" s="487"/>
      <c r="S121" s="487"/>
      <c r="T121" s="487"/>
      <c r="U121" s="487"/>
      <c r="V121" s="487"/>
      <c r="W121" s="487"/>
      <c r="X121" s="487"/>
      <c r="Y121" s="487"/>
      <c r="Z121" s="487"/>
      <c r="AA121" s="487"/>
      <c r="AB121" s="487"/>
      <c r="AC121" s="487"/>
      <c r="AD121" s="487"/>
      <c r="AE121" s="487"/>
      <c r="AF121" s="487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7"/>
      <c r="R122" s="487"/>
      <c r="S122" s="487"/>
      <c r="T122" s="487"/>
      <c r="U122" s="487"/>
      <c r="V122" s="487"/>
      <c r="W122" s="487"/>
      <c r="X122" s="487"/>
      <c r="Y122" s="487"/>
      <c r="Z122" s="487"/>
      <c r="AA122" s="487"/>
      <c r="AB122" s="487"/>
      <c r="AC122" s="487"/>
      <c r="AD122" s="487"/>
      <c r="AE122" s="487"/>
      <c r="AF122" s="487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7"/>
      <c r="R123" s="487"/>
      <c r="S123" s="487"/>
      <c r="T123" s="487"/>
      <c r="U123" s="487"/>
      <c r="V123" s="487"/>
      <c r="W123" s="487"/>
      <c r="X123" s="487"/>
      <c r="Y123" s="487"/>
      <c r="Z123" s="487"/>
      <c r="AA123" s="487"/>
      <c r="AB123" s="487"/>
      <c r="AC123" s="487"/>
      <c r="AD123" s="487"/>
      <c r="AE123" s="487"/>
      <c r="AF123" s="487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7"/>
      <c r="R124" s="487"/>
      <c r="S124" s="487"/>
      <c r="T124" s="487"/>
      <c r="U124" s="487"/>
      <c r="V124" s="487"/>
      <c r="W124" s="487"/>
      <c r="X124" s="487"/>
      <c r="Y124" s="487"/>
      <c r="Z124" s="487"/>
      <c r="AA124" s="487"/>
      <c r="AB124" s="487"/>
      <c r="AC124" s="487"/>
      <c r="AD124" s="487"/>
      <c r="AE124" s="487"/>
      <c r="AF124" s="487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7"/>
      <c r="R125" s="487"/>
      <c r="S125" s="487"/>
      <c r="T125" s="487"/>
      <c r="U125" s="487"/>
      <c r="V125" s="487"/>
      <c r="W125" s="487"/>
      <c r="X125" s="487"/>
      <c r="Y125" s="487"/>
      <c r="Z125" s="487"/>
      <c r="AA125" s="487"/>
      <c r="AB125" s="487"/>
      <c r="AC125" s="487"/>
      <c r="AD125" s="487"/>
      <c r="AE125" s="487"/>
      <c r="AF125" s="487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7"/>
      <c r="R126" s="487"/>
      <c r="S126" s="487"/>
      <c r="T126" s="487"/>
      <c r="U126" s="487"/>
      <c r="V126" s="487"/>
      <c r="W126" s="487"/>
      <c r="X126" s="487"/>
      <c r="Y126" s="487"/>
      <c r="Z126" s="487"/>
      <c r="AA126" s="487"/>
      <c r="AB126" s="487"/>
      <c r="AC126" s="487"/>
      <c r="AD126" s="487"/>
      <c r="AE126" s="487"/>
      <c r="AF126" s="487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7"/>
      <c r="R127" s="487"/>
      <c r="S127" s="487"/>
      <c r="T127" s="487"/>
      <c r="U127" s="487"/>
      <c r="V127" s="487"/>
      <c r="W127" s="487"/>
      <c r="X127" s="487"/>
      <c r="Y127" s="487"/>
      <c r="Z127" s="487"/>
      <c r="AA127" s="487"/>
      <c r="AB127" s="487"/>
      <c r="AC127" s="487"/>
      <c r="AD127" s="487"/>
      <c r="AE127" s="487"/>
      <c r="AF127" s="487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7"/>
      <c r="R128" s="487"/>
      <c r="S128" s="487"/>
      <c r="T128" s="487"/>
      <c r="U128" s="487"/>
      <c r="V128" s="487"/>
      <c r="W128" s="487"/>
      <c r="X128" s="487"/>
      <c r="Y128" s="487"/>
      <c r="Z128" s="487"/>
      <c r="AA128" s="487"/>
      <c r="AB128" s="487"/>
      <c r="AC128" s="487"/>
      <c r="AD128" s="487"/>
      <c r="AE128" s="487"/>
      <c r="AF128" s="487"/>
    </row>
    <row r="129" spans="2:32">
      <c r="Q129" s="487"/>
      <c r="R129" s="487"/>
      <c r="S129" s="487"/>
      <c r="T129" s="487"/>
      <c r="U129" s="487"/>
      <c r="V129" s="487"/>
      <c r="W129" s="487"/>
      <c r="X129" s="487"/>
      <c r="Y129" s="487"/>
      <c r="Z129" s="487"/>
      <c r="AA129" s="487"/>
      <c r="AB129" s="487"/>
      <c r="AC129" s="487"/>
      <c r="AD129" s="487"/>
      <c r="AE129" s="487"/>
      <c r="AF129" s="487"/>
    </row>
    <row r="130" spans="2:32">
      <c r="Q130" s="487"/>
      <c r="R130" s="487"/>
      <c r="S130" s="487"/>
      <c r="T130" s="487"/>
      <c r="U130" s="487"/>
      <c r="V130" s="487"/>
      <c r="W130" s="487"/>
      <c r="X130" s="487"/>
      <c r="Y130" s="487"/>
      <c r="Z130" s="487"/>
      <c r="AA130" s="487"/>
      <c r="AB130" s="487"/>
      <c r="AC130" s="487"/>
      <c r="AD130" s="487"/>
      <c r="AE130" s="487"/>
      <c r="AF130" s="487"/>
    </row>
    <row r="131" spans="2:32">
      <c r="Q131" s="487"/>
      <c r="R131" s="487"/>
      <c r="S131" s="487"/>
      <c r="T131" s="487"/>
      <c r="U131" s="487"/>
      <c r="V131" s="487"/>
      <c r="W131" s="487"/>
      <c r="X131" s="487"/>
      <c r="Y131" s="487"/>
      <c r="Z131" s="487"/>
      <c r="AA131" s="487"/>
      <c r="AB131" s="487"/>
      <c r="AC131" s="487"/>
      <c r="AD131" s="487"/>
      <c r="AE131" s="487"/>
      <c r="AF131" s="487"/>
    </row>
    <row r="132" spans="2:32">
      <c r="Q132" s="487"/>
      <c r="R132" s="487"/>
      <c r="S132" s="487"/>
      <c r="T132" s="487"/>
      <c r="U132" s="487"/>
      <c r="V132" s="487"/>
      <c r="W132" s="487"/>
      <c r="X132" s="487"/>
      <c r="Y132" s="487"/>
      <c r="Z132" s="487"/>
      <c r="AA132" s="487"/>
      <c r="AB132" s="487"/>
      <c r="AC132" s="487"/>
      <c r="AD132" s="487"/>
      <c r="AE132" s="487"/>
      <c r="AF132" s="487"/>
    </row>
    <row r="133" spans="2:32">
      <c r="B133" s="487"/>
      <c r="C133" s="487"/>
      <c r="D133" s="487"/>
      <c r="E133" s="487"/>
      <c r="F133" s="487"/>
      <c r="G133" s="487"/>
      <c r="H133" s="487"/>
      <c r="I133" s="487"/>
      <c r="J133" s="487"/>
      <c r="K133" s="487"/>
      <c r="L133" s="487"/>
      <c r="M133" s="487"/>
      <c r="Q133" s="487"/>
      <c r="R133" s="487"/>
      <c r="S133" s="487"/>
      <c r="T133" s="487"/>
      <c r="U133" s="487"/>
      <c r="V133" s="487"/>
      <c r="W133" s="487"/>
      <c r="X133" s="487"/>
      <c r="Y133" s="487"/>
      <c r="Z133" s="487"/>
      <c r="AA133" s="487"/>
      <c r="AB133" s="487"/>
      <c r="AC133" s="487"/>
      <c r="AD133" s="487"/>
      <c r="AE133" s="487"/>
      <c r="AF133" s="487"/>
    </row>
    <row r="134" spans="2:32">
      <c r="B134" s="487"/>
      <c r="C134" s="487"/>
      <c r="D134" s="487"/>
      <c r="E134" s="487"/>
      <c r="F134" s="487"/>
      <c r="G134" s="487"/>
      <c r="H134" s="487"/>
      <c r="I134" s="487"/>
      <c r="J134" s="487"/>
      <c r="K134" s="487"/>
      <c r="L134" s="487"/>
      <c r="M134" s="487"/>
      <c r="Q134" s="487"/>
      <c r="R134" s="487"/>
      <c r="S134" s="487"/>
      <c r="T134" s="487"/>
      <c r="U134" s="487"/>
      <c r="V134" s="487"/>
      <c r="W134" s="487"/>
      <c r="X134" s="487"/>
      <c r="Y134" s="487"/>
      <c r="Z134" s="487"/>
      <c r="AA134" s="487"/>
      <c r="AB134" s="487"/>
      <c r="AC134" s="487"/>
      <c r="AD134" s="487"/>
      <c r="AE134" s="487"/>
      <c r="AF134" s="487"/>
    </row>
    <row r="135" spans="2:32">
      <c r="B135" s="487"/>
      <c r="C135" s="487"/>
      <c r="D135" s="487"/>
      <c r="E135" s="487"/>
      <c r="F135" s="487"/>
      <c r="G135" s="487"/>
      <c r="H135" s="487"/>
      <c r="I135" s="487"/>
      <c r="J135" s="487"/>
      <c r="K135" s="487"/>
      <c r="L135" s="487"/>
      <c r="M135" s="487"/>
      <c r="Q135" s="487"/>
      <c r="R135" s="487"/>
      <c r="S135" s="487"/>
      <c r="T135" s="487"/>
      <c r="U135" s="487"/>
      <c r="V135" s="487"/>
      <c r="W135" s="487"/>
      <c r="X135" s="487"/>
      <c r="Y135" s="487"/>
      <c r="Z135" s="487"/>
      <c r="AA135" s="487"/>
      <c r="AB135" s="487"/>
      <c r="AC135" s="487"/>
      <c r="AD135" s="487"/>
      <c r="AE135" s="487"/>
      <c r="AF135" s="487"/>
    </row>
    <row r="136" spans="2:32">
      <c r="B136" s="487"/>
      <c r="C136" s="487"/>
      <c r="D136" s="487"/>
      <c r="E136" s="487"/>
      <c r="F136" s="487"/>
      <c r="G136" s="487"/>
      <c r="H136" s="487"/>
      <c r="I136" s="487"/>
      <c r="J136" s="487"/>
      <c r="K136" s="487"/>
      <c r="L136" s="487"/>
      <c r="M136" s="487"/>
      <c r="Q136" s="487"/>
      <c r="R136" s="487"/>
      <c r="S136" s="487"/>
      <c r="T136" s="487"/>
      <c r="U136" s="487"/>
      <c r="V136" s="487"/>
      <c r="W136" s="487"/>
      <c r="X136" s="487"/>
      <c r="Y136" s="487"/>
      <c r="Z136" s="487"/>
      <c r="AA136" s="487"/>
      <c r="AB136" s="487"/>
      <c r="AC136" s="487"/>
      <c r="AD136" s="487"/>
      <c r="AE136" s="487"/>
      <c r="AF136" s="487"/>
    </row>
    <row r="137" spans="2:32">
      <c r="B137" s="487"/>
      <c r="C137" s="487"/>
      <c r="D137" s="487"/>
      <c r="E137" s="487"/>
      <c r="F137" s="487"/>
      <c r="G137" s="487"/>
      <c r="H137" s="487"/>
      <c r="I137" s="487"/>
      <c r="J137" s="487"/>
      <c r="K137" s="487"/>
      <c r="L137" s="487"/>
      <c r="M137" s="487"/>
      <c r="Q137" s="487"/>
      <c r="R137" s="487"/>
      <c r="S137" s="487"/>
      <c r="T137" s="487"/>
      <c r="U137" s="487"/>
      <c r="V137" s="487"/>
      <c r="W137" s="487"/>
      <c r="X137" s="487"/>
      <c r="Y137" s="487"/>
      <c r="Z137" s="487"/>
      <c r="AA137" s="487"/>
      <c r="AB137" s="487"/>
      <c r="AC137" s="487"/>
      <c r="AD137" s="487"/>
      <c r="AE137" s="487"/>
      <c r="AF137" s="487"/>
    </row>
    <row r="138" spans="2:32">
      <c r="B138" s="487"/>
      <c r="C138" s="487"/>
      <c r="D138" s="487"/>
      <c r="E138" s="487"/>
      <c r="F138" s="487"/>
      <c r="G138" s="487"/>
      <c r="H138" s="487"/>
      <c r="I138" s="487"/>
      <c r="J138" s="487"/>
      <c r="K138" s="487"/>
      <c r="L138" s="487"/>
      <c r="M138" s="487"/>
      <c r="Q138" s="487"/>
      <c r="R138" s="487"/>
      <c r="S138" s="487"/>
      <c r="T138" s="487"/>
      <c r="U138" s="487"/>
      <c r="V138" s="487"/>
      <c r="W138" s="487"/>
      <c r="X138" s="487"/>
      <c r="Y138" s="487"/>
      <c r="Z138" s="487"/>
      <c r="AA138" s="487"/>
      <c r="AB138" s="487"/>
      <c r="AC138" s="487"/>
      <c r="AD138" s="487"/>
      <c r="AE138" s="487"/>
      <c r="AF138" s="487"/>
    </row>
    <row r="139" spans="2:32">
      <c r="B139" s="487"/>
      <c r="C139" s="487"/>
      <c r="D139" s="487"/>
      <c r="E139" s="487"/>
      <c r="F139" s="487"/>
      <c r="G139" s="487"/>
      <c r="H139" s="487"/>
      <c r="I139" s="487"/>
      <c r="J139" s="487"/>
      <c r="K139" s="487"/>
      <c r="L139" s="487"/>
      <c r="M139" s="487"/>
      <c r="Q139" s="487"/>
      <c r="R139" s="487"/>
      <c r="S139" s="487"/>
      <c r="T139" s="487"/>
      <c r="U139" s="487"/>
      <c r="V139" s="487"/>
      <c r="W139" s="487"/>
      <c r="X139" s="487"/>
      <c r="Y139" s="487"/>
      <c r="Z139" s="487"/>
      <c r="AA139" s="487"/>
      <c r="AB139" s="487"/>
      <c r="AC139" s="487"/>
      <c r="AD139" s="487"/>
      <c r="AE139" s="487"/>
      <c r="AF139" s="487"/>
    </row>
    <row r="140" spans="2:32">
      <c r="B140" s="487"/>
      <c r="C140" s="487"/>
      <c r="D140" s="487"/>
      <c r="E140" s="487"/>
      <c r="F140" s="487"/>
      <c r="G140" s="487"/>
      <c r="H140" s="487"/>
      <c r="I140" s="487"/>
      <c r="J140" s="487"/>
      <c r="K140" s="487"/>
      <c r="L140" s="487"/>
      <c r="M140" s="487"/>
      <c r="Q140" s="487"/>
      <c r="R140" s="487"/>
      <c r="S140" s="487"/>
      <c r="T140" s="487"/>
      <c r="U140" s="487"/>
      <c r="V140" s="487"/>
      <c r="W140" s="487"/>
      <c r="X140" s="487"/>
      <c r="Y140" s="487"/>
      <c r="Z140" s="487"/>
      <c r="AA140" s="487"/>
      <c r="AB140" s="487"/>
      <c r="AC140" s="487"/>
      <c r="AD140" s="487"/>
      <c r="AE140" s="487"/>
      <c r="AF140" s="487"/>
    </row>
    <row r="141" spans="2:32">
      <c r="B141" s="487"/>
      <c r="C141" s="487"/>
      <c r="D141" s="487"/>
      <c r="E141" s="487"/>
      <c r="F141" s="487"/>
      <c r="G141" s="487"/>
      <c r="H141" s="487"/>
      <c r="I141" s="487"/>
      <c r="J141" s="487"/>
      <c r="K141" s="487"/>
      <c r="L141" s="487"/>
      <c r="M141" s="487"/>
      <c r="Q141" s="487"/>
      <c r="R141" s="487"/>
      <c r="S141" s="487"/>
      <c r="T141" s="487"/>
      <c r="U141" s="487"/>
      <c r="V141" s="487"/>
      <c r="W141" s="487"/>
      <c r="X141" s="487"/>
      <c r="Y141" s="487"/>
      <c r="Z141" s="487"/>
      <c r="AA141" s="487"/>
      <c r="AB141" s="487"/>
      <c r="AC141" s="487"/>
      <c r="AD141" s="487"/>
      <c r="AE141" s="487"/>
      <c r="AF141" s="487"/>
    </row>
    <row r="142" spans="2:32">
      <c r="B142" s="487"/>
      <c r="C142" s="487"/>
      <c r="D142" s="487"/>
      <c r="E142" s="487"/>
      <c r="F142" s="487"/>
      <c r="G142" s="487"/>
      <c r="H142" s="487"/>
      <c r="I142" s="487"/>
      <c r="J142" s="487"/>
      <c r="K142" s="487"/>
      <c r="L142" s="487"/>
      <c r="M142" s="487"/>
      <c r="Q142" s="487"/>
      <c r="R142" s="487"/>
      <c r="S142" s="487"/>
      <c r="T142" s="487"/>
      <c r="U142" s="487"/>
      <c r="V142" s="487"/>
      <c r="W142" s="487"/>
      <c r="X142" s="487"/>
      <c r="Y142" s="487"/>
      <c r="Z142" s="487"/>
      <c r="AA142" s="487"/>
      <c r="AB142" s="487"/>
      <c r="AC142" s="487"/>
      <c r="AD142" s="487"/>
      <c r="AE142" s="487"/>
      <c r="AF142" s="487"/>
    </row>
    <row r="143" spans="2:32">
      <c r="B143" s="487"/>
      <c r="C143" s="487"/>
      <c r="D143" s="487"/>
      <c r="E143" s="487"/>
      <c r="F143" s="487"/>
      <c r="G143" s="487"/>
      <c r="H143" s="487"/>
      <c r="I143" s="487"/>
      <c r="J143" s="487"/>
      <c r="K143" s="487"/>
      <c r="L143" s="487"/>
      <c r="M143" s="487"/>
      <c r="Q143" s="487"/>
      <c r="R143" s="487"/>
      <c r="S143" s="487"/>
      <c r="T143" s="487"/>
      <c r="U143" s="487"/>
      <c r="V143" s="487"/>
      <c r="W143" s="487"/>
      <c r="X143" s="487"/>
      <c r="Y143" s="487"/>
      <c r="Z143" s="487"/>
      <c r="AA143" s="487"/>
      <c r="AB143" s="487"/>
      <c r="AC143" s="487"/>
      <c r="AD143" s="487"/>
      <c r="AE143" s="487"/>
      <c r="AF143" s="487"/>
    </row>
    <row r="144" spans="2:32">
      <c r="B144" s="487"/>
      <c r="C144" s="487"/>
      <c r="D144" s="487"/>
      <c r="E144" s="487"/>
      <c r="F144" s="487"/>
      <c r="G144" s="487"/>
      <c r="H144" s="487"/>
      <c r="I144" s="487"/>
      <c r="J144" s="487"/>
      <c r="K144" s="487"/>
      <c r="L144" s="487"/>
      <c r="M144" s="487"/>
      <c r="Q144" s="487"/>
      <c r="R144" s="487"/>
      <c r="S144" s="487"/>
      <c r="T144" s="487"/>
      <c r="U144" s="487"/>
      <c r="V144" s="487"/>
      <c r="W144" s="487"/>
      <c r="X144" s="487"/>
      <c r="Y144" s="487"/>
      <c r="Z144" s="487"/>
      <c r="AA144" s="487"/>
      <c r="AB144" s="487"/>
      <c r="AC144" s="487"/>
      <c r="AD144" s="487"/>
      <c r="AE144" s="487"/>
      <c r="AF144" s="487"/>
    </row>
    <row r="145" spans="2:32">
      <c r="B145" s="487"/>
      <c r="C145" s="487"/>
      <c r="D145" s="487"/>
      <c r="E145" s="487"/>
      <c r="F145" s="487"/>
      <c r="G145" s="487"/>
      <c r="H145" s="487"/>
      <c r="I145" s="487"/>
      <c r="J145" s="487"/>
      <c r="K145" s="487"/>
      <c r="L145" s="487"/>
      <c r="M145" s="487"/>
      <c r="Q145" s="487"/>
      <c r="R145" s="487"/>
      <c r="S145" s="487"/>
      <c r="T145" s="487"/>
      <c r="U145" s="487"/>
      <c r="V145" s="487"/>
      <c r="W145" s="487"/>
      <c r="X145" s="487"/>
      <c r="Y145" s="487"/>
      <c r="Z145" s="487"/>
      <c r="AA145" s="487"/>
      <c r="AB145" s="487"/>
      <c r="AC145" s="487"/>
      <c r="AD145" s="487"/>
      <c r="AE145" s="487"/>
      <c r="AF145" s="487"/>
    </row>
    <row r="146" spans="2:32">
      <c r="B146" s="487"/>
      <c r="C146" s="487"/>
      <c r="D146" s="487"/>
      <c r="E146" s="487"/>
      <c r="F146" s="487"/>
      <c r="G146" s="487"/>
      <c r="H146" s="487"/>
      <c r="I146" s="487"/>
      <c r="J146" s="487"/>
      <c r="K146" s="487"/>
      <c r="L146" s="487"/>
      <c r="M146" s="487"/>
    </row>
    <row r="147" spans="2:32">
      <c r="B147" s="487"/>
      <c r="C147" s="487"/>
      <c r="D147" s="487"/>
      <c r="E147" s="487"/>
      <c r="F147" s="487"/>
      <c r="G147" s="487"/>
      <c r="H147" s="487"/>
      <c r="I147" s="487"/>
      <c r="J147" s="487"/>
      <c r="K147" s="487"/>
      <c r="L147" s="487"/>
      <c r="M147" s="487"/>
    </row>
    <row r="148" spans="2:32">
      <c r="B148" s="487"/>
      <c r="C148" s="487"/>
      <c r="D148" s="487"/>
      <c r="E148" s="487"/>
      <c r="F148" s="487"/>
      <c r="G148" s="487"/>
      <c r="H148" s="487"/>
      <c r="I148" s="487"/>
      <c r="J148" s="487"/>
      <c r="K148" s="487"/>
      <c r="L148" s="487"/>
      <c r="M148" s="487"/>
    </row>
    <row r="149" spans="2:32">
      <c r="B149" s="487"/>
      <c r="C149" s="487"/>
      <c r="D149" s="487"/>
      <c r="E149" s="487"/>
      <c r="F149" s="487"/>
      <c r="G149" s="487"/>
      <c r="H149" s="487"/>
      <c r="I149" s="487"/>
      <c r="J149" s="487"/>
      <c r="K149" s="487"/>
      <c r="L149" s="487"/>
      <c r="M149" s="487"/>
    </row>
    <row r="150" spans="2:32">
      <c r="B150" s="487"/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487"/>
    </row>
    <row r="151" spans="2:32">
      <c r="B151" s="487"/>
      <c r="C151" s="487"/>
      <c r="D151" s="487"/>
      <c r="E151" s="487"/>
      <c r="F151" s="487"/>
      <c r="G151" s="487"/>
      <c r="H151" s="487"/>
      <c r="I151" s="487"/>
      <c r="J151" s="487"/>
      <c r="K151" s="487"/>
      <c r="L151" s="487"/>
      <c r="M151" s="487"/>
    </row>
    <row r="152" spans="2:32">
      <c r="B152" s="487"/>
      <c r="C152" s="487"/>
      <c r="D152" s="487"/>
      <c r="E152" s="487"/>
      <c r="F152" s="487"/>
      <c r="G152" s="487"/>
      <c r="H152" s="487"/>
      <c r="I152" s="487"/>
      <c r="J152" s="487"/>
      <c r="K152" s="487"/>
      <c r="L152" s="487"/>
      <c r="M152" s="487"/>
    </row>
    <row r="153" spans="2:32">
      <c r="B153" s="487"/>
      <c r="C153" s="487"/>
      <c r="D153" s="487"/>
      <c r="E153" s="487"/>
      <c r="F153" s="487"/>
      <c r="G153" s="487"/>
      <c r="H153" s="487"/>
      <c r="I153" s="487"/>
      <c r="J153" s="487"/>
      <c r="K153" s="487"/>
      <c r="L153" s="487"/>
      <c r="M153" s="487"/>
    </row>
    <row r="154" spans="2:32">
      <c r="B154" s="487"/>
      <c r="C154" s="487"/>
      <c r="D154" s="487"/>
      <c r="E154" s="487"/>
      <c r="F154" s="487"/>
      <c r="G154" s="487"/>
      <c r="H154" s="487"/>
      <c r="I154" s="487"/>
      <c r="J154" s="487"/>
      <c r="K154" s="487"/>
      <c r="L154" s="487"/>
      <c r="M154" s="487"/>
    </row>
    <row r="155" spans="2:32">
      <c r="B155" s="487"/>
      <c r="C155" s="487"/>
      <c r="D155" s="487"/>
      <c r="E155" s="487"/>
      <c r="F155" s="487"/>
      <c r="G155" s="487"/>
      <c r="H155" s="487"/>
      <c r="I155" s="487"/>
      <c r="J155" s="487"/>
      <c r="K155" s="487"/>
      <c r="L155" s="487"/>
      <c r="M155" s="487"/>
    </row>
    <row r="156" spans="2:32">
      <c r="B156" s="487"/>
      <c r="C156" s="487"/>
      <c r="D156" s="487"/>
      <c r="E156" s="487"/>
      <c r="F156" s="487"/>
      <c r="G156" s="487"/>
      <c r="H156" s="487"/>
      <c r="I156" s="487"/>
      <c r="J156" s="487"/>
      <c r="K156" s="487"/>
      <c r="L156" s="487"/>
      <c r="M156" s="487"/>
    </row>
    <row r="157" spans="2:32">
      <c r="B157" s="487"/>
      <c r="C157" s="487"/>
      <c r="D157" s="487"/>
      <c r="E157" s="487"/>
      <c r="F157" s="487"/>
      <c r="G157" s="487"/>
      <c r="H157" s="487"/>
      <c r="I157" s="487"/>
      <c r="J157" s="487"/>
      <c r="K157" s="487"/>
      <c r="L157" s="487"/>
      <c r="M157" s="487"/>
    </row>
    <row r="158" spans="2:32">
      <c r="B158" s="487"/>
      <c r="C158" s="487"/>
      <c r="D158" s="487"/>
      <c r="E158" s="487"/>
      <c r="F158" s="487"/>
      <c r="G158" s="487"/>
      <c r="H158" s="487"/>
      <c r="I158" s="487"/>
      <c r="J158" s="487"/>
      <c r="K158" s="487"/>
      <c r="L158" s="487"/>
      <c r="M158" s="487"/>
    </row>
    <row r="159" spans="2:32">
      <c r="B159" s="487"/>
      <c r="C159" s="487"/>
      <c r="D159" s="487"/>
      <c r="E159" s="487"/>
      <c r="F159" s="487"/>
      <c r="G159" s="487"/>
      <c r="H159" s="487"/>
      <c r="I159" s="487"/>
      <c r="J159" s="487"/>
      <c r="K159" s="487"/>
      <c r="L159" s="487"/>
      <c r="M159" s="487"/>
    </row>
    <row r="160" spans="2:32">
      <c r="B160" s="487"/>
      <c r="C160" s="487"/>
      <c r="D160" s="487"/>
      <c r="E160" s="487"/>
      <c r="F160" s="487"/>
      <c r="G160" s="487"/>
      <c r="H160" s="487"/>
      <c r="I160" s="487"/>
      <c r="J160" s="487"/>
      <c r="K160" s="487"/>
      <c r="L160" s="487"/>
      <c r="M160" s="487"/>
    </row>
    <row r="161" spans="2:13">
      <c r="B161" s="487"/>
      <c r="C161" s="487"/>
      <c r="D161" s="487"/>
      <c r="E161" s="487"/>
      <c r="F161" s="487"/>
      <c r="G161" s="487"/>
      <c r="H161" s="487"/>
      <c r="I161" s="487"/>
      <c r="J161" s="487"/>
      <c r="K161" s="487"/>
      <c r="L161" s="487"/>
      <c r="M161" s="487"/>
    </row>
    <row r="162" spans="2:13">
      <c r="B162" s="487"/>
      <c r="C162" s="487"/>
      <c r="D162" s="487"/>
      <c r="E162" s="487"/>
      <c r="F162" s="487"/>
      <c r="G162" s="487"/>
      <c r="H162" s="487"/>
      <c r="I162" s="487"/>
      <c r="J162" s="487"/>
      <c r="K162" s="487"/>
      <c r="L162" s="487"/>
      <c r="M162" s="487"/>
    </row>
    <row r="163" spans="2:13">
      <c r="B163" s="487"/>
      <c r="C163" s="487"/>
      <c r="D163" s="487"/>
      <c r="E163" s="487"/>
      <c r="F163" s="487"/>
      <c r="G163" s="487"/>
      <c r="H163" s="487"/>
      <c r="I163" s="487"/>
      <c r="J163" s="487"/>
      <c r="K163" s="487"/>
      <c r="L163" s="487"/>
      <c r="M163" s="487"/>
    </row>
    <row r="164" spans="2:13">
      <c r="B164" s="487"/>
      <c r="C164" s="487"/>
      <c r="D164" s="487"/>
      <c r="E164" s="487"/>
      <c r="F164" s="487"/>
      <c r="G164" s="487"/>
      <c r="H164" s="487"/>
      <c r="I164" s="487"/>
      <c r="J164" s="487"/>
      <c r="K164" s="487"/>
      <c r="L164" s="487"/>
      <c r="M164" s="487"/>
    </row>
    <row r="165" spans="2:13">
      <c r="B165" s="487"/>
      <c r="C165" s="487"/>
      <c r="D165" s="487"/>
      <c r="E165" s="487"/>
      <c r="F165" s="487"/>
      <c r="G165" s="487"/>
      <c r="H165" s="487"/>
      <c r="I165" s="487"/>
      <c r="J165" s="487"/>
      <c r="K165" s="487"/>
      <c r="L165" s="487"/>
      <c r="M165" s="487"/>
    </row>
    <row r="166" spans="2:13">
      <c r="B166" s="487"/>
      <c r="C166" s="487"/>
      <c r="D166" s="487"/>
      <c r="E166" s="487"/>
      <c r="F166" s="487"/>
      <c r="G166" s="487"/>
      <c r="H166" s="487"/>
      <c r="I166" s="487"/>
      <c r="J166" s="487"/>
      <c r="K166" s="487"/>
      <c r="L166" s="487"/>
      <c r="M166" s="487"/>
    </row>
    <row r="167" spans="2:13">
      <c r="B167" s="487"/>
      <c r="C167" s="487"/>
      <c r="D167" s="487"/>
      <c r="E167" s="487"/>
      <c r="F167" s="487"/>
      <c r="G167" s="487"/>
      <c r="H167" s="487"/>
      <c r="I167" s="487"/>
      <c r="J167" s="487"/>
      <c r="K167" s="487"/>
      <c r="L167" s="487"/>
      <c r="M167" s="487"/>
    </row>
    <row r="168" spans="2:13">
      <c r="B168" s="487"/>
      <c r="C168" s="487"/>
      <c r="D168" s="487"/>
      <c r="E168" s="487"/>
      <c r="F168" s="487"/>
      <c r="G168" s="487"/>
      <c r="H168" s="487"/>
      <c r="I168" s="487"/>
      <c r="J168" s="487"/>
      <c r="K168" s="487"/>
      <c r="L168" s="487"/>
      <c r="M168" s="487"/>
    </row>
    <row r="169" spans="2:13">
      <c r="B169" s="487"/>
      <c r="C169" s="487"/>
      <c r="D169" s="487"/>
      <c r="E169" s="487"/>
      <c r="F169" s="487"/>
      <c r="G169" s="487"/>
      <c r="H169" s="487"/>
      <c r="I169" s="487"/>
      <c r="J169" s="487"/>
      <c r="K169" s="487"/>
      <c r="L169" s="487"/>
      <c r="M169" s="487"/>
    </row>
    <row r="170" spans="2:13">
      <c r="B170" s="487"/>
      <c r="C170" s="487"/>
      <c r="D170" s="487"/>
      <c r="E170" s="487"/>
      <c r="F170" s="487"/>
      <c r="G170" s="487"/>
      <c r="H170" s="487"/>
      <c r="I170" s="487"/>
      <c r="J170" s="487"/>
      <c r="K170" s="487"/>
      <c r="L170" s="487"/>
      <c r="M170" s="487"/>
    </row>
    <row r="171" spans="2:13">
      <c r="B171" s="487"/>
      <c r="C171" s="487"/>
      <c r="D171" s="487"/>
      <c r="E171" s="487"/>
      <c r="F171" s="487"/>
      <c r="G171" s="487"/>
      <c r="H171" s="487"/>
      <c r="I171" s="487"/>
      <c r="J171" s="487"/>
      <c r="K171" s="487"/>
      <c r="L171" s="487"/>
      <c r="M171" s="487"/>
    </row>
    <row r="172" spans="2:13">
      <c r="B172" s="487"/>
      <c r="C172" s="487"/>
      <c r="D172" s="487"/>
      <c r="E172" s="487"/>
      <c r="F172" s="487"/>
      <c r="G172" s="487"/>
      <c r="H172" s="487"/>
      <c r="I172" s="487"/>
      <c r="J172" s="487"/>
      <c r="K172" s="487"/>
      <c r="L172" s="487"/>
      <c r="M172" s="487"/>
    </row>
    <row r="173" spans="2:13">
      <c r="B173" s="487"/>
      <c r="C173" s="487"/>
      <c r="D173" s="487"/>
      <c r="E173" s="487"/>
      <c r="F173" s="487"/>
      <c r="G173" s="487"/>
      <c r="H173" s="487"/>
      <c r="I173" s="487"/>
      <c r="J173" s="487"/>
      <c r="K173" s="487"/>
      <c r="L173" s="487"/>
      <c r="M173" s="487"/>
    </row>
    <row r="174" spans="2:13">
      <c r="B174" s="487"/>
      <c r="C174" s="487"/>
      <c r="D174" s="487"/>
      <c r="E174" s="487"/>
      <c r="F174" s="487"/>
      <c r="G174" s="487"/>
      <c r="H174" s="487"/>
      <c r="I174" s="487"/>
      <c r="J174" s="487"/>
      <c r="K174" s="487"/>
      <c r="L174" s="487"/>
      <c r="M174" s="487"/>
    </row>
    <row r="175" spans="2:13">
      <c r="B175" s="487"/>
      <c r="C175" s="487"/>
      <c r="D175" s="487"/>
      <c r="E175" s="487"/>
      <c r="F175" s="487"/>
      <c r="G175" s="487"/>
      <c r="H175" s="487"/>
      <c r="I175" s="487"/>
      <c r="J175" s="487"/>
      <c r="K175" s="487"/>
      <c r="L175" s="487"/>
      <c r="M175" s="487"/>
    </row>
    <row r="176" spans="2:13">
      <c r="B176" s="487"/>
      <c r="C176" s="487"/>
      <c r="D176" s="487"/>
      <c r="E176" s="487"/>
      <c r="F176" s="487"/>
      <c r="G176" s="487"/>
      <c r="H176" s="487"/>
      <c r="I176" s="487"/>
      <c r="J176" s="487"/>
      <c r="K176" s="487"/>
      <c r="L176" s="487"/>
      <c r="M176" s="487"/>
    </row>
    <row r="177" spans="2:13">
      <c r="B177" s="487"/>
      <c r="C177" s="487"/>
      <c r="D177" s="487"/>
      <c r="E177" s="487"/>
      <c r="F177" s="487"/>
      <c r="G177" s="487"/>
      <c r="H177" s="487"/>
      <c r="I177" s="487"/>
      <c r="J177" s="487"/>
      <c r="K177" s="487"/>
      <c r="L177" s="487"/>
      <c r="M177" s="487"/>
    </row>
    <row r="178" spans="2:13">
      <c r="B178" s="487"/>
      <c r="C178" s="487"/>
      <c r="D178" s="487"/>
      <c r="E178" s="487"/>
      <c r="F178" s="487"/>
      <c r="G178" s="487"/>
      <c r="H178" s="487"/>
      <c r="I178" s="487"/>
      <c r="J178" s="487"/>
      <c r="K178" s="487"/>
      <c r="L178" s="487"/>
      <c r="M178" s="487"/>
    </row>
    <row r="179" spans="2:13">
      <c r="B179" s="487"/>
      <c r="C179" s="487"/>
      <c r="D179" s="487"/>
      <c r="E179" s="487"/>
      <c r="F179" s="487"/>
      <c r="G179" s="487"/>
      <c r="H179" s="487"/>
      <c r="I179" s="487"/>
      <c r="J179" s="487"/>
      <c r="K179" s="487"/>
      <c r="L179" s="487"/>
      <c r="M179" s="487"/>
    </row>
    <row r="180" spans="2:13">
      <c r="B180" s="487"/>
      <c r="C180" s="487"/>
      <c r="D180" s="487"/>
      <c r="E180" s="487"/>
      <c r="F180" s="487"/>
      <c r="G180" s="487"/>
      <c r="H180" s="487"/>
      <c r="I180" s="487"/>
      <c r="J180" s="487"/>
      <c r="K180" s="487"/>
      <c r="L180" s="487"/>
      <c r="M180" s="487"/>
    </row>
    <row r="181" spans="2:13">
      <c r="B181" s="487"/>
      <c r="C181" s="487"/>
      <c r="D181" s="487"/>
      <c r="E181" s="487"/>
      <c r="F181" s="487"/>
      <c r="G181" s="487"/>
      <c r="H181" s="487"/>
      <c r="I181" s="487"/>
      <c r="J181" s="487"/>
      <c r="K181" s="487"/>
      <c r="L181" s="487"/>
      <c r="M181" s="487"/>
    </row>
    <row r="182" spans="2:13">
      <c r="B182" s="487"/>
      <c r="C182" s="487"/>
      <c r="D182" s="487"/>
      <c r="E182" s="487"/>
      <c r="F182" s="487"/>
      <c r="G182" s="487"/>
      <c r="H182" s="487"/>
      <c r="I182" s="487"/>
      <c r="J182" s="487"/>
      <c r="K182" s="487"/>
      <c r="L182" s="487"/>
      <c r="M182" s="487"/>
    </row>
    <row r="183" spans="2:13">
      <c r="B183" s="487"/>
      <c r="C183" s="487"/>
      <c r="D183" s="487"/>
      <c r="E183" s="487"/>
      <c r="F183" s="487"/>
      <c r="G183" s="487"/>
      <c r="H183" s="487"/>
      <c r="I183" s="487"/>
      <c r="J183" s="487"/>
      <c r="K183" s="487"/>
      <c r="L183" s="487"/>
      <c r="M183" s="487"/>
    </row>
    <row r="184" spans="2:13">
      <c r="B184" s="487"/>
      <c r="C184" s="487"/>
      <c r="D184" s="487"/>
      <c r="E184" s="487"/>
      <c r="F184" s="487"/>
      <c r="G184" s="487"/>
      <c r="H184" s="487"/>
      <c r="I184" s="487"/>
      <c r="J184" s="487"/>
      <c r="K184" s="487"/>
      <c r="L184" s="487"/>
      <c r="M184" s="487"/>
    </row>
    <row r="185" spans="2:13">
      <c r="B185" s="487"/>
      <c r="C185" s="487"/>
      <c r="D185" s="487"/>
      <c r="E185" s="487"/>
      <c r="F185" s="487"/>
      <c r="G185" s="487"/>
      <c r="H185" s="487"/>
      <c r="I185" s="487"/>
      <c r="J185" s="487"/>
      <c r="K185" s="487"/>
      <c r="L185" s="487"/>
      <c r="M185" s="487"/>
    </row>
    <row r="186" spans="2:13">
      <c r="B186" s="487"/>
      <c r="C186" s="487"/>
      <c r="D186" s="487"/>
      <c r="E186" s="487"/>
      <c r="F186" s="487"/>
      <c r="G186" s="487"/>
      <c r="H186" s="487"/>
      <c r="I186" s="487"/>
      <c r="J186" s="487"/>
      <c r="K186" s="487"/>
      <c r="L186" s="487"/>
      <c r="M186" s="487"/>
    </row>
    <row r="187" spans="2:13">
      <c r="B187" s="487"/>
      <c r="C187" s="487"/>
      <c r="D187" s="487"/>
      <c r="E187" s="487"/>
      <c r="F187" s="487"/>
      <c r="G187" s="487"/>
      <c r="H187" s="487"/>
      <c r="I187" s="487"/>
      <c r="J187" s="487"/>
      <c r="K187" s="487"/>
      <c r="L187" s="487"/>
      <c r="M187" s="487"/>
    </row>
    <row r="188" spans="2:13">
      <c r="B188" s="487"/>
      <c r="C188" s="487"/>
      <c r="D188" s="487"/>
      <c r="E188" s="487"/>
      <c r="F188" s="487"/>
      <c r="G188" s="487"/>
      <c r="H188" s="487"/>
      <c r="I188" s="487"/>
      <c r="J188" s="487"/>
      <c r="K188" s="487"/>
      <c r="L188" s="487"/>
      <c r="M188" s="487"/>
    </row>
    <row r="189" spans="2:13">
      <c r="B189" s="487"/>
      <c r="C189" s="487"/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</row>
    <row r="190" spans="2:13">
      <c r="B190" s="487"/>
      <c r="C190" s="487"/>
      <c r="D190" s="487"/>
      <c r="E190" s="487"/>
      <c r="F190" s="487"/>
      <c r="G190" s="487"/>
      <c r="H190" s="487"/>
      <c r="I190" s="487"/>
      <c r="J190" s="487"/>
      <c r="K190" s="487"/>
      <c r="L190" s="487"/>
      <c r="M190" s="487"/>
    </row>
    <row r="191" spans="2:13">
      <c r="B191" s="487"/>
      <c r="C191" s="487"/>
      <c r="D191" s="487"/>
      <c r="E191" s="487"/>
      <c r="F191" s="487"/>
      <c r="G191" s="487"/>
      <c r="H191" s="487"/>
      <c r="I191" s="487"/>
      <c r="J191" s="487"/>
      <c r="K191" s="487"/>
      <c r="L191" s="487"/>
      <c r="M191" s="487"/>
    </row>
    <row r="192" spans="2:13">
      <c r="B192" s="487"/>
      <c r="C192" s="487"/>
      <c r="D192" s="487"/>
      <c r="E192" s="487"/>
      <c r="F192" s="487"/>
      <c r="G192" s="487"/>
      <c r="H192" s="487"/>
      <c r="I192" s="487"/>
      <c r="J192" s="487"/>
      <c r="K192" s="487"/>
      <c r="L192" s="487"/>
      <c r="M192" s="487"/>
    </row>
    <row r="193" spans="2:13">
      <c r="B193" s="487"/>
      <c r="C193" s="487"/>
      <c r="D193" s="487"/>
      <c r="E193" s="487"/>
      <c r="F193" s="487"/>
      <c r="G193" s="487"/>
      <c r="H193" s="487"/>
      <c r="I193" s="487"/>
      <c r="J193" s="487"/>
      <c r="K193" s="487"/>
      <c r="L193" s="487"/>
      <c r="M193" s="487"/>
    </row>
    <row r="194" spans="2:13">
      <c r="B194" s="487"/>
      <c r="C194" s="487"/>
      <c r="D194" s="487"/>
      <c r="E194" s="487"/>
      <c r="F194" s="487"/>
      <c r="G194" s="487"/>
      <c r="H194" s="487"/>
      <c r="I194" s="487"/>
      <c r="J194" s="487"/>
      <c r="K194" s="487"/>
      <c r="L194" s="487"/>
      <c r="M194" s="487"/>
    </row>
    <row r="195" spans="2:13">
      <c r="B195" s="487"/>
      <c r="C195" s="487"/>
      <c r="D195" s="487"/>
      <c r="E195" s="487"/>
      <c r="F195" s="487"/>
      <c r="G195" s="487"/>
      <c r="H195" s="487"/>
      <c r="I195" s="487"/>
      <c r="J195" s="487"/>
      <c r="K195" s="487"/>
      <c r="L195" s="487"/>
      <c r="M195" s="487"/>
    </row>
    <row r="196" spans="2:13">
      <c r="B196" s="487"/>
      <c r="C196" s="487"/>
      <c r="D196" s="487"/>
      <c r="E196" s="487"/>
      <c r="F196" s="487"/>
      <c r="G196" s="487"/>
      <c r="H196" s="487"/>
      <c r="I196" s="487"/>
      <c r="J196" s="487"/>
      <c r="K196" s="487"/>
      <c r="L196" s="487"/>
      <c r="M196" s="487"/>
    </row>
    <row r="197" spans="2:13">
      <c r="B197" s="487"/>
      <c r="C197" s="487"/>
      <c r="D197" s="487"/>
      <c r="E197" s="487"/>
      <c r="F197" s="487"/>
      <c r="G197" s="487"/>
      <c r="H197" s="487"/>
      <c r="I197" s="487"/>
      <c r="J197" s="487"/>
      <c r="K197" s="487"/>
      <c r="L197" s="487"/>
      <c r="M197" s="487"/>
    </row>
    <row r="198" spans="2:13">
      <c r="B198" s="487"/>
      <c r="C198" s="487"/>
      <c r="D198" s="487"/>
      <c r="E198" s="487"/>
      <c r="F198" s="487"/>
      <c r="G198" s="487"/>
      <c r="H198" s="487"/>
      <c r="I198" s="487"/>
      <c r="J198" s="487"/>
      <c r="K198" s="487"/>
      <c r="L198" s="487"/>
      <c r="M198" s="487"/>
    </row>
    <row r="199" spans="2:13">
      <c r="B199" s="487"/>
      <c r="C199" s="487"/>
      <c r="D199" s="487"/>
      <c r="E199" s="487"/>
      <c r="F199" s="487"/>
      <c r="G199" s="487"/>
      <c r="H199" s="487"/>
      <c r="I199" s="487"/>
      <c r="J199" s="487"/>
      <c r="K199" s="487"/>
      <c r="L199" s="487"/>
      <c r="M199" s="487"/>
    </row>
    <row r="200" spans="2:13">
      <c r="B200" s="487"/>
      <c r="C200" s="487"/>
      <c r="D200" s="487"/>
      <c r="E200" s="487"/>
      <c r="F200" s="487"/>
      <c r="G200" s="487"/>
      <c r="H200" s="487"/>
      <c r="I200" s="487"/>
      <c r="J200" s="487"/>
      <c r="K200" s="487"/>
      <c r="L200" s="487"/>
      <c r="M200" s="487"/>
    </row>
    <row r="201" spans="2:13">
      <c r="B201" s="487"/>
      <c r="C201" s="487"/>
      <c r="D201" s="487"/>
      <c r="E201" s="487"/>
      <c r="F201" s="487"/>
      <c r="G201" s="487"/>
      <c r="H201" s="487"/>
      <c r="I201" s="487"/>
      <c r="J201" s="487"/>
      <c r="K201" s="487"/>
      <c r="L201" s="487"/>
      <c r="M201" s="487"/>
    </row>
    <row r="202" spans="2:13">
      <c r="B202" s="487"/>
      <c r="C202" s="487"/>
      <c r="D202" s="487"/>
      <c r="E202" s="487"/>
      <c r="F202" s="487"/>
      <c r="G202" s="487"/>
      <c r="H202" s="487"/>
      <c r="I202" s="487"/>
      <c r="J202" s="487"/>
      <c r="K202" s="487"/>
      <c r="L202" s="487"/>
      <c r="M202" s="487"/>
    </row>
    <row r="203" spans="2:13">
      <c r="B203" s="487"/>
      <c r="C203" s="487"/>
      <c r="D203" s="487"/>
      <c r="E203" s="487"/>
      <c r="F203" s="487"/>
      <c r="G203" s="487"/>
      <c r="H203" s="487"/>
      <c r="I203" s="487"/>
      <c r="J203" s="487"/>
      <c r="K203" s="487"/>
      <c r="L203" s="487"/>
      <c r="M203" s="487"/>
    </row>
    <row r="204" spans="2:13">
      <c r="B204" s="487"/>
      <c r="C204" s="487"/>
      <c r="D204" s="487"/>
      <c r="E204" s="487"/>
      <c r="F204" s="487"/>
      <c r="G204" s="487"/>
      <c r="H204" s="487"/>
      <c r="I204" s="487"/>
      <c r="J204" s="487"/>
      <c r="K204" s="487"/>
      <c r="L204" s="487"/>
      <c r="M204" s="487"/>
    </row>
    <row r="205" spans="2:13">
      <c r="B205" s="487"/>
      <c r="C205" s="487"/>
      <c r="D205" s="487"/>
      <c r="E205" s="487"/>
      <c r="F205" s="487"/>
      <c r="G205" s="487"/>
      <c r="H205" s="487"/>
      <c r="I205" s="487"/>
      <c r="J205" s="487"/>
      <c r="K205" s="487"/>
      <c r="L205" s="487"/>
      <c r="M205" s="487"/>
    </row>
    <row r="206" spans="2:13">
      <c r="B206" s="487"/>
      <c r="C206" s="487"/>
      <c r="D206" s="487"/>
      <c r="E206" s="487"/>
      <c r="F206" s="487"/>
      <c r="G206" s="487"/>
      <c r="H206" s="487"/>
      <c r="I206" s="487"/>
      <c r="J206" s="487"/>
      <c r="K206" s="487"/>
      <c r="L206" s="487"/>
      <c r="M206" s="487"/>
    </row>
    <row r="207" spans="2:13">
      <c r="B207" s="487"/>
      <c r="C207" s="487"/>
      <c r="D207" s="487"/>
      <c r="E207" s="487"/>
      <c r="F207" s="487"/>
      <c r="G207" s="487"/>
      <c r="H207" s="487"/>
      <c r="I207" s="487"/>
      <c r="J207" s="487"/>
      <c r="K207" s="487"/>
      <c r="L207" s="487"/>
      <c r="M207" s="487"/>
    </row>
    <row r="208" spans="2:13">
      <c r="B208" s="487"/>
      <c r="C208" s="487"/>
      <c r="D208" s="487"/>
      <c r="E208" s="487"/>
      <c r="F208" s="487"/>
      <c r="G208" s="487"/>
      <c r="H208" s="487"/>
      <c r="I208" s="487"/>
      <c r="J208" s="487"/>
      <c r="K208" s="487"/>
      <c r="L208" s="487"/>
      <c r="M208" s="487"/>
    </row>
    <row r="209" spans="2:13">
      <c r="B209" s="487"/>
      <c r="C209" s="487"/>
      <c r="D209" s="487"/>
      <c r="E209" s="487"/>
      <c r="F209" s="487"/>
      <c r="G209" s="487"/>
      <c r="H209" s="487"/>
      <c r="I209" s="487"/>
      <c r="J209" s="487"/>
      <c r="K209" s="487"/>
      <c r="L209" s="487"/>
      <c r="M209" s="487"/>
    </row>
    <row r="210" spans="2:13">
      <c r="B210" s="487"/>
      <c r="C210" s="487"/>
      <c r="D210" s="487"/>
      <c r="E210" s="487"/>
      <c r="F210" s="487"/>
      <c r="G210" s="487"/>
      <c r="H210" s="487"/>
      <c r="I210" s="487"/>
      <c r="J210" s="487"/>
      <c r="K210" s="487"/>
      <c r="L210" s="487"/>
      <c r="M210" s="487"/>
    </row>
    <row r="211" spans="2:13">
      <c r="B211" s="487"/>
      <c r="C211" s="487"/>
      <c r="D211" s="487"/>
      <c r="E211" s="487"/>
      <c r="F211" s="487"/>
      <c r="G211" s="487"/>
      <c r="H211" s="487"/>
      <c r="I211" s="487"/>
      <c r="J211" s="487"/>
      <c r="K211" s="487"/>
      <c r="L211" s="487"/>
      <c r="M211" s="487"/>
    </row>
    <row r="212" spans="2:13">
      <c r="B212" s="487"/>
      <c r="C212" s="487"/>
      <c r="D212" s="487"/>
      <c r="E212" s="487"/>
      <c r="F212" s="487"/>
      <c r="G212" s="487"/>
      <c r="H212" s="487"/>
      <c r="I212" s="487"/>
      <c r="J212" s="487"/>
      <c r="K212" s="487"/>
      <c r="L212" s="487"/>
      <c r="M212" s="487"/>
    </row>
    <row r="213" spans="2:13">
      <c r="B213" s="487"/>
      <c r="C213" s="487"/>
      <c r="D213" s="487"/>
      <c r="E213" s="487"/>
      <c r="F213" s="487"/>
      <c r="G213" s="487"/>
      <c r="H213" s="487"/>
      <c r="I213" s="487"/>
      <c r="J213" s="487"/>
      <c r="K213" s="487"/>
      <c r="L213" s="487"/>
      <c r="M213" s="487"/>
    </row>
    <row r="214" spans="2:13">
      <c r="B214" s="487"/>
      <c r="C214" s="487"/>
      <c r="D214" s="487"/>
      <c r="E214" s="487"/>
      <c r="F214" s="487"/>
      <c r="G214" s="487"/>
      <c r="H214" s="487"/>
      <c r="I214" s="487"/>
      <c r="J214" s="487"/>
      <c r="K214" s="487"/>
      <c r="L214" s="487"/>
      <c r="M214" s="487"/>
    </row>
    <row r="215" spans="2:13">
      <c r="B215" s="487"/>
      <c r="C215" s="487"/>
      <c r="D215" s="487"/>
      <c r="E215" s="487"/>
      <c r="F215" s="487"/>
      <c r="G215" s="487"/>
      <c r="H215" s="487"/>
      <c r="I215" s="487"/>
      <c r="J215" s="487"/>
      <c r="K215" s="487"/>
      <c r="L215" s="487"/>
      <c r="M215" s="487"/>
    </row>
    <row r="216" spans="2:13">
      <c r="B216" s="487"/>
      <c r="C216" s="487"/>
      <c r="D216" s="487"/>
      <c r="E216" s="487"/>
      <c r="F216" s="487"/>
      <c r="G216" s="487"/>
      <c r="H216" s="487"/>
      <c r="I216" s="487"/>
      <c r="J216" s="487"/>
      <c r="K216" s="487"/>
      <c r="L216" s="487"/>
      <c r="M216" s="487"/>
    </row>
    <row r="217" spans="2:13">
      <c r="B217" s="487"/>
      <c r="C217" s="487"/>
      <c r="D217" s="487"/>
      <c r="E217" s="487"/>
      <c r="F217" s="487"/>
      <c r="G217" s="487"/>
      <c r="H217" s="487"/>
      <c r="I217" s="487"/>
      <c r="J217" s="487"/>
      <c r="K217" s="487"/>
      <c r="L217" s="487"/>
      <c r="M217" s="48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653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786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91"/>
      <c r="S2" s="309"/>
      <c r="T2" s="891"/>
      <c r="U2" s="891"/>
      <c r="V2" s="309"/>
      <c r="W2" s="309"/>
      <c r="X2" s="309"/>
      <c r="Y2" s="309"/>
      <c r="Z2" s="309"/>
      <c r="AA2" s="309"/>
      <c r="AB2" s="309"/>
      <c r="AC2" s="892"/>
      <c r="AD2" s="886"/>
      <c r="AE2" s="309"/>
      <c r="AF2" s="891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027" t="s">
        <v>651</v>
      </c>
      <c r="C4" s="1028"/>
      <c r="D4" s="1028"/>
      <c r="E4" s="1028"/>
      <c r="F4" s="1028"/>
      <c r="G4" s="1029"/>
      <c r="H4" s="1027" t="s">
        <v>652</v>
      </c>
      <c r="I4" s="1028"/>
      <c r="J4" s="1029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21">
        <f>(S7*1000)/(E7+E14+E16)*DwellingStocks!$T$27+1.1037</f>
        <v>2.2433707013624291</v>
      </c>
      <c r="U7" s="895">
        <f>(G7+G14+G16)/300</f>
        <v>0.59018803418803423</v>
      </c>
      <c r="V7" s="895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7">
        <f>IF((G8/100)&gt;1,0.9)</f>
        <v>0.9</v>
      </c>
      <c r="V8" s="897">
        <f>AB8/S8/X8</f>
        <v>9.4570753703752571E-3</v>
      </c>
      <c r="W8" s="462">
        <v>20</v>
      </c>
      <c r="X8" s="893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8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5">
        <f>IF((G9/100)&gt;1,0.9)</f>
        <v>0.9</v>
      </c>
      <c r="V9" s="895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7">
        <f>(G10+G11)/200</f>
        <v>0.80677902621722841</v>
      </c>
      <c r="V10" s="897">
        <f t="shared" si="3"/>
        <v>4.878782595695811E-2</v>
      </c>
      <c r="W10" s="462">
        <v>20</v>
      </c>
      <c r="X10" s="893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8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5">
        <f>(G25)/100</f>
        <v>1</v>
      </c>
      <c r="V11" s="895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7">
        <f>G12/100</f>
        <v>3.0701960784313722</v>
      </c>
      <c r="V12" s="897">
        <f t="shared" si="3"/>
        <v>0.18357506720190914</v>
      </c>
      <c r="W12" s="462">
        <v>20</v>
      </c>
      <c r="X12" s="893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8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21"/>
      <c r="U13" s="895"/>
      <c r="V13" s="895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7">
        <f>G13/100</f>
        <v>0.81016216216216219</v>
      </c>
      <c r="V14" s="897">
        <f>AB14/S14/X14</f>
        <v>7.8978154557043836E-2</v>
      </c>
      <c r="W14" s="462">
        <v>20</v>
      </c>
      <c r="X14" s="893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8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91" t="s">
        <v>256</v>
      </c>
      <c r="M15" s="591" t="s">
        <v>256</v>
      </c>
      <c r="N15" s="465"/>
      <c r="O15" s="465"/>
      <c r="P15" s="465"/>
      <c r="Q15" s="466"/>
      <c r="R15" s="467"/>
      <c r="S15" s="465"/>
      <c r="T15" s="467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48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4">
        <f>E15/SUM($E$7:$E$25)</f>
        <v>0.4073933944627437</v>
      </c>
      <c r="S16" s="925">
        <f>R16*DwellingStocks!$I$28/1000</f>
        <v>84.248499731260551</v>
      </c>
      <c r="T16" s="461">
        <f>(S16*1000)/E15*DwellingStocks!$T$27</f>
        <v>1.1396707013624292</v>
      </c>
      <c r="U16" s="897">
        <f>G15/100</f>
        <v>0.81026881720430111</v>
      </c>
      <c r="V16" s="897">
        <f>AB16/S16/X16</f>
        <v>2.5069945114006394E-2</v>
      </c>
      <c r="W16" s="462">
        <v>20</v>
      </c>
      <c r="X16" s="893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8">
        <v>15</v>
      </c>
      <c r="AE16" s="48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91" t="s">
        <v>256</v>
      </c>
      <c r="M17" s="591" t="s">
        <v>256</v>
      </c>
      <c r="N17" s="465"/>
      <c r="O17" s="465"/>
      <c r="P17" s="465"/>
      <c r="Q17" s="466"/>
      <c r="R17" s="467"/>
      <c r="S17" s="465"/>
      <c r="T17" s="467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48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7">
        <f>(G17+G18)/200</f>
        <v>0.52500000000000002</v>
      </c>
      <c r="V18" s="897">
        <f>AB18/S18/X18</f>
        <v>0.15828050607333224</v>
      </c>
      <c r="W18" s="462">
        <v>20</v>
      </c>
      <c r="X18" s="893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8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91" t="s">
        <v>256</v>
      </c>
      <c r="M19" s="591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7">
        <f>G19/100</f>
        <v>0.58177777777777773</v>
      </c>
      <c r="V20" s="897">
        <f>SUM(AB20:AB22)/S20/X20</f>
        <v>0.14698298838932955</v>
      </c>
      <c r="W20" s="462">
        <v>20</v>
      </c>
      <c r="X20" s="893">
        <f>31.536*(AD20/1000)</f>
        <v>0.47304000000000002</v>
      </c>
      <c r="Y20" s="598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8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8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5">
        <f>(G21+G22+G23)/300</f>
        <v>0.6880451127819549</v>
      </c>
      <c r="V23" s="895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7">
        <f>G24/100</f>
        <v>0.39838442187649958</v>
      </c>
      <c r="V24" s="897">
        <f>AB24/S24/X24</f>
        <v>2.3488908827814067E-3</v>
      </c>
      <c r="W24" s="462">
        <v>20</v>
      </c>
      <c r="X24" s="893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8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027" t="s">
        <v>651</v>
      </c>
      <c r="C28" s="1028"/>
      <c r="D28" s="1028"/>
      <c r="E28" s="1028"/>
      <c r="F28" s="1028"/>
      <c r="G28" s="1029"/>
      <c r="H28" s="1027" t="s">
        <v>652</v>
      </c>
      <c r="I28" s="1028"/>
      <c r="J28" s="102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891"/>
      <c r="AF28" s="451"/>
      <c r="AG28" s="89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501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8" t="s">
        <v>722</v>
      </c>
      <c r="Z30" s="48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21">
        <f>IFERROR((S33*1000)/(E31+E38+E40),0)+1.1037</f>
        <v>1.4090615768422396</v>
      </c>
      <c r="U33" s="895">
        <f t="shared" ref="U33:U38" si="6">U7</f>
        <v>0.59018803418803423</v>
      </c>
      <c r="V33" s="895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6">
        <f t="shared" si="6"/>
        <v>0.9</v>
      </c>
      <c r="V34" s="897">
        <f t="shared" ref="V34:V40" si="10">AB34/S34/X34</f>
        <v>7.5051369863013695E-2</v>
      </c>
      <c r="W34" s="462">
        <v>20</v>
      </c>
      <c r="X34" s="893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8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8">
        <f t="shared" si="6"/>
        <v>0.9</v>
      </c>
      <c r="V35" s="895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7">
        <f t="shared" si="6"/>
        <v>0.80677902621722841</v>
      </c>
      <c r="V36" s="897">
        <f t="shared" si="10"/>
        <v>0.13251764473730226</v>
      </c>
      <c r="W36" s="462">
        <v>20</v>
      </c>
      <c r="X36" s="893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8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5">
        <f t="shared" si="6"/>
        <v>1</v>
      </c>
      <c r="V37" s="895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7">
        <f t="shared" si="6"/>
        <v>3.0701960784313722</v>
      </c>
      <c r="V38" s="897">
        <f t="shared" si="10"/>
        <v>1.5052975614548449</v>
      </c>
      <c r="W38" s="462">
        <v>20</v>
      </c>
      <c r="X38" s="893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8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8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21">
        <f>IFERROR((S40*1000)/E37,0)-0.1727</f>
        <v>1.2911363398395392</v>
      </c>
      <c r="U40" s="895">
        <f>U14</f>
        <v>0.81016216216216219</v>
      </c>
      <c r="V40" s="895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91" t="s">
        <v>256</v>
      </c>
      <c r="M41" s="591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21">
        <f>IFERROR((S42*1000)/E39,0)-0.441</f>
        <v>1.0950369435228544</v>
      </c>
      <c r="U42" s="895">
        <f>U16</f>
        <v>0.81026881720430111</v>
      </c>
      <c r="V42" s="895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91" t="s">
        <v>256</v>
      </c>
      <c r="M43" s="591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5">
        <f>U18</f>
        <v>0.52500000000000002</v>
      </c>
      <c r="V44" s="895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91" t="s">
        <v>256</v>
      </c>
      <c r="M45" s="591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6">
        <f>U20</f>
        <v>0.58177777777777773</v>
      </c>
      <c r="V46" s="897">
        <f>SUM(AB46:AB48)/S46/X46</f>
        <v>9.0196313138344253E-2</v>
      </c>
      <c r="W46" s="462">
        <v>20</v>
      </c>
      <c r="X46" s="893">
        <f t="shared" ref="X46" si="13">31.536*(AD46/1000)</f>
        <v>9.4608000000000012E-2</v>
      </c>
      <c r="Y46" s="598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8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8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5">
        <f>U23</f>
        <v>0.6880451127819549</v>
      </c>
      <c r="V49" s="895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30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7">
        <f>U24</f>
        <v>0.39838442187649958</v>
      </c>
      <c r="V50" s="897">
        <f>AB50/S50/X50</f>
        <v>3.2373195740855918E-3</v>
      </c>
      <c r="W50" s="462">
        <v>20</v>
      </c>
      <c r="X50" s="893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8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31">
        <v>0.01</v>
      </c>
      <c r="S51" s="453">
        <f>R51*DwellingStocks!$I$28/1000</f>
        <v>2.0679888499999999</v>
      </c>
      <c r="T51" s="454">
        <f>MAX(T33:T50)</f>
        <v>1.9721891611957223</v>
      </c>
      <c r="U51" s="895">
        <v>1</v>
      </c>
      <c r="V51" s="895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655</v>
      </c>
      <c r="N56" s="70"/>
      <c r="O56" s="74"/>
      <c r="P56" s="74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8" t="s">
        <v>722</v>
      </c>
      <c r="Z57" s="48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5">
        <v>0.4</v>
      </c>
      <c r="V59" s="895">
        <f t="shared" ref="V59" si="17">AB59/S59/X59</f>
        <v>0.20963817697789014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AC59*U59</f>
        <v>0.13329988964541498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901">
        <f>DwellingStocks!I28/1000</f>
        <v>206.79888499999998</v>
      </c>
      <c r="T60" s="458">
        <f>(S60*1000)/SUM(G54:G62)-0.188</f>
        <v>1.346150500382056</v>
      </c>
      <c r="U60" s="902">
        <v>0.6</v>
      </c>
      <c r="V60" s="902">
        <f>AB60/S60/X60</f>
        <v>0.12635353241295524</v>
      </c>
      <c r="W60" s="903">
        <v>15</v>
      </c>
      <c r="X60" s="904">
        <f t="shared" ref="X60" si="18">31.536*(AD60/1000)</f>
        <v>1.5768000000000002E-3</v>
      </c>
      <c r="Y60" s="903"/>
      <c r="Z60" s="903"/>
      <c r="AA60" s="903"/>
      <c r="AB60" s="905">
        <f>AC60*U60</f>
        <v>4.120142073494041E-2</v>
      </c>
      <c r="AC60" s="464">
        <f>(F54+F55+F56+F57+F58+F59+F60+F61+F62)*T60*$B$2</f>
        <v>6.8669034558234018E-2</v>
      </c>
      <c r="AD60" s="887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8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656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786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027" t="s">
        <v>651</v>
      </c>
      <c r="C4" s="1028"/>
      <c r="D4" s="1028"/>
      <c r="E4" s="1028"/>
      <c r="F4" s="1028"/>
      <c r="G4" s="1029"/>
      <c r="H4" s="1027" t="s">
        <v>652</v>
      </c>
      <c r="I4" s="1028"/>
      <c r="J4" s="1029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21">
        <f>(S7*1000)/(E7+E14+E16)*DwellingStocks!$U$27+1.1037</f>
        <v>2.3958070314999231</v>
      </c>
      <c r="U7" s="895">
        <f>(G7+G14+G16)/300</f>
        <v>0.55798087905732663</v>
      </c>
      <c r="V7" s="895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7">
        <f>(G8)/100</f>
        <v>1</v>
      </c>
      <c r="V8" s="897">
        <f>AB8/S8/X8</f>
        <v>2.4658929270484013E-2</v>
      </c>
      <c r="W8" s="462">
        <v>20</v>
      </c>
      <c r="X8" s="893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8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8">
        <v>0.9</v>
      </c>
      <c r="V9" s="895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7">
        <f>(G10+G11)/200</f>
        <v>0.8070757743362833</v>
      </c>
      <c r="V10" s="897">
        <f t="shared" ref="V10:V12" si="2">AB10/S10/X10</f>
        <v>4.9050090196469505E-2</v>
      </c>
      <c r="W10" s="462">
        <v>20</v>
      </c>
      <c r="X10" s="893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8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5">
        <f>(G25)/100</f>
        <v>1</v>
      </c>
      <c r="V11" s="895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7">
        <f>G12/100</f>
        <v>3.1157627118644071</v>
      </c>
      <c r="V12" s="897">
        <f t="shared" si="2"/>
        <v>0.11320438554411126</v>
      </c>
      <c r="W12" s="462">
        <v>20</v>
      </c>
      <c r="X12" s="893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8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900"/>
      <c r="V13" s="900"/>
      <c r="X13" s="894">
        <f t="shared" si="1"/>
        <v>0.409968</v>
      </c>
      <c r="AA13" s="944">
        <f>AC13/AB12</f>
        <v>0.18763384898112581</v>
      </c>
      <c r="AC13" s="885">
        <f>RSD_Balance!G22</f>
        <v>0.10531229590496662</v>
      </c>
      <c r="AD13" s="885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5">
        <f>G13/100</f>
        <v>0.81941558441558437</v>
      </c>
      <c r="V14" s="895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91" t="s">
        <v>256</v>
      </c>
      <c r="M15" s="591" t="s">
        <v>256</v>
      </c>
      <c r="N15" s="465"/>
      <c r="O15" s="465"/>
      <c r="P15" s="465"/>
      <c r="Q15" s="465"/>
      <c r="R15" s="466"/>
      <c r="S15" s="467"/>
      <c r="T15" s="465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5">
        <f>G15/100</f>
        <v>0.81729411764705884</v>
      </c>
      <c r="V16" s="895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91" t="s">
        <v>256</v>
      </c>
      <c r="M17" s="591" t="s">
        <v>256</v>
      </c>
      <c r="N17" s="465"/>
      <c r="O17" s="465"/>
      <c r="P17" s="465"/>
      <c r="Q17" s="465"/>
      <c r="R17" s="466"/>
      <c r="S17" s="467"/>
      <c r="T17" s="465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5">
        <f>(G17+G18)/200</f>
        <v>0.5509294871794872</v>
      </c>
      <c r="V18" s="895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91" t="s">
        <v>256</v>
      </c>
      <c r="M19" s="591" t="s">
        <v>256</v>
      </c>
      <c r="N19" s="465"/>
      <c r="O19" s="465"/>
      <c r="P19" s="465"/>
      <c r="Q19" s="465"/>
      <c r="R19" s="466"/>
      <c r="S19" s="467"/>
      <c r="T19" s="465"/>
      <c r="U19" s="899"/>
      <c r="V19" s="899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6">
        <f>G19/100</f>
        <v>0.57113772455089817</v>
      </c>
      <c r="V20" s="897">
        <f>SUM(AB20:AB22)/S20/X20</f>
        <v>7.3631430941556025E-2</v>
      </c>
      <c r="W20" s="462">
        <v>20</v>
      </c>
      <c r="X20" s="893">
        <f>31.536*(AD20/1000)</f>
        <v>0.63072000000000006</v>
      </c>
      <c r="Y20" s="598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8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8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5">
        <f>(G21+G22+G23)/300</f>
        <v>0.70400656814449913</v>
      </c>
      <c r="V23" s="895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7">
        <f>G24/100</f>
        <v>0.60949973059968388</v>
      </c>
      <c r="V24" s="897">
        <f>AB24/S24/X24</f>
        <v>2.2872893208017001E-2</v>
      </c>
      <c r="W24" s="462">
        <v>20</v>
      </c>
      <c r="X24" s="893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8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027" t="s">
        <v>651</v>
      </c>
      <c r="C28" s="1028"/>
      <c r="D28" s="1028"/>
      <c r="E28" s="1028"/>
      <c r="F28" s="1028"/>
      <c r="G28" s="1029"/>
      <c r="H28" s="1027" t="s">
        <v>652</v>
      </c>
      <c r="I28" s="1028"/>
      <c r="J28" s="102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502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4" t="s">
        <v>722</v>
      </c>
      <c r="Z30" s="36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21">
        <f>IFERROR((S33*1000)/(E31+E38+E40),0)+1.1037</f>
        <v>2.7897552870931479</v>
      </c>
      <c r="U33" s="895">
        <f>U7</f>
        <v>0.55798087905732663</v>
      </c>
      <c r="V33" s="895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7">
        <f>U8</f>
        <v>1</v>
      </c>
      <c r="V34" s="897">
        <f>AB34/S34/X34</f>
        <v>8.8919330289193299E-2</v>
      </c>
      <c r="W34" s="462">
        <v>20</v>
      </c>
      <c r="X34" s="893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8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8">
        <v>0.9</v>
      </c>
      <c r="V35" s="895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7">
        <f>U10</f>
        <v>0.8070757743362833</v>
      </c>
      <c r="V36" s="897">
        <f t="shared" ref="V36:V44" si="7">AB36/S36/X36</f>
        <v>0.10056741867817068</v>
      </c>
      <c r="W36" s="462">
        <v>20</v>
      </c>
      <c r="X36" s="893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8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5">
        <f>U11</f>
        <v>1</v>
      </c>
      <c r="V37" s="895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7">
        <f>U12</f>
        <v>3.1157627118644071</v>
      </c>
      <c r="V38" s="897">
        <f t="shared" si="7"/>
        <v>0.66825318875216821</v>
      </c>
      <c r="W38" s="462">
        <v>20</v>
      </c>
      <c r="X38" s="893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2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2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21">
        <f>IFERROR((S40*1000)/E37,0)-0.1727</f>
        <v>1.6764703226585298</v>
      </c>
      <c r="U40" s="895">
        <f>U14</f>
        <v>0.81941558441558437</v>
      </c>
      <c r="V40" s="895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21">
        <f>IFERROR((S42*1000)/E39,0)-0.441</f>
        <v>1.4121542064911823</v>
      </c>
      <c r="U42" s="895">
        <f>U16</f>
        <v>0.81729411764705884</v>
      </c>
      <c r="V42" s="895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5">
        <f>U18</f>
        <v>0.5509294871794872</v>
      </c>
      <c r="V44" s="895">
        <f t="shared" si="7"/>
        <v>6.8944308925102074E-2</v>
      </c>
      <c r="W44" s="456">
        <v>20</v>
      </c>
      <c r="X44" s="454">
        <f t="shared" ref="X44" si="9"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6">
        <f>U20</f>
        <v>0.57113772455089817</v>
      </c>
      <c r="V46" s="897">
        <f>SUM(AB46:AB48)/S46/X46</f>
        <v>5.9040638752358883E-2</v>
      </c>
      <c r="W46" s="462">
        <v>20</v>
      </c>
      <c r="X46" s="893">
        <f t="shared" ref="X46" si="10">31.536*(AD46/1000)</f>
        <v>0.15768000000000001</v>
      </c>
      <c r="Y46" s="598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8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RSD_Balance!$H$4</f>
        <v>6.2E-2</v>
      </c>
      <c r="Z48" s="462">
        <v>5</v>
      </c>
      <c r="AA48" s="462"/>
      <c r="AB48" s="463">
        <f t="shared" ref="AB48" si="11">AC48*$U$46</f>
        <v>1.7256354837748313E-2</v>
      </c>
      <c r="AC48" s="464">
        <f>IF(((D43+I43)*$B$2)&lt;=0,0,((D43+I43)*T46*$B$2))*Y48</f>
        <v>3.0213999348961715E-2</v>
      </c>
      <c r="AD48" s="888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5">
        <f>U23</f>
        <v>0.70400656814449913</v>
      </c>
      <c r="V49" s="895">
        <f t="shared" ref="V49:V50" si="14">AB49/S49/X49</f>
        <v>6.8778139627583293E-2</v>
      </c>
      <c r="W49" s="456">
        <v>20</v>
      </c>
      <c r="X49" s="454">
        <f t="shared" ref="X49:X51" si="15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7">
        <f>U24</f>
        <v>0.60949973059968388</v>
      </c>
      <c r="V50" s="897">
        <f t="shared" si="14"/>
        <v>4.8794584261943356E-3</v>
      </c>
      <c r="W50" s="462">
        <v>20</v>
      </c>
      <c r="X50" s="893">
        <f t="shared" si="15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8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657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5">
        <v>1</v>
      </c>
      <c r="V51" s="895">
        <f t="shared" ref="V51" si="16">AB51/S51/X51</f>
        <v>0.22019827509567122</v>
      </c>
      <c r="W51" s="456">
        <v>20</v>
      </c>
      <c r="X51" s="454">
        <f t="shared" si="15"/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657</v>
      </c>
      <c r="N56" s="70"/>
      <c r="O56" s="70"/>
      <c r="P56" s="70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4" t="s">
        <v>722</v>
      </c>
      <c r="Z57" s="36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5">
        <v>0.4</v>
      </c>
      <c r="V59" s="895">
        <f>AB59/S59/X59</f>
        <v>0.29754218668175686</v>
      </c>
      <c r="W59" s="456">
        <v>10</v>
      </c>
      <c r="X59" s="453">
        <f t="shared" ref="X59:X60" si="17">31.536*(AD59/1000)</f>
        <v>3.0747599999999997E-3</v>
      </c>
      <c r="Y59" s="456"/>
      <c r="Z59" s="456"/>
      <c r="AA59" s="456"/>
      <c r="AB59" s="457">
        <f>AC59*U59</f>
        <v>0.70111282274148767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901">
        <f>DwellingStocks!J28/1000</f>
        <v>766.35172099999977</v>
      </c>
      <c r="T60" s="458">
        <f>(S60*1000)/SUM(G54:G62)-0.188</f>
        <v>1.6588175598494301</v>
      </c>
      <c r="U60" s="902">
        <v>0.6</v>
      </c>
      <c r="V60" s="902">
        <f>AB60/S60/X60</f>
        <v>0.24100352965976166</v>
      </c>
      <c r="W60" s="903">
        <v>15</v>
      </c>
      <c r="X60" s="904">
        <f t="shared" si="17"/>
        <v>1.5768000000000002E-3</v>
      </c>
      <c r="Y60" s="903"/>
      <c r="Z60" s="903"/>
      <c r="AA60" s="903"/>
      <c r="AB60" s="905">
        <f>AC60*U60</f>
        <v>0.29122466305738604</v>
      </c>
      <c r="AC60" s="464">
        <f>(F54+F55+F56+F57+F58+F59+F60+F61+F62)*T60*$B$2</f>
        <v>0.48537443842897676</v>
      </c>
      <c r="AD60" s="887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663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786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664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664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027" t="s">
        <v>651</v>
      </c>
      <c r="C4" s="1028"/>
      <c r="D4" s="1028"/>
      <c r="E4" s="1028"/>
      <c r="F4" s="1028"/>
      <c r="G4" s="1029"/>
      <c r="H4" s="1027" t="s">
        <v>652</v>
      </c>
      <c r="I4" s="1028"/>
      <c r="J4" s="1029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5">
        <f>(G7+G14+G16)/300</f>
        <v>0.61986329460013678</v>
      </c>
      <c r="V7" s="895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6">
        <v>0.9</v>
      </c>
      <c r="V8" s="897">
        <f>IFERROR(AB8/S8/X8,0)</f>
        <v>0</v>
      </c>
      <c r="W8" s="462">
        <v>20</v>
      </c>
      <c r="X8" s="893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8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8">
        <v>0.9</v>
      </c>
      <c r="V9" s="895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7">
        <f>(G10+G11)/200</f>
        <v>0.82661774762699336</v>
      </c>
      <c r="V10" s="897">
        <f t="shared" ref="V10:V12" si="2">AB10/S10/X10</f>
        <v>7.0854130591549908E-2</v>
      </c>
      <c r="W10" s="462">
        <v>20</v>
      </c>
      <c r="X10" s="893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8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5">
        <f>(G25)/100</f>
        <v>0.99952095808383234</v>
      </c>
      <c r="V11" s="895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7">
        <f>G12/100</f>
        <v>3.0897837837837834</v>
      </c>
      <c r="V12" s="897">
        <f t="shared" si="2"/>
        <v>0.13766734761320296</v>
      </c>
      <c r="W12" s="462">
        <v>20</v>
      </c>
      <c r="X12" s="893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8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900"/>
      <c r="V13" s="900"/>
      <c r="X13" s="894">
        <f t="shared" si="1"/>
        <v>0.63072000000000006</v>
      </c>
      <c r="AA13" s="944">
        <f>AC13/AB12</f>
        <v>0.18921147596387924</v>
      </c>
      <c r="AC13" s="885">
        <f>RSD_Balance!H22</f>
        <v>0.12033880936975599</v>
      </c>
      <c r="AD13" s="885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5">
        <f>G13/100</f>
        <v>0.82280373831775711</v>
      </c>
      <c r="V14" s="895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5">
        <f>G15/100</f>
        <v>0.82728758169934635</v>
      </c>
      <c r="V16" s="895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5">
        <f>(G17+G18)/200</f>
        <v>0.5457894736842106</v>
      </c>
      <c r="V18" s="895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9"/>
      <c r="V19" s="899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6">
        <f>G19/100</f>
        <v>0.61474226804123711</v>
      </c>
      <c r="V20" s="897">
        <f>SUM(AB20:AB22)/S20/X20</f>
        <v>0.13720876081054353</v>
      </c>
      <c r="W20" s="462">
        <v>20</v>
      </c>
      <c r="X20" s="893">
        <f>31.536*(AD20/1000)</f>
        <v>0.94608000000000003</v>
      </c>
      <c r="Y20" s="598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8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8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5">
        <f>(G21+G22+G23)/300</f>
        <v>0.72928609692169366</v>
      </c>
      <c r="V23" s="895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7">
        <f>G24/100</f>
        <v>0.65865731206453049</v>
      </c>
      <c r="V24" s="897">
        <f>AB24/S24/X24</f>
        <v>0.20082509173370536</v>
      </c>
      <c r="W24" s="462">
        <v>20</v>
      </c>
      <c r="X24" s="893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8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665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027" t="s">
        <v>651</v>
      </c>
      <c r="C28" s="1028"/>
      <c r="D28" s="1028"/>
      <c r="E28" s="1028"/>
      <c r="F28" s="1028"/>
      <c r="G28" s="1029"/>
      <c r="H28" s="1027" t="s">
        <v>652</v>
      </c>
      <c r="I28" s="1028"/>
      <c r="J28" s="1029"/>
      <c r="K28" s="309"/>
      <c r="L28" s="309"/>
      <c r="M28" s="309"/>
      <c r="N28" s="309"/>
      <c r="O28" s="309"/>
      <c r="P28" s="309"/>
      <c r="Q28" s="309"/>
      <c r="R28" s="309"/>
      <c r="S28" s="309"/>
      <c r="T28" s="520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665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4" t="s">
        <v>722</v>
      </c>
      <c r="Z30" s="36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21">
        <f>IFERROR((S33*1000)/(E31+E38+E40),0)+1.1037</f>
        <v>3.1697312539795788</v>
      </c>
      <c r="U33" s="895">
        <f>U7</f>
        <v>0.61986329460013678</v>
      </c>
      <c r="V33" s="895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6">
        <v>0.9</v>
      </c>
      <c r="V34" s="897">
        <f>AB34/S34/X34</f>
        <v>4.2328767123287675E-2</v>
      </c>
      <c r="W34" s="462">
        <v>20</v>
      </c>
      <c r="X34" s="893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8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8">
        <v>0.9</v>
      </c>
      <c r="V35" s="895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7">
        <f>U10</f>
        <v>0.82661774762699336</v>
      </c>
      <c r="V36" s="897">
        <f t="shared" ref="V36:V44" si="6">AB36/S36/X36</f>
        <v>6.8787509731139285E-2</v>
      </c>
      <c r="W36" s="462">
        <v>20</v>
      </c>
      <c r="X36" s="893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8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5">
        <f>U11</f>
        <v>0.99952095808383234</v>
      </c>
      <c r="V37" s="895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7">
        <f>U12</f>
        <v>3.0897837837837834</v>
      </c>
      <c r="V38" s="897">
        <f t="shared" si="6"/>
        <v>0.45983560612561974</v>
      </c>
      <c r="W38" s="462">
        <v>20</v>
      </c>
      <c r="X38" s="893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8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8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21">
        <f>IFERROR((S40*1000)/E37,0)-0.1727</f>
        <v>2.5780743732583358</v>
      </c>
      <c r="U40" s="895">
        <f>U14</f>
        <v>0.82280373831775711</v>
      </c>
      <c r="V40" s="895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21">
        <f>IFERROR((S42*1000)/E39,0)-0.441</f>
        <v>2.2905112642193197</v>
      </c>
      <c r="U42" s="895">
        <f>U16</f>
        <v>0.82728758169934635</v>
      </c>
      <c r="V42" s="895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5">
        <f>U18</f>
        <v>0.5457894736842106</v>
      </c>
      <c r="V44" s="895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6">
        <f>U20</f>
        <v>0.61474226804123711</v>
      </c>
      <c r="V46" s="897">
        <f>SUM(AB46:AB48)/S46/X46</f>
        <v>4.4737576657325105E-2</v>
      </c>
      <c r="W46" s="462">
        <v>20</v>
      </c>
      <c r="X46" s="893">
        <f t="shared" ref="X46" si="9">31.536*(AD46/1000)</f>
        <v>0.25228800000000001</v>
      </c>
      <c r="Y46" s="598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8">
        <v>8</v>
      </c>
      <c r="AE46" s="600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8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5">
        <f>U23</f>
        <v>0.72928609692169366</v>
      </c>
      <c r="V49" s="895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7">
        <f>U24</f>
        <v>0.65865731206453049</v>
      </c>
      <c r="V50" s="897">
        <f t="shared" si="13"/>
        <v>5.1032329364559198E-3</v>
      </c>
      <c r="W50" s="462">
        <v>20</v>
      </c>
      <c r="X50" s="893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8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666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5">
        <v>1</v>
      </c>
      <c r="V51" s="895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666</v>
      </c>
      <c r="N56" s="70"/>
      <c r="O56" s="70"/>
      <c r="P56" s="70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4" t="s">
        <v>722</v>
      </c>
      <c r="Z57" s="36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5">
        <v>0.4</v>
      </c>
      <c r="V59" s="895">
        <f>AB59/S59/X59</f>
        <v>0.49011428261671697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1.0917038597696378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901">
        <f>DwellingStocks!K28/1000</f>
        <v>724.42972899999995</v>
      </c>
      <c r="T60" s="458">
        <f>(S60*1000)/SUM(G54:G62)-0.188</f>
        <v>2.540641381440425</v>
      </c>
      <c r="U60" s="902">
        <v>0.6</v>
      </c>
      <c r="V60" s="902">
        <f t="shared" ref="V60" si="16">AB60/S60/X60</f>
        <v>0.29839165082681329</v>
      </c>
      <c r="W60" s="903">
        <v>15</v>
      </c>
      <c r="X60" s="904">
        <f t="shared" si="15"/>
        <v>1.5768000000000002E-3</v>
      </c>
      <c r="Y60" s="903"/>
      <c r="Z60" s="903"/>
      <c r="AA60" s="903"/>
      <c r="AB60" s="905">
        <f>AC60*U60</f>
        <v>0.34084705263126108</v>
      </c>
      <c r="AC60" s="464">
        <f>IF(((F54+F55+F56+F57+F58+F59+F60+F61+F62)*$B$2)&lt;=0,0,((F54+F55+F56+F57+F58+F59+F60+F61+F62)*T60*$B$2))</f>
        <v>0.56807842105210182</v>
      </c>
      <c r="AD60" s="887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09" t="s">
        <v>415</v>
      </c>
      <c r="B1" s="1009"/>
      <c r="C1" s="1009"/>
      <c r="D1" s="1009"/>
      <c r="E1" s="1009"/>
      <c r="F1" s="1009"/>
      <c r="G1" s="1009"/>
      <c r="H1" s="1009"/>
      <c r="I1" s="1009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583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583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583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583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583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583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583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583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584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583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584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584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583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582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583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583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583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584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584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583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584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584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584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583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583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583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583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582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583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583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583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583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583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583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583</v>
      </c>
      <c r="AD246" t="s">
        <v>583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582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584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584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584</v>
      </c>
      <c r="AD272" t="s">
        <v>583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583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583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583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582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582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584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583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583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583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583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583</v>
      </c>
      <c r="AC334" t="s">
        <v>568</v>
      </c>
      <c r="AD334" t="s">
        <v>583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584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583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583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583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583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583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582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584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583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583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583</v>
      </c>
      <c r="AD391" t="s">
        <v>583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582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584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584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583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583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583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584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583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583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583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583</v>
      </c>
      <c r="AD465" t="s">
        <v>583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583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583</v>
      </c>
      <c r="AC479" t="s">
        <v>139</v>
      </c>
      <c r="AD479" t="s">
        <v>583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583</v>
      </c>
      <c r="AC480" t="s">
        <v>139</v>
      </c>
      <c r="AD480" t="s">
        <v>583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583</v>
      </c>
      <c r="AC481" t="s">
        <v>583</v>
      </c>
      <c r="AD481" t="s">
        <v>583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583</v>
      </c>
      <c r="AC482" t="s">
        <v>568</v>
      </c>
      <c r="AD482" t="s">
        <v>583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584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584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582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583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583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583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582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584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583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583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583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583</v>
      </c>
      <c r="AD534" t="s">
        <v>583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584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584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583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583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583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584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583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583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583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583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583</v>
      </c>
      <c r="AC610" t="s">
        <v>139</v>
      </c>
      <c r="AD610" t="s">
        <v>583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583</v>
      </c>
      <c r="AC611" t="s">
        <v>139</v>
      </c>
      <c r="AD611" t="s">
        <v>583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583</v>
      </c>
      <c r="AC612" t="s">
        <v>583</v>
      </c>
      <c r="AD612" t="s">
        <v>583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583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583</v>
      </c>
      <c r="AC614" t="s">
        <v>568</v>
      </c>
      <c r="AD614" t="s">
        <v>583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584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583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583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584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583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583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584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583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583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583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583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583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583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583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583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583</v>
      </c>
      <c r="AC714" t="s">
        <v>139</v>
      </c>
      <c r="AD714" t="s">
        <v>583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583</v>
      </c>
      <c r="AC715" t="s">
        <v>139</v>
      </c>
      <c r="AD715" t="s">
        <v>583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583</v>
      </c>
      <c r="AC716" t="s">
        <v>583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583</v>
      </c>
      <c r="AC717" t="s">
        <v>583</v>
      </c>
      <c r="AD717" t="s">
        <v>583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583</v>
      </c>
      <c r="AC718" t="s">
        <v>568</v>
      </c>
      <c r="AD718" t="s">
        <v>583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584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584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583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584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584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583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583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583</v>
      </c>
      <c r="AD754" t="s">
        <v>583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583</v>
      </c>
      <c r="AD755" t="s">
        <v>583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584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584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584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583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583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583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583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583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583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583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583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583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583</v>
      </c>
      <c r="AC828" t="s">
        <v>139</v>
      </c>
      <c r="AD828" t="s">
        <v>583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583</v>
      </c>
      <c r="AC829" t="s">
        <v>139</v>
      </c>
      <c r="AD829" t="s">
        <v>583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583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583</v>
      </c>
      <c r="AC831" t="s">
        <v>583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583</v>
      </c>
      <c r="AC832" t="s">
        <v>583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583</v>
      </c>
      <c r="AC833" t="s">
        <v>583</v>
      </c>
      <c r="AD833" t="s">
        <v>583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583</v>
      </c>
      <c r="AC834" t="s">
        <v>583</v>
      </c>
      <c r="AD834" t="s">
        <v>583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583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583</v>
      </c>
      <c r="AC836" t="s">
        <v>568</v>
      </c>
      <c r="AD836" t="s">
        <v>583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583</v>
      </c>
      <c r="AC837" t="s">
        <v>568</v>
      </c>
      <c r="AD837" t="s">
        <v>583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584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09" t="s">
        <v>482</v>
      </c>
      <c r="B1" s="1009"/>
      <c r="C1" s="1009"/>
      <c r="D1" s="1009"/>
      <c r="E1" s="1009"/>
      <c r="F1" s="1009"/>
      <c r="G1" s="1009"/>
      <c r="H1" s="1009"/>
      <c r="I1" s="1009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582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583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583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583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583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583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582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582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582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583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583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582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584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583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583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583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583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583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583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582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583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583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583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583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582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583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583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584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583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583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584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584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583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583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583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582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582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583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583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583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583</v>
      </c>
      <c r="AC252" t="s">
        <v>568</v>
      </c>
      <c r="AD252" t="s">
        <v>583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583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582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584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583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584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584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583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583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583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582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584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584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584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584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583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583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583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583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583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583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582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582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584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584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583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583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583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583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583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583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583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583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584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583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584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583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583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583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583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583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583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582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584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584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583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583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583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583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583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584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583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583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583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583</v>
      </c>
      <c r="AD518" t="s">
        <v>583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582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582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582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584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584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584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584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584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584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584</v>
      </c>
      <c r="AD556" t="s">
        <v>583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584</v>
      </c>
      <c r="AD557" t="s">
        <v>583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584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584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584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583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583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583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583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583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583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583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583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583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583</v>
      </c>
      <c r="AD585" t="s">
        <v>583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583</v>
      </c>
      <c r="AD586" t="s">
        <v>583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582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582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582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583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584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584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583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583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582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582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582</v>
      </c>
      <c r="AD648" t="s">
        <v>583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584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584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583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583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583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583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583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583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583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583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583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583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583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583</v>
      </c>
      <c r="AD693" t="s">
        <v>583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583</v>
      </c>
      <c r="AD694" t="s">
        <v>583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583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583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583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583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583</v>
      </c>
      <c r="AC727" t="s">
        <v>582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583</v>
      </c>
      <c r="AC728" t="s">
        <v>139</v>
      </c>
      <c r="AD728" t="s">
        <v>583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583</v>
      </c>
      <c r="AC729" t="s">
        <v>139</v>
      </c>
      <c r="AD729" t="s">
        <v>583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583</v>
      </c>
      <c r="AC730" t="s">
        <v>583</v>
      </c>
      <c r="AD730" t="s">
        <v>583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583</v>
      </c>
      <c r="AC731" t="s">
        <v>583</v>
      </c>
      <c r="AD731" t="s">
        <v>583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583</v>
      </c>
      <c r="AC732" t="s">
        <v>568</v>
      </c>
      <c r="AD732" t="s">
        <v>583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583</v>
      </c>
      <c r="AC733" t="s">
        <v>435</v>
      </c>
      <c r="AD733" t="s">
        <v>583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584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584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584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584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584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583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584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583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583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584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583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583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583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582</v>
      </c>
      <c r="AC803" t="s">
        <v>582</v>
      </c>
      <c r="AD803" t="s">
        <v>582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582</v>
      </c>
      <c r="AC804" t="s">
        <v>429</v>
      </c>
      <c r="AD804" t="s">
        <v>582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582</v>
      </c>
      <c r="AC805" t="s">
        <v>568</v>
      </c>
      <c r="AD805" t="s">
        <v>582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584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584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583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583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583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583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583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583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583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582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582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583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583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584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584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584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583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583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583</v>
      </c>
      <c r="AD879" t="s">
        <v>583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583</v>
      </c>
      <c r="AD880" t="s">
        <v>583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582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582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584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584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584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584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584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584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584</v>
      </c>
      <c r="AD923" t="s">
        <v>583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584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582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583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583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583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583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583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583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583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583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583</v>
      </c>
      <c r="AD949" t="s">
        <v>583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583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583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584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584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584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583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583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582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582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584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584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583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583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583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583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583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583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583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583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583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583</v>
      </c>
      <c r="AD1056" t="s">
        <v>583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583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583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583</v>
      </c>
      <c r="AC1085" t="s">
        <v>407</v>
      </c>
      <c r="AD1085" t="s">
        <v>583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583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583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583</v>
      </c>
      <c r="AC1088" t="s">
        <v>139</v>
      </c>
      <c r="AD1088" t="s">
        <v>583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583</v>
      </c>
      <c r="AC1089" t="s">
        <v>139</v>
      </c>
      <c r="AD1089" t="s">
        <v>583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583</v>
      </c>
      <c r="AC1090" t="s">
        <v>584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583</v>
      </c>
      <c r="AC1091" t="s">
        <v>584</v>
      </c>
      <c r="AD1091" t="s">
        <v>583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583</v>
      </c>
      <c r="AC1092" t="s">
        <v>584</v>
      </c>
      <c r="AD1092" t="s">
        <v>583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583</v>
      </c>
      <c r="AC1093" t="s">
        <v>429</v>
      </c>
      <c r="AD1093" t="s">
        <v>583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583</v>
      </c>
      <c r="AC1094" t="s">
        <v>409</v>
      </c>
      <c r="AD1094" t="s">
        <v>583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583</v>
      </c>
      <c r="AC1095" t="s">
        <v>583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583</v>
      </c>
      <c r="AC1096" t="s">
        <v>583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583</v>
      </c>
      <c r="AC1097" t="s">
        <v>583</v>
      </c>
      <c r="AD1097" t="s">
        <v>583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583</v>
      </c>
      <c r="AC1098" t="s">
        <v>583</v>
      </c>
      <c r="AD1098" t="s">
        <v>583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583</v>
      </c>
      <c r="AC1099" t="s">
        <v>583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583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583</v>
      </c>
      <c r="AC1101" t="s">
        <v>428</v>
      </c>
      <c r="AD1101" t="s">
        <v>583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583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583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583</v>
      </c>
      <c r="AC1104" t="s">
        <v>568</v>
      </c>
      <c r="AD1104" t="s">
        <v>583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583</v>
      </c>
      <c r="AC1105" t="s">
        <v>568</v>
      </c>
      <c r="AD1105" t="s">
        <v>583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583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583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584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584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584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583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583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584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584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583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583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583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582</v>
      </c>
      <c r="AC1187" t="s">
        <v>582</v>
      </c>
      <c r="AD1187" t="s">
        <v>582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582</v>
      </c>
      <c r="AC1188" t="s">
        <v>139</v>
      </c>
      <c r="AD1188" t="s">
        <v>582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582</v>
      </c>
      <c r="AC1189" t="s">
        <v>583</v>
      </c>
      <c r="AD1189" t="s">
        <v>582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582</v>
      </c>
      <c r="AC1190" t="s">
        <v>583</v>
      </c>
      <c r="AD1190" t="s">
        <v>583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582</v>
      </c>
      <c r="AC1191" t="s">
        <v>568</v>
      </c>
      <c r="AD1191" t="s">
        <v>582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583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583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583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583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583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582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584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584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584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583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583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583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583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583</v>
      </c>
      <c r="AD1246" t="s">
        <v>583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583</v>
      </c>
      <c r="AD1247" t="s">
        <v>583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583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582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582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582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582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584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584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584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584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584</v>
      </c>
      <c r="AD1286" t="s">
        <v>583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584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584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582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583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583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583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583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583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583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583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583</v>
      </c>
      <c r="AD1308" t="s">
        <v>583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582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584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582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582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582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583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584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584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583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583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583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583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583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583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583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583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583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583</v>
      </c>
      <c r="AD1398" t="s">
        <v>583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583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583</v>
      </c>
      <c r="AC1421" t="s">
        <v>427</v>
      </c>
      <c r="AD1421" t="s">
        <v>583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583</v>
      </c>
      <c r="AC1422" t="s">
        <v>427</v>
      </c>
      <c r="AD1422" t="s">
        <v>583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583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583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583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583</v>
      </c>
      <c r="AC1426" t="s">
        <v>139</v>
      </c>
      <c r="AD1426" t="s">
        <v>583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583</v>
      </c>
      <c r="AC1427" t="s">
        <v>139</v>
      </c>
      <c r="AD1427" t="s">
        <v>583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583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583</v>
      </c>
      <c r="AC1429" t="s">
        <v>584</v>
      </c>
      <c r="AD1429" t="s">
        <v>583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583</v>
      </c>
      <c r="AC1430" t="s">
        <v>584</v>
      </c>
      <c r="AD1430" t="s">
        <v>583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583</v>
      </c>
      <c r="AC1431" t="s">
        <v>429</v>
      </c>
      <c r="AD1431" t="s">
        <v>583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583</v>
      </c>
      <c r="AC1432" t="s">
        <v>409</v>
      </c>
      <c r="AD1432" t="s">
        <v>583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583</v>
      </c>
      <c r="AC1433" t="s">
        <v>409</v>
      </c>
      <c r="AD1433" t="s">
        <v>583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583</v>
      </c>
      <c r="AC1434" t="s">
        <v>583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583</v>
      </c>
      <c r="AC1435" t="s">
        <v>583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583</v>
      </c>
      <c r="AC1436" t="s">
        <v>583</v>
      </c>
      <c r="AD1436" t="s">
        <v>583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583</v>
      </c>
      <c r="AC1437" t="s">
        <v>583</v>
      </c>
      <c r="AD1437" t="s">
        <v>583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583</v>
      </c>
      <c r="AC1438" t="s">
        <v>433</v>
      </c>
      <c r="AD1438" t="s">
        <v>583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583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583</v>
      </c>
      <c r="AC1440" t="s">
        <v>428</v>
      </c>
      <c r="AD1440" t="s">
        <v>583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583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583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583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583</v>
      </c>
      <c r="AC1444" t="s">
        <v>568</v>
      </c>
      <c r="AD1444" t="s">
        <v>583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583</v>
      </c>
      <c r="AC1445" t="s">
        <v>568</v>
      </c>
      <c r="AD1445" t="s">
        <v>583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583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583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582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584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584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584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584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584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584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584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583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583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583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584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583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583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582</v>
      </c>
      <c r="AC1525" t="s">
        <v>568</v>
      </c>
      <c r="AD1525" t="s">
        <v>582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583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583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583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582</v>
      </c>
      <c r="AD1548" t="s">
        <v>582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582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584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584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584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583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583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583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583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583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583</v>
      </c>
      <c r="AD1573" t="s">
        <v>583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583</v>
      </c>
      <c r="AD1574" t="s">
        <v>583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582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582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582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584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584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584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583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583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583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583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583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583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584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583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582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582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582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583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584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584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583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583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583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583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583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583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583</v>
      </c>
      <c r="AC1699" t="s">
        <v>407</v>
      </c>
      <c r="AD1699" t="s">
        <v>583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583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583</v>
      </c>
      <c r="AC1701" t="s">
        <v>139</v>
      </c>
      <c r="AD1701" t="s">
        <v>583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583</v>
      </c>
      <c r="AC1702" t="s">
        <v>139</v>
      </c>
      <c r="AD1702" t="s">
        <v>583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583</v>
      </c>
      <c r="AC1703" t="s">
        <v>584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583</v>
      </c>
      <c r="AC1704" t="s">
        <v>584</v>
      </c>
      <c r="AD1704" t="s">
        <v>583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583</v>
      </c>
      <c r="AC1705" t="s">
        <v>584</v>
      </c>
      <c r="AD1705" t="s">
        <v>583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583</v>
      </c>
      <c r="AC1706" t="s">
        <v>409</v>
      </c>
      <c r="AD1706" t="s">
        <v>583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583</v>
      </c>
      <c r="AC1707" t="s">
        <v>583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583</v>
      </c>
      <c r="AC1708" t="s">
        <v>583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583</v>
      </c>
      <c r="AC1709" t="s">
        <v>583</v>
      </c>
      <c r="AD1709" t="s">
        <v>583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583</v>
      </c>
      <c r="AC1710" t="s">
        <v>583</v>
      </c>
      <c r="AD1710" t="s">
        <v>583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583</v>
      </c>
      <c r="AC1711" t="s">
        <v>583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583</v>
      </c>
      <c r="AC1712" t="s">
        <v>583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583</v>
      </c>
      <c r="AC1713" t="s">
        <v>428</v>
      </c>
      <c r="AD1713" t="s">
        <v>583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583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583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583</v>
      </c>
      <c r="AC1716" t="s">
        <v>568</v>
      </c>
      <c r="AD1716" t="s">
        <v>583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583</v>
      </c>
      <c r="AC1717" t="s">
        <v>568</v>
      </c>
      <c r="AD1717" t="s">
        <v>583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583</v>
      </c>
      <c r="AC1718" t="s">
        <v>435</v>
      </c>
      <c r="AD1718" t="s">
        <v>583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584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583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584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584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583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583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583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582</v>
      </c>
      <c r="AC1782" t="s">
        <v>582</v>
      </c>
      <c r="AD1782" t="s">
        <v>582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582</v>
      </c>
      <c r="AC1783" t="s">
        <v>582</v>
      </c>
      <c r="AD1783" t="s">
        <v>583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582</v>
      </c>
      <c r="AC1784" t="s">
        <v>139</v>
      </c>
      <c r="AD1784" t="s">
        <v>582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582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582</v>
      </c>
      <c r="AC1786" t="s">
        <v>429</v>
      </c>
      <c r="AD1786" t="s">
        <v>582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582</v>
      </c>
      <c r="AC1787" t="s">
        <v>568</v>
      </c>
      <c r="AD1787" t="s">
        <v>582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583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583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583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583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583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583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582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583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584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584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584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584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583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583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583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583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583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583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583</v>
      </c>
      <c r="AD1850" t="s">
        <v>583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583</v>
      </c>
      <c r="AD1851" t="s">
        <v>583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583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583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583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582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582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582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584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584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584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584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584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583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583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583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583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583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583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583</v>
      </c>
      <c r="AD1911" t="s">
        <v>583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584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584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583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583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582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582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583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584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584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583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583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583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583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583</v>
      </c>
      <c r="AD1997" t="s">
        <v>583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583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583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583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583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583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583</v>
      </c>
      <c r="AC2019" t="s">
        <v>139</v>
      </c>
      <c r="AD2019" t="s">
        <v>583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583</v>
      </c>
      <c r="AC2020" t="s">
        <v>139</v>
      </c>
      <c r="AD2020" t="s">
        <v>583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583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583</v>
      </c>
      <c r="AC2022" t="s">
        <v>584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583</v>
      </c>
      <c r="AC2023" t="s">
        <v>584</v>
      </c>
      <c r="AD2023" t="s">
        <v>583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583</v>
      </c>
      <c r="AC2024" t="s">
        <v>584</v>
      </c>
      <c r="AD2024" t="s">
        <v>583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583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583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583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583</v>
      </c>
      <c r="AC2028" t="s">
        <v>409</v>
      </c>
      <c r="AD2028" t="s">
        <v>583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583</v>
      </c>
      <c r="AC2029" t="s">
        <v>409</v>
      </c>
      <c r="AD2029" t="s">
        <v>583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583</v>
      </c>
      <c r="AC2030" t="s">
        <v>583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583</v>
      </c>
      <c r="AC2031" t="s">
        <v>583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583</v>
      </c>
      <c r="AC2032" t="s">
        <v>583</v>
      </c>
      <c r="AD2032" t="s">
        <v>583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583</v>
      </c>
      <c r="AC2033" t="s">
        <v>583</v>
      </c>
      <c r="AD2033" t="s">
        <v>583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583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583</v>
      </c>
      <c r="AC2035" t="s">
        <v>428</v>
      </c>
      <c r="AD2035" t="s">
        <v>583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583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583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583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583</v>
      </c>
      <c r="AC2039" t="s">
        <v>568</v>
      </c>
      <c r="AD2039" t="s">
        <v>583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583</v>
      </c>
      <c r="AC2040" t="s">
        <v>568</v>
      </c>
      <c r="AD2040" t="s">
        <v>583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583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584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584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584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584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584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584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583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583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582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583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583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09" t="s">
        <v>484</v>
      </c>
      <c r="B1" s="1009"/>
      <c r="C1" s="1009"/>
      <c r="D1" s="1009"/>
      <c r="E1" s="1009"/>
      <c r="F1" s="1009"/>
      <c r="G1" s="1009"/>
      <c r="H1" s="1009"/>
      <c r="I1" s="1009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583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582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584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584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584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583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583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583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583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584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583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583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583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582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583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583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584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582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583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584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584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584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583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583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582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584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584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583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583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583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583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583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583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583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583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584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582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584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583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583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582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584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584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584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583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583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583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582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582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584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584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584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584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584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584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584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584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583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583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583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583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582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582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584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584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583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583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583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584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584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584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583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583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583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584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584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583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583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582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584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584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584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583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583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582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582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584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584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584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584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584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584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584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583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583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583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583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582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582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584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584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583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583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583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583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583</v>
      </c>
      <c r="AC647" t="s">
        <v>139</v>
      </c>
      <c r="AD647" t="s">
        <v>583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583</v>
      </c>
      <c r="AC648" t="s">
        <v>568</v>
      </c>
      <c r="AD648" t="s">
        <v>583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584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584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584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584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583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582</v>
      </c>
      <c r="AC705" t="s">
        <v>582</v>
      </c>
      <c r="AD705" t="s">
        <v>582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582</v>
      </c>
      <c r="AC706" t="s">
        <v>584</v>
      </c>
      <c r="AD706" t="s">
        <v>582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582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582</v>
      </c>
      <c r="AC708" t="s">
        <v>428</v>
      </c>
      <c r="AD708" t="s">
        <v>582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584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584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583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583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583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582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582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584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584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584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583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583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583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584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584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584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583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583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583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582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582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582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582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584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584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584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584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584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584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584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584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584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584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584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584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584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584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582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583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583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583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583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583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583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583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583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583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583</v>
      </c>
      <c r="AD892" t="s">
        <v>583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583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583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582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582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582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583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582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584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584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583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583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582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582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584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584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584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583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583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583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583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583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583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583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583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583</v>
      </c>
      <c r="AC1030" t="s">
        <v>407</v>
      </c>
      <c r="AD1030" t="s">
        <v>583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583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583</v>
      </c>
      <c r="AC1032" t="s">
        <v>584</v>
      </c>
      <c r="AD1032" t="s">
        <v>583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583</v>
      </c>
      <c r="AC1033" t="s">
        <v>584</v>
      </c>
      <c r="AD1033" t="s">
        <v>583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583</v>
      </c>
      <c r="AC1034" t="s">
        <v>568</v>
      </c>
      <c r="AD1034" t="s">
        <v>583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584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584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583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584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584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584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584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583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584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584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584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584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583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583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583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583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583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584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584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583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583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582</v>
      </c>
      <c r="AC1144" t="s">
        <v>428</v>
      </c>
      <c r="AD1144" t="s">
        <v>582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584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584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583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583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583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583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583</v>
      </c>
      <c r="AD1161" t="s">
        <v>583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582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582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584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584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584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583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583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583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583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583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584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584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584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584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583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583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582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582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583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584</v>
      </c>
      <c r="AD1274" t="s">
        <v>582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584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584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584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584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584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584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584</v>
      </c>
      <c r="AD1281" t="s">
        <v>583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584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584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584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584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584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582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583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583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583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583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583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583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583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583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583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583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582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584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584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582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582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582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584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584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584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583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583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583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583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583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583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583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583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583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583</v>
      </c>
      <c r="AC1430" t="s">
        <v>139</v>
      </c>
      <c r="AD1430" t="s">
        <v>583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583</v>
      </c>
      <c r="AC1431" t="s">
        <v>584</v>
      </c>
      <c r="AD1431" t="s">
        <v>583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583</v>
      </c>
      <c r="AC1432" t="s">
        <v>584</v>
      </c>
      <c r="AD1432" t="s">
        <v>583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583</v>
      </c>
      <c r="AC1433" t="s">
        <v>583</v>
      </c>
      <c r="AD1433" t="s">
        <v>583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583</v>
      </c>
      <c r="AC1434" t="s">
        <v>583</v>
      </c>
      <c r="AD1434" t="s">
        <v>583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583</v>
      </c>
      <c r="AC1435" t="s">
        <v>430</v>
      </c>
      <c r="AD1435" t="s">
        <v>583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583</v>
      </c>
      <c r="AC1436" t="s">
        <v>428</v>
      </c>
      <c r="AD1436" t="s">
        <v>583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583</v>
      </c>
      <c r="AC1437" t="s">
        <v>568</v>
      </c>
      <c r="AD1437" t="s">
        <v>583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584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584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584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584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584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584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584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584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583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583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583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584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584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583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584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584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584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583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583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584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583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583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582</v>
      </c>
      <c r="AC1547" t="s">
        <v>582</v>
      </c>
      <c r="AD1547" t="s">
        <v>582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582</v>
      </c>
      <c r="AC1548" t="s">
        <v>139</v>
      </c>
      <c r="AD1548" t="s">
        <v>582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582</v>
      </c>
      <c r="AC1549" t="s">
        <v>428</v>
      </c>
      <c r="AD1549" t="s">
        <v>582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582</v>
      </c>
      <c r="AC1550" t="s">
        <v>428</v>
      </c>
      <c r="AD1550" t="s">
        <v>582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582</v>
      </c>
      <c r="AC1551" t="s">
        <v>568</v>
      </c>
      <c r="AD1551" t="s">
        <v>582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584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584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584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583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583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583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582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584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584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584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584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583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583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583</v>
      </c>
      <c r="AD1620" t="s">
        <v>583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583</v>
      </c>
      <c r="AD1621" t="s">
        <v>583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582</v>
      </c>
      <c r="AD1644" t="s">
        <v>582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582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582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582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584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584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584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584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584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584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584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582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583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583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583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583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583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583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583</v>
      </c>
      <c r="AD1686" t="s">
        <v>583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582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584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584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582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582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584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584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583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583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583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583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583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583</v>
      </c>
      <c r="AC1787" t="s">
        <v>407</v>
      </c>
      <c r="AD1787" t="s">
        <v>583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583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583</v>
      </c>
      <c r="AC1789" t="s">
        <v>139</v>
      </c>
      <c r="AD1789" t="s">
        <v>583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583</v>
      </c>
      <c r="AC1790" t="s">
        <v>139</v>
      </c>
      <c r="AD1790" t="s">
        <v>583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583</v>
      </c>
      <c r="AC1791" t="s">
        <v>584</v>
      </c>
      <c r="AD1791" t="s">
        <v>583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583</v>
      </c>
      <c r="AC1792" t="s">
        <v>584</v>
      </c>
      <c r="AD1792" t="s">
        <v>583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583</v>
      </c>
      <c r="AC1793" t="s">
        <v>583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583</v>
      </c>
      <c r="AC1794" t="s">
        <v>583</v>
      </c>
      <c r="AD1794" t="s">
        <v>583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583</v>
      </c>
      <c r="AC1795" t="s">
        <v>428</v>
      </c>
      <c r="AD1795" t="s">
        <v>583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583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583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583</v>
      </c>
      <c r="AC1798" t="s">
        <v>568</v>
      </c>
      <c r="AD1798" t="s">
        <v>583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584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584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582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584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584</v>
      </c>
      <c r="AD1829" t="s">
        <v>583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584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584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583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584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584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584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584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583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582</v>
      </c>
      <c r="AC1890" t="s">
        <v>429</v>
      </c>
      <c r="AD1890" t="s">
        <v>582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582</v>
      </c>
      <c r="AC1891" t="s">
        <v>583</v>
      </c>
      <c r="AD1891" t="s">
        <v>582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582</v>
      </c>
      <c r="AC1892" t="s">
        <v>568</v>
      </c>
      <c r="AD1892" t="s">
        <v>582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582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582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584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583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583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584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584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583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583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584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584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584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583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583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583</v>
      </c>
      <c r="AD1947" t="s">
        <v>583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582</v>
      </c>
      <c r="AD1964" t="s">
        <v>582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582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582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584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584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584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584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584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584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583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583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583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583</v>
      </c>
      <c r="AD1998" t="s">
        <v>583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582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583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583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584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584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584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584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584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584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583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583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583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583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583</v>
      </c>
      <c r="AC2078" t="s">
        <v>139</v>
      </c>
      <c r="AD2078" t="s">
        <v>583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583</v>
      </c>
      <c r="AC2079" t="s">
        <v>139</v>
      </c>
      <c r="AD2079" t="s">
        <v>583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583</v>
      </c>
      <c r="AC2080" t="s">
        <v>584</v>
      </c>
      <c r="AD2080" t="s">
        <v>583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583</v>
      </c>
      <c r="AC2081" t="s">
        <v>429</v>
      </c>
      <c r="AD2081" t="s">
        <v>583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583</v>
      </c>
      <c r="AC2082" t="s">
        <v>409</v>
      </c>
      <c r="AD2082" t="s">
        <v>583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583</v>
      </c>
      <c r="AC2083" t="s">
        <v>583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583</v>
      </c>
      <c r="AC2084" t="s">
        <v>583</v>
      </c>
      <c r="AD2084" t="s">
        <v>583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583</v>
      </c>
      <c r="AC2085" t="s">
        <v>583</v>
      </c>
      <c r="AD2085" t="s">
        <v>583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583</v>
      </c>
      <c r="AC2086" t="s">
        <v>568</v>
      </c>
      <c r="AD2086" t="s">
        <v>583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583</v>
      </c>
      <c r="AC2087" t="s">
        <v>568</v>
      </c>
      <c r="AD2087" t="s">
        <v>583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584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584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584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584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584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583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584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584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583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583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582</v>
      </c>
      <c r="AC2171" t="s">
        <v>582</v>
      </c>
      <c r="AD2171" t="s">
        <v>582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582</v>
      </c>
      <c r="AC2172" t="s">
        <v>582</v>
      </c>
      <c r="AD2172" t="s">
        <v>582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582</v>
      </c>
      <c r="AC2173" t="s">
        <v>427</v>
      </c>
      <c r="AD2173" t="s">
        <v>582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582</v>
      </c>
      <c r="AC2174" t="s">
        <v>429</v>
      </c>
      <c r="AD2174" t="s">
        <v>582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582</v>
      </c>
      <c r="AC2175" t="s">
        <v>429</v>
      </c>
      <c r="AD2175" t="s">
        <v>582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582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582</v>
      </c>
      <c r="AC2177" t="s">
        <v>428</v>
      </c>
      <c r="AD2177" t="s">
        <v>582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582</v>
      </c>
      <c r="AC2178" t="s">
        <v>568</v>
      </c>
      <c r="AD2178" t="s">
        <v>582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583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583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583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583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582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583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583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582</v>
      </c>
      <c r="AD2218" t="s">
        <v>582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582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582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584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584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584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584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583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583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583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583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583</v>
      </c>
      <c r="AD2249" t="s">
        <v>583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583</v>
      </c>
      <c r="AD2250" t="s">
        <v>583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583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583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582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582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584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584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584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584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584</v>
      </c>
      <c r="AD2303" t="s">
        <v>583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584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584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584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583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583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583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583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583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583</v>
      </c>
      <c r="AD2323" t="s">
        <v>583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583</v>
      </c>
      <c r="AD2324" t="s">
        <v>583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582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583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584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584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584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582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584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583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583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583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583</v>
      </c>
      <c r="AC2422" t="s">
        <v>427</v>
      </c>
      <c r="AD2422" t="s">
        <v>583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583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583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583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583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583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583</v>
      </c>
      <c r="AC2428" t="s">
        <v>139</v>
      </c>
      <c r="AD2428" t="s">
        <v>583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583</v>
      </c>
      <c r="AC2429" t="s">
        <v>139</v>
      </c>
      <c r="AD2429" t="s">
        <v>583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583</v>
      </c>
      <c r="AC2430" t="s">
        <v>584</v>
      </c>
      <c r="AD2430" t="s">
        <v>583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583</v>
      </c>
      <c r="AC2431" t="s">
        <v>584</v>
      </c>
      <c r="AD2431" t="s">
        <v>583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583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583</v>
      </c>
      <c r="AC2433" t="s">
        <v>409</v>
      </c>
      <c r="AD2433" t="s">
        <v>583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583</v>
      </c>
      <c r="AC2434" t="s">
        <v>583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583</v>
      </c>
      <c r="AC2435" t="s">
        <v>583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583</v>
      </c>
      <c r="AC2436" t="s">
        <v>583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583</v>
      </c>
      <c r="AC2437" t="s">
        <v>583</v>
      </c>
      <c r="AD2437" t="s">
        <v>583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583</v>
      </c>
      <c r="AC2438" t="s">
        <v>583</v>
      </c>
      <c r="AD2438" t="s">
        <v>583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583</v>
      </c>
      <c r="AC2439" t="s">
        <v>583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583</v>
      </c>
      <c r="AC2440" t="s">
        <v>428</v>
      </c>
      <c r="AD2440" t="s">
        <v>583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583</v>
      </c>
      <c r="AC2441" t="s">
        <v>428</v>
      </c>
      <c r="AD2441" t="s">
        <v>583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583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583</v>
      </c>
      <c r="AC2443" t="s">
        <v>568</v>
      </c>
      <c r="AD2443" t="s">
        <v>583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583</v>
      </c>
      <c r="AC2444" t="s">
        <v>568</v>
      </c>
      <c r="AD2444" t="s">
        <v>583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583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583</v>
      </c>
      <c r="AC2446" t="s">
        <v>431</v>
      </c>
      <c r="AD2446" t="s">
        <v>583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584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583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584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584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584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584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584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584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583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583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583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584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584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584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584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583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583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2021-07-19T14:13:52Z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408557355403900</vt:r8>
  </property>
</Properties>
</file>