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FFECD2B6-30BE-4E0F-B41F-0DB63BB8392C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4" r:id="rId1"/>
    <sheet name="Regions" sheetId="2" r:id="rId2"/>
    <sheet name="EB2018" sheetId="3" r:id="rId3"/>
    <sheet name="Commodities" sheetId="6" r:id="rId4"/>
    <sheet name="Processes" sheetId="5" r:id="rId5"/>
    <sheet name="FT" sheetId="7" r:id="rId6"/>
    <sheet name="DMD" sheetId="10" r:id="rId7"/>
    <sheet name="Demands" sheetId="8" r:id="rId8"/>
    <sheet name="Conversions" sheetId="9" r:id="rId9"/>
  </sheets>
  <definedNames>
    <definedName name="__123Graph_AEUMILKPN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0" l="1"/>
  <c r="I68" i="10"/>
  <c r="I67" i="10"/>
  <c r="I37" i="10"/>
  <c r="I22" i="10"/>
  <c r="I21" i="10"/>
  <c r="I102" i="10"/>
  <c r="I95" i="10"/>
  <c r="I88" i="10"/>
  <c r="I81" i="10"/>
  <c r="I74" i="10"/>
  <c r="I66" i="10"/>
  <c r="I58" i="10"/>
  <c r="I51" i="10"/>
  <c r="I44" i="10"/>
  <c r="I36" i="10"/>
  <c r="I29" i="10"/>
  <c r="I20" i="10"/>
  <c r="I12" i="10"/>
  <c r="I101" i="10"/>
  <c r="I94" i="10"/>
  <c r="I87" i="10"/>
  <c r="I80" i="10"/>
  <c r="I73" i="10"/>
  <c r="I65" i="10"/>
  <c r="I57" i="10"/>
  <c r="I50" i="10"/>
  <c r="I43" i="10"/>
  <c r="I35" i="10"/>
  <c r="I28" i="10"/>
  <c r="I19" i="10"/>
  <c r="I11" i="10"/>
  <c r="I64" i="10"/>
  <c r="I100" i="10"/>
  <c r="I93" i="10"/>
  <c r="I86" i="10"/>
  <c r="I79" i="10"/>
  <c r="I72" i="10"/>
  <c r="I63" i="10"/>
  <c r="I56" i="10"/>
  <c r="I49" i="10"/>
  <c r="I42" i="10"/>
  <c r="I34" i="10"/>
  <c r="I27" i="10"/>
  <c r="I18" i="10"/>
  <c r="I10" i="10"/>
  <c r="I99" i="10"/>
  <c r="I92" i="10"/>
  <c r="I85" i="10"/>
  <c r="I78" i="10"/>
  <c r="I71" i="10"/>
  <c r="I62" i="10"/>
  <c r="I55" i="10"/>
  <c r="I48" i="10"/>
  <c r="I41" i="10"/>
  <c r="I33" i="10"/>
  <c r="I26" i="10"/>
  <c r="I17" i="10"/>
  <c r="I9" i="10"/>
  <c r="I98" i="10"/>
  <c r="I91" i="10"/>
  <c r="I84" i="10"/>
  <c r="I77" i="10"/>
  <c r="I70" i="10"/>
  <c r="I61" i="10"/>
  <c r="I54" i="10"/>
  <c r="I47" i="10"/>
  <c r="I40" i="10"/>
  <c r="I32" i="10"/>
  <c r="I25" i="10"/>
  <c r="I16" i="10"/>
  <c r="I8" i="10"/>
  <c r="I97" i="10"/>
  <c r="I90" i="10"/>
  <c r="I83" i="10"/>
  <c r="I76" i="10"/>
  <c r="I60" i="10"/>
  <c r="I53" i="10"/>
  <c r="I46" i="10"/>
  <c r="I39" i="10"/>
  <c r="I31" i="10"/>
  <c r="I24" i="10"/>
  <c r="I15" i="10"/>
  <c r="I7" i="10"/>
  <c r="I14" i="10"/>
  <c r="I59" i="10"/>
  <c r="I13" i="10"/>
  <c r="E102" i="10"/>
  <c r="E101" i="10"/>
  <c r="E100" i="10"/>
  <c r="E99" i="10"/>
  <c r="E98" i="10"/>
  <c r="E97" i="10"/>
  <c r="E95" i="10"/>
  <c r="E94" i="10"/>
  <c r="E93" i="10"/>
  <c r="E92" i="10"/>
  <c r="E91" i="10"/>
  <c r="E90" i="10"/>
  <c r="E88" i="10"/>
  <c r="E87" i="10"/>
  <c r="E86" i="10"/>
  <c r="E85" i="10"/>
  <c r="E84" i="10"/>
  <c r="E83" i="10"/>
  <c r="E81" i="10"/>
  <c r="E80" i="10"/>
  <c r="E79" i="10"/>
  <c r="E78" i="10"/>
  <c r="E77" i="10"/>
  <c r="E76" i="10"/>
  <c r="E74" i="10"/>
  <c r="E73" i="10"/>
  <c r="E72" i="10"/>
  <c r="E71" i="10"/>
  <c r="E70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1" i="10"/>
  <c r="E50" i="10"/>
  <c r="E49" i="10"/>
  <c r="E48" i="10"/>
  <c r="E47" i="10"/>
  <c r="E46" i="10"/>
  <c r="E44" i="10"/>
  <c r="E43" i="10"/>
  <c r="E42" i="10"/>
  <c r="E41" i="10"/>
  <c r="E40" i="10"/>
  <c r="E39" i="10"/>
  <c r="E37" i="10"/>
  <c r="E36" i="10"/>
  <c r="E35" i="10"/>
  <c r="E34" i="10"/>
  <c r="E33" i="10"/>
  <c r="E32" i="10"/>
  <c r="E31" i="10"/>
  <c r="E29" i="10"/>
  <c r="E28" i="10"/>
  <c r="E27" i="10"/>
  <c r="E26" i="10"/>
  <c r="E25" i="10"/>
  <c r="E24" i="10"/>
  <c r="E22" i="10"/>
  <c r="E21" i="10"/>
  <c r="E20" i="10"/>
  <c r="E19" i="10"/>
  <c r="E18" i="10"/>
  <c r="E17" i="10"/>
  <c r="E16" i="10"/>
  <c r="E15" i="10"/>
  <c r="E14" i="10"/>
  <c r="E12" i="10"/>
  <c r="E11" i="10"/>
  <c r="E10" i="10"/>
  <c r="E9" i="10"/>
  <c r="E8" i="10"/>
  <c r="E7" i="10"/>
  <c r="B13" i="10"/>
  <c r="C13" i="10"/>
  <c r="D13" i="10"/>
  <c r="F13" i="10"/>
  <c r="B23" i="10"/>
  <c r="C23" i="10"/>
  <c r="D23" i="10"/>
  <c r="F23" i="10"/>
  <c r="B30" i="10"/>
  <c r="C30" i="10"/>
  <c r="D30" i="10"/>
  <c r="F30" i="10"/>
  <c r="B38" i="10"/>
  <c r="C38" i="10"/>
  <c r="D38" i="10"/>
  <c r="F38" i="10"/>
  <c r="B45" i="10"/>
  <c r="C45" i="10"/>
  <c r="D45" i="10"/>
  <c r="F45" i="10"/>
  <c r="B52" i="10"/>
  <c r="C52" i="10"/>
  <c r="D52" i="10"/>
  <c r="F52" i="10"/>
  <c r="B59" i="10"/>
  <c r="C59" i="10"/>
  <c r="D59" i="10"/>
  <c r="F59" i="10"/>
  <c r="B69" i="10"/>
  <c r="C69" i="10"/>
  <c r="D69" i="10"/>
  <c r="F69" i="10"/>
  <c r="B75" i="10"/>
  <c r="C75" i="10"/>
  <c r="D75" i="10"/>
  <c r="F75" i="10"/>
  <c r="B82" i="10"/>
  <c r="C82" i="10"/>
  <c r="D82" i="10"/>
  <c r="F82" i="10"/>
  <c r="B89" i="10"/>
  <c r="C89" i="10"/>
  <c r="D89" i="10"/>
  <c r="F89" i="10"/>
  <c r="B96" i="10"/>
  <c r="C96" i="10"/>
  <c r="D96" i="10"/>
  <c r="F96" i="10"/>
  <c r="F6" i="10"/>
  <c r="D6" i="10"/>
  <c r="C6" i="10"/>
  <c r="B6" i="10"/>
  <c r="B9" i="7"/>
  <c r="C9" i="7"/>
  <c r="D9" i="7"/>
  <c r="F9" i="7"/>
  <c r="B10" i="7"/>
  <c r="C10" i="7"/>
  <c r="D10" i="7"/>
  <c r="F10" i="7"/>
  <c r="B11" i="7"/>
  <c r="C11" i="7"/>
  <c r="D11" i="7"/>
  <c r="F11" i="7"/>
  <c r="B12" i="7"/>
  <c r="C12" i="7"/>
  <c r="D12" i="7"/>
  <c r="F12" i="7"/>
  <c r="C22" i="5"/>
  <c r="D22" i="5"/>
  <c r="E22" i="5"/>
  <c r="C23" i="5"/>
  <c r="D23" i="5"/>
  <c r="E23" i="5"/>
  <c r="C24" i="5"/>
  <c r="D24" i="5"/>
  <c r="E24" i="5"/>
  <c r="C25" i="5"/>
  <c r="D25" i="5"/>
  <c r="E25" i="5"/>
  <c r="C8" i="6"/>
  <c r="C9" i="6"/>
  <c r="C10" i="6"/>
  <c r="C11" i="6"/>
  <c r="B8" i="7"/>
  <c r="B13" i="7"/>
  <c r="B14" i="7"/>
  <c r="B15" i="7"/>
  <c r="B16" i="7"/>
  <c r="B17" i="7"/>
  <c r="B7" i="7"/>
  <c r="B6" i="7"/>
  <c r="F7" i="7"/>
  <c r="F8" i="7"/>
  <c r="F13" i="7"/>
  <c r="F14" i="7"/>
  <c r="F15" i="7"/>
  <c r="F16" i="7"/>
  <c r="F17" i="7"/>
  <c r="F6" i="7"/>
  <c r="C5" i="8"/>
  <c r="D5" i="8" s="1"/>
  <c r="C6" i="8"/>
  <c r="C7" i="8"/>
  <c r="C8" i="8"/>
  <c r="C9" i="8"/>
  <c r="C10" i="8"/>
  <c r="C11" i="8"/>
  <c r="D11" i="8" s="1"/>
  <c r="C12" i="8"/>
  <c r="D12" i="8" s="1"/>
  <c r="C13" i="8"/>
  <c r="D13" i="8" s="1"/>
  <c r="C14" i="8"/>
  <c r="C15" i="8"/>
  <c r="C16" i="8"/>
  <c r="C4" i="8"/>
  <c r="D4" i="8" s="1"/>
  <c r="D6" i="8"/>
  <c r="D7" i="8"/>
  <c r="D8" i="8"/>
  <c r="D9" i="8"/>
  <c r="D10" i="8"/>
  <c r="D14" i="8"/>
  <c r="D15" i="8"/>
  <c r="D16" i="8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E6" i="5" l="1"/>
  <c r="E14" i="5"/>
  <c r="D6" i="5"/>
  <c r="D7" i="5"/>
  <c r="D8" i="5"/>
  <c r="D9" i="5"/>
  <c r="D10" i="5"/>
  <c r="D11" i="5"/>
  <c r="D12" i="5"/>
  <c r="D13" i="5"/>
  <c r="D14" i="5"/>
  <c r="D15" i="5"/>
  <c r="D16" i="5"/>
  <c r="D17" i="5"/>
  <c r="D5" i="5"/>
  <c r="C20" i="5"/>
  <c r="C21" i="5"/>
  <c r="C26" i="5"/>
  <c r="C27" i="5"/>
  <c r="C28" i="5"/>
  <c r="C29" i="5"/>
  <c r="C30" i="5"/>
  <c r="C19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E20" i="5"/>
  <c r="D7" i="7" s="1"/>
  <c r="E21" i="5"/>
  <c r="D8" i="7" s="1"/>
  <c r="E26" i="5"/>
  <c r="D13" i="7" s="1"/>
  <c r="E27" i="5"/>
  <c r="D14" i="7" s="1"/>
  <c r="E28" i="5"/>
  <c r="D15" i="7" s="1"/>
  <c r="E29" i="5"/>
  <c r="D16" i="7" s="1"/>
  <c r="E30" i="5"/>
  <c r="D17" i="7" s="1"/>
  <c r="E19" i="5"/>
  <c r="D6" i="7" s="1"/>
  <c r="D30" i="5"/>
  <c r="C17" i="7" s="1"/>
  <c r="D20" i="5"/>
  <c r="C7" i="7" s="1"/>
  <c r="D21" i="5"/>
  <c r="C8" i="7" s="1"/>
  <c r="D26" i="5"/>
  <c r="C13" i="7" s="1"/>
  <c r="D27" i="5"/>
  <c r="C14" i="7" s="1"/>
  <c r="D28" i="5"/>
  <c r="C15" i="7" s="1"/>
  <c r="D29" i="5"/>
  <c r="C16" i="7" s="1"/>
  <c r="D19" i="5"/>
  <c r="C6" i="7" s="1"/>
  <c r="E19" i="6"/>
  <c r="E20" i="6"/>
  <c r="E7" i="5" s="1"/>
  <c r="E21" i="6"/>
  <c r="E8" i="5" s="1"/>
  <c r="E22" i="6"/>
  <c r="E9" i="5" s="1"/>
  <c r="E23" i="6"/>
  <c r="E10" i="5" s="1"/>
  <c r="E24" i="6"/>
  <c r="E11" i="5" s="1"/>
  <c r="E25" i="6"/>
  <c r="E12" i="5" s="1"/>
  <c r="E26" i="6"/>
  <c r="E13" i="5" s="1"/>
  <c r="E27" i="6"/>
  <c r="E28" i="6"/>
  <c r="E15" i="5" s="1"/>
  <c r="E29" i="6"/>
  <c r="E16" i="5" s="1"/>
  <c r="E30" i="6"/>
  <c r="E17" i="5" s="1"/>
  <c r="E18" i="6"/>
  <c r="E5" i="5" s="1"/>
  <c r="C26" i="6"/>
  <c r="C27" i="6"/>
  <c r="C28" i="6"/>
  <c r="C29" i="6"/>
  <c r="C30" i="6"/>
  <c r="C25" i="6"/>
  <c r="C24" i="6"/>
  <c r="C23" i="6"/>
  <c r="C22" i="6"/>
  <c r="C21" i="6"/>
  <c r="C20" i="6"/>
  <c r="C19" i="6"/>
  <c r="C18" i="6"/>
  <c r="C33" i="6"/>
  <c r="C34" i="6"/>
  <c r="C35" i="6"/>
  <c r="C36" i="6"/>
  <c r="C37" i="6"/>
  <c r="C38" i="6"/>
  <c r="C39" i="6"/>
  <c r="C40" i="6"/>
  <c r="C41" i="6"/>
  <c r="C32" i="6"/>
  <c r="C13" i="6"/>
  <c r="C14" i="6"/>
  <c r="C15" i="6"/>
  <c r="C16" i="6"/>
  <c r="C6" i="6"/>
  <c r="C7" i="6"/>
  <c r="C12" i="6"/>
  <c r="C5" i="6"/>
  <c r="AA61" i="3" l="1"/>
  <c r="L61" i="3"/>
  <c r="H61" i="3"/>
  <c r="C61" i="3"/>
  <c r="AM61" i="3" s="1"/>
  <c r="AM60" i="3"/>
  <c r="AA60" i="3"/>
  <c r="L60" i="3"/>
  <c r="H60" i="3"/>
  <c r="C60" i="3"/>
  <c r="AK59" i="3"/>
  <c r="AA59" i="3"/>
  <c r="AA57" i="3" s="1"/>
  <c r="Z59" i="3"/>
  <c r="T59" i="3"/>
  <c r="S59" i="3"/>
  <c r="R59" i="3"/>
  <c r="L59" i="3"/>
  <c r="H59" i="3"/>
  <c r="C59" i="3"/>
  <c r="AM59" i="3" s="1"/>
  <c r="AK58" i="3"/>
  <c r="AA58" i="3"/>
  <c r="Z58" i="3"/>
  <c r="T58" i="3"/>
  <c r="S58" i="3"/>
  <c r="L58" i="3" s="1"/>
  <c r="L57" i="3" s="1"/>
  <c r="H58" i="3"/>
  <c r="H57" i="3" s="1"/>
  <c r="C58" i="3"/>
  <c r="C57" i="3" s="1"/>
  <c r="AM57" i="3" s="1"/>
  <c r="AL57" i="3"/>
  <c r="AJ57" i="3"/>
  <c r="AI57" i="3"/>
  <c r="AH57" i="3"/>
  <c r="AH30" i="3" s="1"/>
  <c r="AG57" i="3"/>
  <c r="AF57" i="3"/>
  <c r="AE57" i="3"/>
  <c r="AD57" i="3"/>
  <c r="AD30" i="3" s="1"/>
  <c r="AC57" i="3"/>
  <c r="AB57" i="3"/>
  <c r="Y57" i="3"/>
  <c r="X57" i="3"/>
  <c r="W57" i="3"/>
  <c r="V57" i="3"/>
  <c r="U57" i="3"/>
  <c r="U30" i="3" s="1"/>
  <c r="Q57" i="3"/>
  <c r="P57" i="3"/>
  <c r="N57" i="3"/>
  <c r="M57" i="3"/>
  <c r="K57" i="3"/>
  <c r="J57" i="3"/>
  <c r="I57" i="3"/>
  <c r="G57" i="3"/>
  <c r="F57" i="3"/>
  <c r="E57" i="3"/>
  <c r="D57" i="3"/>
  <c r="AA56" i="3"/>
  <c r="AM56" i="3" s="1"/>
  <c r="L56" i="3"/>
  <c r="H56" i="3"/>
  <c r="C56" i="3"/>
  <c r="AA55" i="3"/>
  <c r="L55" i="3"/>
  <c r="H55" i="3"/>
  <c r="C55" i="3"/>
  <c r="AM55" i="3" s="1"/>
  <c r="AA54" i="3"/>
  <c r="L54" i="3"/>
  <c r="H54" i="3"/>
  <c r="AM54" i="3" s="1"/>
  <c r="C54" i="3"/>
  <c r="AA53" i="3"/>
  <c r="L53" i="3"/>
  <c r="AM53" i="3" s="1"/>
  <c r="H53" i="3"/>
  <c r="C53" i="3"/>
  <c r="AA52" i="3"/>
  <c r="L52" i="3"/>
  <c r="H52" i="3"/>
  <c r="C52" i="3"/>
  <c r="AM52" i="3" s="1"/>
  <c r="AM51" i="3"/>
  <c r="AA51" i="3"/>
  <c r="L51" i="3"/>
  <c r="H51" i="3"/>
  <c r="C51" i="3"/>
  <c r="AA50" i="3"/>
  <c r="L50" i="3"/>
  <c r="H50" i="3"/>
  <c r="H45" i="3" s="1"/>
  <c r="C50" i="3"/>
  <c r="AM50" i="3" s="1"/>
  <c r="AA49" i="3"/>
  <c r="L49" i="3"/>
  <c r="L45" i="3" s="1"/>
  <c r="H49" i="3"/>
  <c r="C49" i="3"/>
  <c r="AM49" i="3" s="1"/>
  <c r="AA48" i="3"/>
  <c r="AM48" i="3" s="1"/>
  <c r="L48" i="3"/>
  <c r="H48" i="3"/>
  <c r="C48" i="3"/>
  <c r="AM47" i="3"/>
  <c r="AA47" i="3"/>
  <c r="L47" i="3"/>
  <c r="AA46" i="3"/>
  <c r="AM46" i="3" s="1"/>
  <c r="L46" i="3"/>
  <c r="H46" i="3"/>
  <c r="C46" i="3"/>
  <c r="AL45" i="3"/>
  <c r="AK45" i="3"/>
  <c r="AJ45" i="3"/>
  <c r="AI45" i="3"/>
  <c r="AI30" i="3" s="1"/>
  <c r="AH45" i="3"/>
  <c r="AG45" i="3"/>
  <c r="AF45" i="3"/>
  <c r="AE45" i="3"/>
  <c r="AE30" i="3" s="1"/>
  <c r="AD45" i="3"/>
  <c r="AC45" i="3"/>
  <c r="AB45" i="3"/>
  <c r="AA45" i="3"/>
  <c r="Z45" i="3"/>
  <c r="Y45" i="3"/>
  <c r="X45" i="3"/>
  <c r="W45" i="3"/>
  <c r="V45" i="3"/>
  <c r="U45" i="3"/>
  <c r="T45" i="3"/>
  <c r="T30" i="3" s="1"/>
  <c r="S45" i="3"/>
  <c r="S30" i="3" s="1"/>
  <c r="R45" i="3"/>
  <c r="Q45" i="3"/>
  <c r="P45" i="3"/>
  <c r="P30" i="3" s="1"/>
  <c r="O45" i="3"/>
  <c r="O30" i="3" s="1"/>
  <c r="N45" i="3"/>
  <c r="M45" i="3"/>
  <c r="K45" i="3"/>
  <c r="K30" i="3" s="1"/>
  <c r="J45" i="3"/>
  <c r="I45" i="3"/>
  <c r="G45" i="3"/>
  <c r="G30" i="3" s="1"/>
  <c r="F45" i="3"/>
  <c r="E45" i="3"/>
  <c r="D45" i="3"/>
  <c r="D30" i="3" s="1"/>
  <c r="C45" i="3"/>
  <c r="AM45" i="3" s="1"/>
  <c r="AA44" i="3"/>
  <c r="L44" i="3"/>
  <c r="H44" i="3"/>
  <c r="AM44" i="3" s="1"/>
  <c r="C44" i="3"/>
  <c r="AA43" i="3"/>
  <c r="L43" i="3"/>
  <c r="AM43" i="3" s="1"/>
  <c r="H43" i="3"/>
  <c r="C43" i="3"/>
  <c r="AA42" i="3"/>
  <c r="L42" i="3"/>
  <c r="H42" i="3"/>
  <c r="C42" i="3"/>
  <c r="AM42" i="3" s="1"/>
  <c r="AM41" i="3"/>
  <c r="AA41" i="3"/>
  <c r="L41" i="3"/>
  <c r="H41" i="3"/>
  <c r="C41" i="3"/>
  <c r="AA40" i="3"/>
  <c r="L40" i="3"/>
  <c r="H40" i="3"/>
  <c r="C40" i="3"/>
  <c r="AM40" i="3" s="1"/>
  <c r="AA39" i="3"/>
  <c r="L39" i="3"/>
  <c r="H39" i="3"/>
  <c r="C39" i="3"/>
  <c r="AM39" i="3" s="1"/>
  <c r="AA38" i="3"/>
  <c r="AM38" i="3" s="1"/>
  <c r="L38" i="3"/>
  <c r="H38" i="3"/>
  <c r="C38" i="3"/>
  <c r="AA37" i="3"/>
  <c r="L37" i="3"/>
  <c r="H37" i="3"/>
  <c r="C37" i="3"/>
  <c r="AM37" i="3" s="1"/>
  <c r="AA36" i="3"/>
  <c r="L36" i="3"/>
  <c r="H36" i="3"/>
  <c r="AM36" i="3" s="1"/>
  <c r="C36" i="3"/>
  <c r="AA35" i="3"/>
  <c r="L35" i="3"/>
  <c r="AM35" i="3" s="1"/>
  <c r="H35" i="3"/>
  <c r="C35" i="3"/>
  <c r="AA34" i="3"/>
  <c r="L34" i="3"/>
  <c r="H34" i="3"/>
  <c r="C34" i="3"/>
  <c r="AM34" i="3" s="1"/>
  <c r="AM33" i="3"/>
  <c r="AA33" i="3"/>
  <c r="L33" i="3"/>
  <c r="H33" i="3"/>
  <c r="C33" i="3"/>
  <c r="C31" i="3" s="1"/>
  <c r="AA32" i="3"/>
  <c r="L32" i="3"/>
  <c r="H32" i="3"/>
  <c r="C32" i="3"/>
  <c r="AM32" i="3" s="1"/>
  <c r="AL31" i="3"/>
  <c r="AJ31" i="3"/>
  <c r="AJ30" i="3" s="1"/>
  <c r="AI31" i="3"/>
  <c r="AH31" i="3"/>
  <c r="AG31" i="3"/>
  <c r="AF31" i="3"/>
  <c r="AF30" i="3" s="1"/>
  <c r="AD31" i="3"/>
  <c r="AC31" i="3"/>
  <c r="AB31" i="3"/>
  <c r="AB30" i="3" s="1"/>
  <c r="Y31" i="3"/>
  <c r="X31" i="3"/>
  <c r="X30" i="3" s="1"/>
  <c r="W31" i="3"/>
  <c r="W30" i="3" s="1"/>
  <c r="V31" i="3"/>
  <c r="V30" i="3" s="1"/>
  <c r="Q31" i="3"/>
  <c r="N31" i="3"/>
  <c r="M31" i="3"/>
  <c r="K31" i="3"/>
  <c r="J31" i="3"/>
  <c r="I31" i="3"/>
  <c r="H31" i="3"/>
  <c r="H30" i="3" s="1"/>
  <c r="AL30" i="3"/>
  <c r="AK30" i="3"/>
  <c r="AG30" i="3"/>
  <c r="AC30" i="3"/>
  <c r="Z30" i="3"/>
  <c r="Y30" i="3"/>
  <c r="R30" i="3"/>
  <c r="Q30" i="3"/>
  <c r="N30" i="3"/>
  <c r="M30" i="3"/>
  <c r="J30" i="3"/>
  <c r="I30" i="3"/>
  <c r="F30" i="3"/>
  <c r="E30" i="3"/>
  <c r="AA29" i="3"/>
  <c r="AA28" i="3" s="1"/>
  <c r="H29" i="3"/>
  <c r="C29" i="3"/>
  <c r="C28" i="3" s="1"/>
  <c r="AL28" i="3"/>
  <c r="AK28" i="3"/>
  <c r="AJ28" i="3"/>
  <c r="AI28" i="3"/>
  <c r="AH28" i="3"/>
  <c r="AG28" i="3"/>
  <c r="AF28" i="3"/>
  <c r="AE28" i="3"/>
  <c r="AD28" i="3"/>
  <c r="AC28" i="3"/>
  <c r="AB28" i="3"/>
  <c r="Z28" i="3"/>
  <c r="U28" i="3"/>
  <c r="T28" i="3"/>
  <c r="S28" i="3"/>
  <c r="R28" i="3"/>
  <c r="Q28" i="3"/>
  <c r="P28" i="3"/>
  <c r="O28" i="3"/>
  <c r="N28" i="3"/>
  <c r="M28" i="3"/>
  <c r="K28" i="3"/>
  <c r="J28" i="3"/>
  <c r="I28" i="3"/>
  <c r="H28" i="3"/>
  <c r="G28" i="3"/>
  <c r="F28" i="3"/>
  <c r="E28" i="3"/>
  <c r="D28" i="3"/>
  <c r="AL27" i="3"/>
  <c r="AL62" i="3" s="1"/>
  <c r="AH27" i="3"/>
  <c r="AH62" i="3" s="1"/>
  <c r="AD27" i="3"/>
  <c r="Z27" i="3"/>
  <c r="Z62" i="3" s="1"/>
  <c r="V27" i="3"/>
  <c r="V62" i="3" s="1"/>
  <c r="R27" i="3"/>
  <c r="R62" i="3" s="1"/>
  <c r="N27" i="3"/>
  <c r="N62" i="3" s="1"/>
  <c r="J27" i="3"/>
  <c r="J62" i="3" s="1"/>
  <c r="F27" i="3"/>
  <c r="F62" i="3" s="1"/>
  <c r="AM26" i="3"/>
  <c r="AA26" i="3"/>
  <c r="L26" i="3"/>
  <c r="H26" i="3"/>
  <c r="C26" i="3"/>
  <c r="AA25" i="3"/>
  <c r="L25" i="3"/>
  <c r="E25" i="3"/>
  <c r="C25" i="3" s="1"/>
  <c r="AM24" i="3"/>
  <c r="AK23" i="3"/>
  <c r="AK22" i="3" s="1"/>
  <c r="AC23" i="3"/>
  <c r="AB23" i="3"/>
  <c r="AA23" i="3"/>
  <c r="AM23" i="3" s="1"/>
  <c r="AL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L22" i="3" s="1"/>
  <c r="N22" i="3"/>
  <c r="M22" i="3"/>
  <c r="K22" i="3"/>
  <c r="H22" i="3" s="1"/>
  <c r="J22" i="3"/>
  <c r="I22" i="3"/>
  <c r="G22" i="3"/>
  <c r="F22" i="3"/>
  <c r="D22" i="3"/>
  <c r="AA21" i="3"/>
  <c r="L21" i="3"/>
  <c r="H21" i="3"/>
  <c r="AM21" i="3" s="1"/>
  <c r="AA20" i="3"/>
  <c r="L20" i="3"/>
  <c r="H20" i="3"/>
  <c r="AM20" i="3" s="1"/>
  <c r="AM19" i="3"/>
  <c r="AA18" i="3"/>
  <c r="AM18" i="3" s="1"/>
  <c r="AM17" i="3"/>
  <c r="AA17" i="3"/>
  <c r="L17" i="3"/>
  <c r="H17" i="3"/>
  <c r="C17" i="3"/>
  <c r="C15" i="3" s="1"/>
  <c r="AA16" i="3"/>
  <c r="L16" i="3"/>
  <c r="L15" i="3" s="1"/>
  <c r="H16" i="3"/>
  <c r="H15" i="3" s="1"/>
  <c r="C16" i="3"/>
  <c r="AM16" i="3" s="1"/>
  <c r="AL15" i="3"/>
  <c r="AK15" i="3"/>
  <c r="AJ15" i="3"/>
  <c r="AI15" i="3"/>
  <c r="AH15" i="3"/>
  <c r="AG15" i="3"/>
  <c r="AF15" i="3"/>
  <c r="AE15" i="3"/>
  <c r="AD15" i="3"/>
  <c r="AC15" i="3"/>
  <c r="AB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G15" i="3"/>
  <c r="F15" i="3"/>
  <c r="E15" i="3"/>
  <c r="D15" i="3"/>
  <c r="AA14" i="3"/>
  <c r="AM14" i="3" s="1"/>
  <c r="L14" i="3"/>
  <c r="H14" i="3"/>
  <c r="C14" i="3"/>
  <c r="AA13" i="3"/>
  <c r="L13" i="3"/>
  <c r="H13" i="3"/>
  <c r="H9" i="3" s="1"/>
  <c r="C13" i="3"/>
  <c r="AM13" i="3" s="1"/>
  <c r="AM12" i="3"/>
  <c r="AA11" i="3"/>
  <c r="L11" i="3"/>
  <c r="L9" i="3" s="1"/>
  <c r="H11" i="3"/>
  <c r="C11" i="3"/>
  <c r="AM11" i="3" s="1"/>
  <c r="AA10" i="3"/>
  <c r="AM10" i="3" s="1"/>
  <c r="L10" i="3"/>
  <c r="H10" i="3"/>
  <c r="C10" i="3"/>
  <c r="AL9" i="3"/>
  <c r="AK9" i="3"/>
  <c r="AJ9" i="3"/>
  <c r="AJ27" i="3" s="1"/>
  <c r="AI9" i="3"/>
  <c r="AI27" i="3" s="1"/>
  <c r="AI62" i="3" s="1"/>
  <c r="AH9" i="3"/>
  <c r="AG9" i="3"/>
  <c r="AF9" i="3"/>
  <c r="AF27" i="3" s="1"/>
  <c r="AF62" i="3" s="1"/>
  <c r="AE9" i="3"/>
  <c r="AE27" i="3" s="1"/>
  <c r="AE62" i="3" s="1"/>
  <c r="AD9" i="3"/>
  <c r="AC9" i="3"/>
  <c r="AB9" i="3"/>
  <c r="AB27" i="3" s="1"/>
  <c r="AB62" i="3" s="1"/>
  <c r="AA9" i="3"/>
  <c r="Z9" i="3"/>
  <c r="Y9" i="3"/>
  <c r="X9" i="3"/>
  <c r="X27" i="3" s="1"/>
  <c r="W9" i="3"/>
  <c r="W27" i="3" s="1"/>
  <c r="V9" i="3"/>
  <c r="U9" i="3"/>
  <c r="T9" i="3"/>
  <c r="T27" i="3" s="1"/>
  <c r="S9" i="3"/>
  <c r="S27" i="3" s="1"/>
  <c r="S62" i="3" s="1"/>
  <c r="R9" i="3"/>
  <c r="Q9" i="3"/>
  <c r="P9" i="3"/>
  <c r="P27" i="3" s="1"/>
  <c r="P62" i="3" s="1"/>
  <c r="O9" i="3"/>
  <c r="O27" i="3" s="1"/>
  <c r="O62" i="3" s="1"/>
  <c r="N9" i="3"/>
  <c r="M9" i="3"/>
  <c r="K9" i="3"/>
  <c r="K27" i="3" s="1"/>
  <c r="J9" i="3"/>
  <c r="I9" i="3"/>
  <c r="G9" i="3"/>
  <c r="G27" i="3" s="1"/>
  <c r="G62" i="3" s="1"/>
  <c r="F9" i="3"/>
  <c r="E9" i="3"/>
  <c r="D9" i="3"/>
  <c r="D27" i="3" s="1"/>
  <c r="D62" i="3" s="1"/>
  <c r="C9" i="3"/>
  <c r="AM9" i="3" s="1"/>
  <c r="AJ8" i="3"/>
  <c r="AF8" i="3"/>
  <c r="AB8" i="3"/>
  <c r="T8" i="3"/>
  <c r="P8" i="3"/>
  <c r="D8" i="3"/>
  <c r="AL7" i="3"/>
  <c r="AL8" i="3" s="1"/>
  <c r="AK7" i="3"/>
  <c r="AK8" i="3" s="1"/>
  <c r="AJ7" i="3"/>
  <c r="AI7" i="3"/>
  <c r="AI8" i="3" s="1"/>
  <c r="AH7" i="3"/>
  <c r="AH8" i="3" s="1"/>
  <c r="AG7" i="3"/>
  <c r="AG8" i="3" s="1"/>
  <c r="AF7" i="3"/>
  <c r="AE7" i="3"/>
  <c r="AE8" i="3" s="1"/>
  <c r="AD7" i="3"/>
  <c r="AD8" i="3" s="1"/>
  <c r="AC7" i="3"/>
  <c r="AC8" i="3" s="1"/>
  <c r="AB7" i="3"/>
  <c r="Z7" i="3"/>
  <c r="Z8" i="3" s="1"/>
  <c r="Y7" i="3"/>
  <c r="X7" i="3"/>
  <c r="W7" i="3"/>
  <c r="V7" i="3"/>
  <c r="V8" i="3" s="1"/>
  <c r="U7" i="3"/>
  <c r="U8" i="3" s="1"/>
  <c r="T7" i="3"/>
  <c r="S7" i="3"/>
  <c r="S8" i="3" s="1"/>
  <c r="R7" i="3"/>
  <c r="R8" i="3" s="1"/>
  <c r="Q7" i="3"/>
  <c r="Q8" i="3" s="1"/>
  <c r="P7" i="3"/>
  <c r="O7" i="3"/>
  <c r="O8" i="3" s="1"/>
  <c r="N7" i="3"/>
  <c r="N8" i="3" s="1"/>
  <c r="M7" i="3"/>
  <c r="M8" i="3" s="1"/>
  <c r="K7" i="3"/>
  <c r="K8" i="3" s="1"/>
  <c r="J7" i="3"/>
  <c r="J8" i="3" s="1"/>
  <c r="I7" i="3"/>
  <c r="I8" i="3" s="1"/>
  <c r="G7" i="3"/>
  <c r="G8" i="3" s="1"/>
  <c r="F7" i="3"/>
  <c r="F8" i="3" s="1"/>
  <c r="E7" i="3"/>
  <c r="E8" i="3" s="1"/>
  <c r="D7" i="3"/>
  <c r="AA6" i="3"/>
  <c r="L6" i="3"/>
  <c r="H6" i="3"/>
  <c r="C6" i="3"/>
  <c r="AM6" i="3" s="1"/>
  <c r="AM5" i="3"/>
  <c r="AA5" i="3"/>
  <c r="L5" i="3"/>
  <c r="H5" i="3"/>
  <c r="C5" i="3"/>
  <c r="AA4" i="3"/>
  <c r="L4" i="3"/>
  <c r="H4" i="3"/>
  <c r="C4" i="3"/>
  <c r="AM4" i="3" s="1"/>
  <c r="AA3" i="3"/>
  <c r="L3" i="3"/>
  <c r="H3" i="3"/>
  <c r="C3" i="3"/>
  <c r="AM3" i="3" s="1"/>
  <c r="AA2" i="3"/>
  <c r="AM2" i="3" s="1"/>
  <c r="L2" i="3"/>
  <c r="L7" i="3" s="1"/>
  <c r="H2" i="3"/>
  <c r="H7" i="3" s="1"/>
  <c r="C2" i="3"/>
  <c r="C7" i="3" s="1"/>
  <c r="D7" i="2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W29" i="3" l="1"/>
  <c r="X29" i="3"/>
  <c r="X28" i="3" s="1"/>
  <c r="X8" i="3" s="1"/>
  <c r="X62" i="3"/>
  <c r="C8" i="3"/>
  <c r="H8" i="3"/>
  <c r="H27" i="3"/>
  <c r="H62" i="3" s="1"/>
  <c r="AD62" i="3"/>
  <c r="L27" i="3"/>
  <c r="K62" i="3"/>
  <c r="T62" i="3"/>
  <c r="AJ62" i="3"/>
  <c r="C30" i="3"/>
  <c r="C22" i="3"/>
  <c r="C27" i="3" s="1"/>
  <c r="AM25" i="3"/>
  <c r="AM22" i="3" s="1"/>
  <c r="I6" i="2"/>
  <c r="Q6" i="2"/>
  <c r="Y6" i="2"/>
  <c r="M27" i="3"/>
  <c r="M62" i="3" s="1"/>
  <c r="U27" i="3"/>
  <c r="U62" i="3" s="1"/>
  <c r="AC27" i="3"/>
  <c r="AC62" i="3" s="1"/>
  <c r="AK27" i="3"/>
  <c r="AK62" i="3" s="1"/>
  <c r="J6" i="2"/>
  <c r="R6" i="2"/>
  <c r="Z6" i="2"/>
  <c r="L31" i="3"/>
  <c r="L30" i="3" s="1"/>
  <c r="AA31" i="3"/>
  <c r="AA30" i="3" s="1"/>
  <c r="K6" i="2"/>
  <c r="S6" i="2"/>
  <c r="AA6" i="2"/>
  <c r="G7" i="2"/>
  <c r="O7" i="2"/>
  <c r="W7" i="2"/>
  <c r="L6" i="2"/>
  <c r="T6" i="2"/>
  <c r="AB6" i="2"/>
  <c r="H7" i="2"/>
  <c r="P7" i="2"/>
  <c r="X7" i="2"/>
  <c r="AA7" i="3"/>
  <c r="AM7" i="3" s="1"/>
  <c r="E22" i="3"/>
  <c r="E27" i="3" s="1"/>
  <c r="E62" i="3" s="1"/>
  <c r="I27" i="3"/>
  <c r="I62" i="3" s="1"/>
  <c r="Q27" i="3"/>
  <c r="Q62" i="3" s="1"/>
  <c r="Y27" i="3"/>
  <c r="AG27" i="3"/>
  <c r="AG62" i="3" s="1"/>
  <c r="AM58" i="3"/>
  <c r="AA15" i="3"/>
  <c r="AM15" i="3" s="1"/>
  <c r="C62" i="3" l="1"/>
  <c r="W28" i="3"/>
  <c r="Y29" i="3"/>
  <c r="Y28" i="3" s="1"/>
  <c r="Y8" i="3" s="1"/>
  <c r="Y62" i="3"/>
  <c r="AM31" i="3"/>
  <c r="AA27" i="3"/>
  <c r="AA62" i="3" s="1"/>
  <c r="AA8" i="3"/>
  <c r="AM30" i="3"/>
  <c r="AM27" i="3" l="1"/>
  <c r="L29" i="3"/>
  <c r="W8" i="3"/>
  <c r="W62" i="3"/>
  <c r="AM29" i="3" l="1"/>
  <c r="AM28" i="3" s="1"/>
  <c r="L28" i="3"/>
  <c r="L8" i="3" l="1"/>
  <c r="AM8" i="3" s="1"/>
  <c r="L62" i="3"/>
  <c r="AM6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<sst xmlns="http://schemas.openxmlformats.org/spreadsheetml/2006/main" count="464" uniqueCount="302">
  <si>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</si>
  <si>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</si>
  <si>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</si>
  <si>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</si>
  <si>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</si>
  <si>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</si>
  <si>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</si>
  <si>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</si>
  <si>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</si>
  <si>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</si>
  <si>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</si>
  <si>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</si>
  <si>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</si>
  <si>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</si>
  <si>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</si>
  <si>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</si>
  <si>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</si>
  <si>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</si>
  <si>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</si>
  <si>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</si>
  <si>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</si>
  <si>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</si>
  <si>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</si>
  <si>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</si>
  <si>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</si>
  <si>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</si>
  <si>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</si>
  <si>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</si>
  <si>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</si>
  <si>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</si>
  <si>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</si>
  <si>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</si>
  <si>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</si>
  <si>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</si>
  <si>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</si>
  <si>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</si>
  <si>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</si>
  <si>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</si>
  <si>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</si>
  <si>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</si>
  <si>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</si>
  <si>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</si>
  <si>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</si>
  <si>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</si>
  <si>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</si>
  <si>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</si>
  <si>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</si>
  <si>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</si>
  <si>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</si>
  <si>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</si>
  <si>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</si>
  <si>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</si>
  <si>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</si>
  <si>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</si>
  <si>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</si>
  <si>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</si>
  <si>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</si>
  <si>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</si>
  <si>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</si>
  <si>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</si>
  <si>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2018                         Units = ktoe
</t>
  </si>
  <si>
    <t>NACE 
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</si>
  <si>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</si>
  <si>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</si>
  <si>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</si>
  <si>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</si>
  <si>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</si>
  <si>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</si>
  <si>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</si>
  <si>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</si>
  <si>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</si>
  <si>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</si>
  <si>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</si>
  <si>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</si>
  <si>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</si>
  <si>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</si>
  <si>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</si>
  <si>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</si>
  <si>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</si>
  <si>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</si>
  <si>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</si>
  <si>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</si>
  <si>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</si>
  <si>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</si>
  <si>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</si>
  <si>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</si>
  <si>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</si>
  <si>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</si>
  <si>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</si>
  <si>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</si>
  <si>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</si>
  <si>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</si>
  <si>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</si>
  <si>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</si>
  <si>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</si>
  <si>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</si>
  <si>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</si>
  <si>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</si>
  <si>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</si>
  <si>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</si>
  <si>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</si>
  <si>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</si>
  <si>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</si>
  <si>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</si>
  <si>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</si>
  <si>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</si>
  <si>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</si>
  <si>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</si>
  <si>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</si>
  <si>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</si>
  <si>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</si>
  <si>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</si>
  <si>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</si>
  <si>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</si>
  <si>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</si>
  <si>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</si>
  <si>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</si>
  <si>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</si>
  <si>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</si>
  <si>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</si>
  <si>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</si>
  <si>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</si>
  <si>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</si>
  <si>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</si>
  <si>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</si>
  <si>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</si>
  <si>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</si>
  <si>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</si>
  <si>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</si>
  <si>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</si>
  <si>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</si>
  <si>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</si>
  <si>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</si>
  <si>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</si>
  <si>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</si>
  <si>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</si>
  <si>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</si>
  <si>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</si>
  <si>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</si>
  <si>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</si>
  <si>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</si>
  <si>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</si>
  <si>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</si>
  <si>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</si>
  <si>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</si>
  <si>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</si>
  <si>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</si>
  <si>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</si>
  <si>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</si>
  <si>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</si>
  <si>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</si>
  <si>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</si>
  <si>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</si>
  <si>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</si>
  <si>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</si>
  <si>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</si>
  <si>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</si>
  <si>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</si>
  <si>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</si>
  <si>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</si>
  <si>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</si>
  <si>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</si>
  <si>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</si>
  <si>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</si>
  <si>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</si>
  <si>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</si>
  <si>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</si>
  <si>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</si>
  <si>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</si>
  <si>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</si>
  <si>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</si>
  <si>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* Industry sub-sectoral breakdown is based on the CIP 2009.</t>
  </si>
  <si>
    <t>Last Updated : 30th September 2019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</si>
  <si>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</si>
  <si>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</si>
  <si>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</si>
  <si>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</si>
  <si>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</si>
  <si>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</si>
  <si>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</si>
  <si>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</si>
  <si>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</si>
  <si>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</si>
  <si>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</si>
  <si>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</si>
  <si>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</si>
  <si>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</si>
  <si>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</si>
  <si>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</si>
  <si>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</si>
  <si>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</si>
  <si>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</si>
  <si>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</si>
  <si>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</si>
  <si>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</si>
  <si>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</si>
  <si>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</si>
  <si>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BIOMSW2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</si>
  <si>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</si>
  <si>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</si>
  <si>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</si>
  <si>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</si>
  <si>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</si>
  <si>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</si>
  <si>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</si>
  <si>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</si>
  <si>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</si>
  <si>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</si>
  <si>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</si>
  <si>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</si>
  <si>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</si>
  <si>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</si>
  <si>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</si>
  <si>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</si>
  <si>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</si>
  <si>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</si>
  <si>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</si>
  <si>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</si>
  <si>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</si>
  <si>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</si>
  <si>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</si>
  <si>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</si>
  <si>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</si>
  <si>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</si>
  <si>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</si>
  <si>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</si>
  <si>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</si>
  <si>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</si>
  <si>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</si>
  <si>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</si>
  <si>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INDBRW</t>
  </si>
  <si>
    <t>Biomass and renewable waste (IND)</t>
  </si>
  <si>
    <t>INDNRW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</si>
  <si>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</si>
  <si>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</si>
  <si>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</si>
  <si>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</si>
  <si>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</si>
  <si>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</si>
  <si>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</si>
  <si>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</si>
  <si>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</si>
  <si>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</si>
  <si>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</si>
  <si>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</si>
  <si>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</si>
  <si>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</si>
  <si>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</si>
  <si>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</si>
  <si>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</si>
  <si>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</si>
  <si>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</si>
  <si>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</si>
  <si>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</si>
  <si>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</si>
  <si>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</si>
  <si>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</si>
  <si>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</si>
  <si>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</si>
  <si>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</si>
  <si>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</si>
  <si>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</si>
  <si>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</si>
  <si>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</si>
  <si>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</si>
  <si>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</si>
  <si>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</si>
  <si>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</si>
  <si>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</si>
  <si>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</si>
  <si>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</si>
  <si>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</si>
  <si>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</si>
  <si>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</si>
  <si>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</si>
  <si>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</si>
  <si>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</si>
  <si>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</si>
  <si>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</si>
  <si>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</si>
  <si>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</si>
  <si>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</si>
  <si>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</si>
  <si>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</si>
  <si>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</si>
  <si>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</si>
  <si>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</si>
  <si>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BIOWOO,BIOMSW1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</si>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</sst>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;[Red]\-#,##0.0"/>
    <numFmt numFmtId="165" formatCode="0.0%"/>
    <numFmt numFmtId="166" formatCode="dd/mm/yyyy;@"/>
    <numFmt numFmtId="167" formatCode="\Te\x\t"/>
    <numFmt numFmtId="168" formatCode="0.000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</fills>
  <borders count="1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302">
    <xf numFmtId="0" fontId="0" fillId="0" borderId="0" xfId="0"/>
    <xf numFmtId="0" fontId="2" fillId="0" borderId="0" xfId="1"/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 applyProtection="1">
      <alignment horizontal="left" vertical="center"/>
      <protection locked="0"/>
    </xf>
    <xf numFmtId="0" fontId="1" fillId="3" borderId="2" xfId="1" applyFont="1" applyFill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38" fontId="4" fillId="0" borderId="0" xfId="1" applyNumberFormat="1" applyFont="1" applyAlignment="1">
      <alignment horizontal="left" wrapText="1"/>
    </xf>
    <xf numFmtId="38" fontId="5" fillId="0" borderId="6" xfId="1" applyNumberFormat="1" applyFont="1" applyBorder="1" applyAlignment="1">
      <alignment horizontal="center" wrapText="1"/>
    </xf>
    <xf numFmtId="38" fontId="5" fillId="0" borderId="7" xfId="1" applyNumberFormat="1" applyFont="1" applyBorder="1" applyAlignment="1">
      <alignment horizontal="center" textRotation="90" wrapText="1"/>
    </xf>
    <xf numFmtId="38" fontId="5" fillId="0" borderId="8" xfId="1" applyNumberFormat="1" applyFont="1" applyBorder="1" applyAlignment="1">
      <alignment horizontal="center" textRotation="90" wrapText="1"/>
    </xf>
    <xf numFmtId="38" fontId="5" fillId="0" borderId="9" xfId="1" applyNumberFormat="1" applyFont="1" applyBorder="1" applyAlignment="1">
      <alignment horizontal="center" textRotation="90" wrapText="1"/>
    </xf>
    <xf numFmtId="38" fontId="5" fillId="0" borderId="10" xfId="1" applyNumberFormat="1" applyFont="1" applyBorder="1" applyAlignment="1">
      <alignment horizontal="center" textRotation="90" wrapText="1"/>
    </xf>
    <xf numFmtId="38" fontId="5" fillId="0" borderId="11" xfId="1" applyNumberFormat="1" applyFont="1" applyBorder="1" applyAlignment="1">
      <alignment horizontal="center" textRotation="90" wrapText="1"/>
    </xf>
    <xf numFmtId="38" fontId="5" fillId="0" borderId="12" xfId="1" applyNumberFormat="1" applyFont="1" applyBorder="1" applyAlignment="1">
      <alignment horizontal="center" textRotation="90" wrapText="1"/>
    </xf>
    <xf numFmtId="38" fontId="5" fillId="0" borderId="13" xfId="1" applyNumberFormat="1" applyFont="1" applyBorder="1" applyAlignment="1">
      <alignment horizontal="center" textRotation="90" wrapText="1"/>
    </xf>
    <xf numFmtId="38" fontId="5" fillId="0" borderId="14" xfId="1" applyNumberFormat="1" applyFont="1" applyBorder="1" applyAlignment="1">
      <alignment horizontal="center" textRotation="90" wrapText="1"/>
    </xf>
    <xf numFmtId="38" fontId="6" fillId="0" borderId="0" xfId="1" applyNumberFormat="1" applyFont="1"/>
    <xf numFmtId="38" fontId="7" fillId="4" borderId="0" xfId="1" applyNumberFormat="1" applyFont="1" applyFill="1"/>
    <xf numFmtId="38" fontId="6" fillId="0" borderId="15" xfId="1" applyNumberFormat="1" applyFont="1" applyBorder="1" applyAlignment="1">
      <alignment horizontal="left"/>
    </xf>
    <xf numFmtId="38" fontId="5" fillId="0" borderId="16" xfId="1" applyNumberFormat="1" applyFont="1" applyBorder="1" applyAlignment="1">
      <alignment horizontal="center"/>
    </xf>
    <xf numFmtId="38" fontId="5" fillId="0" borderId="17" xfId="1" applyNumberFormat="1" applyFont="1" applyBorder="1" applyAlignment="1">
      <alignment horizontal="center"/>
    </xf>
    <xf numFmtId="38" fontId="5" fillId="0" borderId="18" xfId="1" applyNumberFormat="1" applyFont="1" applyBorder="1" applyAlignment="1">
      <alignment horizontal="center"/>
    </xf>
    <xf numFmtId="38" fontId="5" fillId="0" borderId="19" xfId="1" applyNumberFormat="1" applyFont="1" applyBorder="1" applyAlignment="1">
      <alignment horizontal="center"/>
    </xf>
    <xf numFmtId="38" fontId="6" fillId="0" borderId="20" xfId="1" applyNumberFormat="1" applyFont="1" applyBorder="1" applyAlignment="1">
      <alignment horizontal="center"/>
    </xf>
    <xf numFmtId="38" fontId="5" fillId="0" borderId="21" xfId="1" applyNumberFormat="1" applyFont="1" applyBorder="1" applyAlignment="1">
      <alignment horizontal="center"/>
    </xf>
    <xf numFmtId="38" fontId="6" fillId="0" borderId="18" xfId="1" applyNumberFormat="1" applyFont="1" applyBorder="1" applyAlignment="1">
      <alignment horizontal="center"/>
    </xf>
    <xf numFmtId="38" fontId="6" fillId="5" borderId="19" xfId="1" applyNumberFormat="1" applyFont="1" applyFill="1" applyBorder="1" applyAlignment="1">
      <alignment horizontal="center"/>
    </xf>
    <xf numFmtId="38" fontId="6" fillId="0" borderId="19" xfId="1" applyNumberFormat="1" applyFont="1" applyBorder="1" applyAlignment="1">
      <alignment horizontal="center"/>
    </xf>
    <xf numFmtId="38" fontId="6" fillId="0" borderId="22" xfId="1" applyNumberFormat="1" applyFont="1" applyBorder="1" applyAlignment="1">
      <alignment horizontal="center"/>
    </xf>
    <xf numFmtId="38" fontId="5" fillId="0" borderId="15" xfId="1" applyNumberFormat="1" applyFont="1" applyBorder="1" applyAlignment="1">
      <alignment horizontal="center"/>
    </xf>
    <xf numFmtId="38" fontId="6" fillId="0" borderId="23" xfId="1" applyNumberFormat="1" applyFont="1" applyBorder="1" applyAlignment="1">
      <alignment horizontal="center"/>
    </xf>
    <xf numFmtId="38" fontId="6" fillId="0" borderId="21" xfId="1" applyNumberFormat="1" applyFont="1" applyBorder="1" applyAlignment="1">
      <alignment horizontal="center"/>
    </xf>
    <xf numFmtId="38" fontId="6" fillId="0" borderId="24" xfId="1" applyNumberFormat="1" applyFont="1" applyBorder="1" applyAlignment="1">
      <alignment horizontal="center"/>
    </xf>
    <xf numFmtId="38" fontId="8" fillId="4" borderId="0" xfId="1" applyNumberFormat="1" applyFont="1" applyFill="1"/>
    <xf numFmtId="38" fontId="6" fillId="0" borderId="25" xfId="1" applyNumberFormat="1" applyFont="1" applyBorder="1" applyAlignment="1">
      <alignment horizontal="left"/>
    </xf>
    <xf numFmtId="38" fontId="5" fillId="0" borderId="26" xfId="1" applyNumberFormat="1" applyFont="1" applyBorder="1" applyAlignment="1">
      <alignment horizontal="center"/>
    </xf>
    <xf numFmtId="38" fontId="5" fillId="0" borderId="27" xfId="1" applyNumberFormat="1" applyFont="1" applyBorder="1" applyAlignment="1">
      <alignment horizontal="center"/>
    </xf>
    <xf numFmtId="38" fontId="5" fillId="0" borderId="28" xfId="1" applyNumberFormat="1" applyFont="1" applyBorder="1" applyAlignment="1">
      <alignment horizontal="center"/>
    </xf>
    <xf numFmtId="38" fontId="5" fillId="0" borderId="29" xfId="1" applyNumberFormat="1" applyFont="1" applyBorder="1" applyAlignment="1">
      <alignment horizontal="center"/>
    </xf>
    <xf numFmtId="38" fontId="6" fillId="0" borderId="29" xfId="1" applyNumberFormat="1" applyFont="1" applyBorder="1" applyAlignment="1">
      <alignment horizontal="center"/>
    </xf>
    <xf numFmtId="38" fontId="5" fillId="0" borderId="30" xfId="1" applyNumberFormat="1" applyFont="1" applyBorder="1" applyAlignment="1">
      <alignment horizontal="center"/>
    </xf>
    <xf numFmtId="38" fontId="6" fillId="0" borderId="28" xfId="1" applyNumberFormat="1" applyFont="1" applyBorder="1" applyAlignment="1">
      <alignment horizontal="center"/>
    </xf>
    <xf numFmtId="38" fontId="6" fillId="5" borderId="31" xfId="1" applyNumberFormat="1" applyFont="1" applyFill="1" applyBorder="1" applyAlignment="1">
      <alignment horizontal="center"/>
    </xf>
    <xf numFmtId="38" fontId="6" fillId="0" borderId="31" xfId="1" applyNumberFormat="1" applyFont="1" applyBorder="1" applyAlignment="1">
      <alignment horizontal="center"/>
    </xf>
    <xf numFmtId="38" fontId="5" fillId="0" borderId="25" xfId="1" applyNumberFormat="1" applyFont="1" applyBorder="1" applyAlignment="1">
      <alignment horizontal="center"/>
    </xf>
    <xf numFmtId="38" fontId="6" fillId="0" borderId="32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5" fillId="0" borderId="31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left"/>
    </xf>
    <xf numFmtId="38" fontId="5" fillId="0" borderId="35" xfId="1" applyNumberFormat="1" applyFont="1" applyBorder="1" applyAlignment="1">
      <alignment horizontal="center"/>
    </xf>
    <xf numFmtId="38" fontId="5" fillId="0" borderId="36" xfId="1" applyNumberFormat="1" applyFont="1" applyBorder="1" applyAlignment="1">
      <alignment horizontal="center"/>
    </xf>
    <xf numFmtId="38" fontId="6" fillId="0" borderId="37" xfId="1" applyNumberFormat="1" applyFont="1" applyBorder="1" applyAlignment="1">
      <alignment horizontal="center"/>
    </xf>
    <xf numFmtId="38" fontId="5" fillId="0" borderId="38" xfId="1" applyNumberFormat="1" applyFont="1" applyBorder="1" applyAlignment="1">
      <alignment horizontal="center"/>
    </xf>
    <xf numFmtId="38" fontId="6" fillId="0" borderId="36" xfId="1" applyNumberFormat="1" applyFont="1" applyBorder="1" applyAlignment="1">
      <alignment horizontal="center"/>
    </xf>
    <xf numFmtId="38" fontId="6" fillId="5" borderId="36" xfId="1" applyNumberFormat="1" applyFont="1" applyFill="1" applyBorder="1" applyAlignment="1">
      <alignment horizontal="center"/>
    </xf>
    <xf numFmtId="38" fontId="5" fillId="0" borderId="34" xfId="1" applyNumberFormat="1" applyFont="1" applyBorder="1" applyAlignment="1">
      <alignment horizontal="center"/>
    </xf>
    <xf numFmtId="38" fontId="6" fillId="0" borderId="39" xfId="1" applyNumberFormat="1" applyFont="1" applyBorder="1" applyAlignment="1">
      <alignment horizontal="center"/>
    </xf>
    <xf numFmtId="38" fontId="6" fillId="0" borderId="40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38" fontId="6" fillId="0" borderId="41" xfId="1" applyNumberFormat="1" applyFont="1" applyBorder="1" applyAlignment="1">
      <alignment horizontal="center"/>
    </xf>
    <xf numFmtId="38" fontId="5" fillId="0" borderId="42" xfId="1" applyNumberFormat="1" applyFont="1" applyBorder="1" applyAlignment="1">
      <alignment horizontal="left"/>
    </xf>
    <xf numFmtId="38" fontId="5" fillId="0" borderId="43" xfId="1" applyNumberFormat="1" applyFont="1" applyBorder="1" applyAlignment="1">
      <alignment horizontal="center"/>
    </xf>
    <xf numFmtId="38" fontId="5" fillId="0" borderId="44" xfId="1" applyNumberFormat="1" applyFont="1" applyBorder="1" applyAlignment="1">
      <alignment horizontal="center"/>
    </xf>
    <xf numFmtId="38" fontId="5" fillId="0" borderId="42" xfId="1" applyNumberFormat="1" applyFont="1" applyBorder="1" applyAlignment="1">
      <alignment horizontal="center"/>
    </xf>
    <xf numFmtId="38" fontId="5" fillId="0" borderId="22" xfId="1" applyNumberFormat="1" applyFont="1" applyBorder="1" applyAlignment="1">
      <alignment horizontal="center"/>
    </xf>
    <xf numFmtId="38" fontId="5" fillId="0" borderId="45" xfId="1" applyNumberFormat="1" applyFont="1" applyBorder="1" applyAlignment="1">
      <alignment horizontal="center"/>
    </xf>
    <xf numFmtId="38" fontId="5" fillId="5" borderId="22" xfId="1" applyNumberFormat="1" applyFont="1" applyFill="1" applyBorder="1" applyAlignment="1">
      <alignment horizontal="center"/>
    </xf>
    <xf numFmtId="38" fontId="5" fillId="0" borderId="46" xfId="1" applyNumberFormat="1" applyFont="1" applyBorder="1" applyAlignment="1">
      <alignment horizontal="center"/>
    </xf>
    <xf numFmtId="38" fontId="5" fillId="0" borderId="47" xfId="1" applyNumberFormat="1" applyFont="1" applyBorder="1" applyAlignment="1">
      <alignment horizontal="center"/>
    </xf>
    <xf numFmtId="38" fontId="5" fillId="0" borderId="48" xfId="1" applyNumberFormat="1" applyFont="1" applyBorder="1" applyAlignment="1">
      <alignment horizontal="center"/>
    </xf>
    <xf numFmtId="38" fontId="9" fillId="4" borderId="0" xfId="1" applyNumberFormat="1" applyFont="1" applyFill="1"/>
    <xf numFmtId="38" fontId="5" fillId="0" borderId="0" xfId="1" applyNumberFormat="1" applyFont="1"/>
    <xf numFmtId="38" fontId="5" fillId="0" borderId="2" xfId="1" applyNumberFormat="1" applyFont="1" applyBorder="1" applyAlignment="1">
      <alignment horizontal="left"/>
    </xf>
    <xf numFmtId="38" fontId="5" fillId="0" borderId="49" xfId="1" applyNumberFormat="1" applyFont="1" applyBorder="1" applyAlignment="1">
      <alignment horizontal="center"/>
    </xf>
    <xf numFmtId="38" fontId="5" fillId="0" borderId="50" xfId="1" applyNumberFormat="1" applyFont="1" applyBorder="1" applyAlignment="1">
      <alignment horizontal="center"/>
    </xf>
    <xf numFmtId="38" fontId="5" fillId="0" borderId="2" xfId="1" applyNumberFormat="1" applyFont="1" applyBorder="1" applyAlignment="1">
      <alignment horizontal="center"/>
    </xf>
    <xf numFmtId="38" fontId="5" fillId="0" borderId="51" xfId="1" applyNumberFormat="1" applyFont="1" applyBorder="1" applyAlignment="1">
      <alignment horizontal="center"/>
    </xf>
    <xf numFmtId="38" fontId="5" fillId="0" borderId="52" xfId="1" applyNumberFormat="1" applyFont="1" applyBorder="1" applyAlignment="1">
      <alignment horizontal="center"/>
    </xf>
    <xf numFmtId="38" fontId="5" fillId="0" borderId="53" xfId="1" applyNumberFormat="1" applyFont="1" applyBorder="1" applyAlignment="1">
      <alignment horizontal="center"/>
    </xf>
    <xf numFmtId="38" fontId="5" fillId="5" borderId="51" xfId="1" applyNumberFormat="1" applyFont="1" applyFill="1" applyBorder="1" applyAlignment="1">
      <alignment horizontal="center"/>
    </xf>
    <xf numFmtId="38" fontId="6" fillId="0" borderId="53" xfId="1" applyNumberFormat="1" applyFont="1" applyBorder="1" applyAlignment="1">
      <alignment horizontal="center"/>
    </xf>
    <xf numFmtId="38" fontId="5" fillId="0" borderId="54" xfId="1" applyNumberFormat="1" applyFont="1" applyBorder="1" applyAlignment="1">
      <alignment horizontal="center"/>
    </xf>
    <xf numFmtId="38" fontId="5" fillId="0" borderId="55" xfId="1" applyNumberFormat="1" applyFont="1" applyBorder="1" applyAlignment="1">
      <alignment horizontal="center"/>
    </xf>
    <xf numFmtId="38" fontId="5" fillId="0" borderId="56" xfId="1" applyNumberFormat="1" applyFont="1" applyBorder="1" applyAlignment="1">
      <alignment horizontal="center"/>
    </xf>
    <xf numFmtId="38" fontId="5" fillId="0" borderId="57" xfId="1" applyNumberFormat="1" applyFont="1" applyBorder="1" applyAlignment="1">
      <alignment horizontal="center"/>
    </xf>
    <xf numFmtId="38" fontId="5" fillId="0" borderId="58" xfId="1" applyNumberFormat="1" applyFont="1" applyBorder="1" applyAlignment="1">
      <alignment horizontal="center"/>
    </xf>
    <xf numFmtId="38" fontId="6" fillId="0" borderId="59" xfId="1" applyNumberFormat="1" applyFont="1" applyBorder="1" applyAlignment="1">
      <alignment horizontal="left"/>
    </xf>
    <xf numFmtId="38" fontId="5" fillId="0" borderId="60" xfId="1" applyNumberFormat="1" applyFont="1" applyBorder="1" applyAlignment="1">
      <alignment horizontal="center"/>
    </xf>
    <xf numFmtId="38" fontId="5" fillId="0" borderId="61" xfId="1" applyNumberFormat="1" applyFont="1" applyBorder="1" applyAlignment="1">
      <alignment horizontal="center"/>
    </xf>
    <xf numFmtId="38" fontId="6" fillId="0" borderId="62" xfId="1" applyNumberFormat="1" applyFont="1" applyBorder="1" applyAlignment="1">
      <alignment horizontal="center"/>
    </xf>
    <xf numFmtId="38" fontId="6" fillId="0" borderId="63" xfId="1" applyNumberFormat="1" applyFont="1" applyBorder="1" applyAlignment="1">
      <alignment horizontal="center"/>
    </xf>
    <xf numFmtId="38" fontId="6" fillId="0" borderId="64" xfId="1" applyNumberFormat="1" applyFont="1" applyBorder="1" applyAlignment="1">
      <alignment horizontal="center"/>
    </xf>
    <xf numFmtId="38" fontId="5" fillId="0" borderId="65" xfId="1" applyNumberFormat="1" applyFont="1" applyBorder="1" applyAlignment="1">
      <alignment horizontal="center"/>
    </xf>
    <xf numFmtId="38" fontId="6" fillId="5" borderId="63" xfId="1" applyNumberFormat="1" applyFont="1" applyFill="1" applyBorder="1" applyAlignment="1">
      <alignment horizontal="center"/>
    </xf>
    <xf numFmtId="38" fontId="5" fillId="0" borderId="59" xfId="1" applyNumberFormat="1" applyFont="1" applyBorder="1" applyAlignment="1">
      <alignment horizontal="center"/>
    </xf>
    <xf numFmtId="38" fontId="6" fillId="0" borderId="66" xfId="1" applyNumberFormat="1" applyFont="1" applyBorder="1" applyAlignment="1">
      <alignment horizontal="center"/>
    </xf>
    <xf numFmtId="38" fontId="6" fillId="0" borderId="65" xfId="1" applyNumberFormat="1" applyFont="1" applyBorder="1" applyAlignment="1">
      <alignment horizontal="center"/>
    </xf>
    <xf numFmtId="38" fontId="6" fillId="0" borderId="67" xfId="1" applyNumberFormat="1" applyFont="1" applyBorder="1" applyAlignment="1">
      <alignment horizontal="center"/>
    </xf>
    <xf numFmtId="38" fontId="6" fillId="0" borderId="68" xfId="1" applyNumberFormat="1" applyFont="1" applyBorder="1" applyAlignment="1">
      <alignment horizontal="center"/>
    </xf>
    <xf numFmtId="38" fontId="6" fillId="0" borderId="69" xfId="1" applyNumberFormat="1" applyFont="1" applyBorder="1" applyAlignment="1">
      <alignment horizontal="left"/>
    </xf>
    <xf numFmtId="38" fontId="5" fillId="0" borderId="70" xfId="1" applyNumberFormat="1" applyFont="1" applyBorder="1" applyAlignment="1">
      <alignment horizontal="center"/>
    </xf>
    <xf numFmtId="38" fontId="5" fillId="0" borderId="71" xfId="1" applyNumberFormat="1" applyFont="1" applyBorder="1" applyAlignment="1">
      <alignment horizontal="center"/>
    </xf>
    <xf numFmtId="38" fontId="6" fillId="0" borderId="72" xfId="1" applyNumberFormat="1" applyFont="1" applyBorder="1" applyAlignment="1">
      <alignment horizontal="center"/>
    </xf>
    <xf numFmtId="38" fontId="6" fillId="0" borderId="73" xfId="1" applyNumberFormat="1" applyFont="1" applyBorder="1" applyAlignment="1">
      <alignment horizontal="center"/>
    </xf>
    <xf numFmtId="38" fontId="6" fillId="0" borderId="74" xfId="1" applyNumberFormat="1" applyFont="1" applyBorder="1" applyAlignment="1">
      <alignment horizontal="center"/>
    </xf>
    <xf numFmtId="38" fontId="5" fillId="0" borderId="75" xfId="1" applyNumberFormat="1" applyFont="1" applyBorder="1" applyAlignment="1">
      <alignment horizontal="center"/>
    </xf>
    <xf numFmtId="38" fontId="6" fillId="5" borderId="73" xfId="1" applyNumberFormat="1" applyFont="1" applyFill="1" applyBorder="1" applyAlignment="1">
      <alignment horizontal="center"/>
    </xf>
    <xf numFmtId="38" fontId="5" fillId="0" borderId="69" xfId="1" applyNumberFormat="1" applyFont="1" applyBorder="1" applyAlignment="1">
      <alignment horizontal="center"/>
    </xf>
    <xf numFmtId="38" fontId="6" fillId="0" borderId="76" xfId="1" applyNumberFormat="1" applyFont="1" applyBorder="1" applyAlignment="1">
      <alignment horizontal="center"/>
    </xf>
    <xf numFmtId="38" fontId="6" fillId="0" borderId="75" xfId="1" applyNumberFormat="1" applyFont="1" applyBorder="1" applyAlignment="1">
      <alignment horizontal="center"/>
    </xf>
    <xf numFmtId="38" fontId="6" fillId="0" borderId="77" xfId="1" applyNumberFormat="1" applyFont="1" applyBorder="1" applyAlignment="1">
      <alignment horizontal="center"/>
    </xf>
    <xf numFmtId="38" fontId="5" fillId="0" borderId="0" xfId="1" applyNumberFormat="1" applyFont="1" applyAlignment="1">
      <alignment horizontal="left"/>
    </xf>
    <xf numFmtId="38" fontId="5" fillId="0" borderId="6" xfId="1" applyNumberFormat="1" applyFont="1" applyBorder="1" applyAlignment="1">
      <alignment horizontal="center"/>
    </xf>
    <xf numFmtId="38" fontId="5" fillId="0" borderId="78" xfId="1" applyNumberFormat="1" applyFont="1" applyBorder="1" applyAlignment="1">
      <alignment horizontal="center"/>
    </xf>
    <xf numFmtId="38" fontId="5" fillId="0" borderId="79" xfId="1" applyNumberFormat="1" applyFont="1" applyBorder="1" applyAlignment="1">
      <alignment horizontal="center"/>
    </xf>
    <xf numFmtId="38" fontId="5" fillId="0" borderId="80" xfId="1" applyNumberFormat="1" applyFont="1" applyBorder="1" applyAlignment="1">
      <alignment horizontal="center"/>
    </xf>
    <xf numFmtId="38" fontId="5" fillId="0" borderId="81" xfId="1" applyNumberFormat="1" applyFont="1" applyBorder="1" applyAlignment="1">
      <alignment horizontal="center"/>
    </xf>
    <xf numFmtId="38" fontId="5" fillId="0" borderId="5" xfId="1" applyNumberFormat="1" applyFont="1" applyBorder="1" applyAlignment="1">
      <alignment horizontal="center"/>
    </xf>
    <xf numFmtId="38" fontId="5" fillId="5" borderId="80" xfId="1" applyNumberFormat="1" applyFont="1" applyFill="1" applyBorder="1" applyAlignment="1">
      <alignment horizontal="center"/>
    </xf>
    <xf numFmtId="38" fontId="5" fillId="0" borderId="0" xfId="1" applyNumberFormat="1" applyFont="1" applyAlignment="1">
      <alignment horizontal="center"/>
    </xf>
    <xf numFmtId="38" fontId="5" fillId="0" borderId="82" xfId="1" applyNumberFormat="1" applyFont="1" applyBorder="1" applyAlignment="1">
      <alignment horizontal="center"/>
    </xf>
    <xf numFmtId="38" fontId="5" fillId="0" borderId="83" xfId="1" applyNumberFormat="1" applyFont="1" applyBorder="1" applyAlignment="1">
      <alignment horizontal="center"/>
    </xf>
    <xf numFmtId="38" fontId="5" fillId="0" borderId="84" xfId="1" applyNumberFormat="1" applyFont="1" applyBorder="1" applyAlignment="1">
      <alignment horizontal="center"/>
    </xf>
    <xf numFmtId="38" fontId="6" fillId="0" borderId="85" xfId="1" applyNumberFormat="1" applyFont="1" applyBorder="1" applyAlignment="1">
      <alignment horizontal="center"/>
    </xf>
    <xf numFmtId="1" fontId="6" fillId="0" borderId="30" xfId="1" applyNumberFormat="1" applyFont="1" applyBorder="1" applyAlignment="1">
      <alignment horizontal="center"/>
    </xf>
    <xf numFmtId="38" fontId="5" fillId="0" borderId="86" xfId="1" applyNumberFormat="1" applyFont="1" applyBorder="1" applyAlignment="1">
      <alignment horizontal="left"/>
    </xf>
    <xf numFmtId="38" fontId="5" fillId="0" borderId="87" xfId="1" applyNumberFormat="1" applyFont="1" applyBorder="1" applyAlignment="1">
      <alignment horizontal="center"/>
    </xf>
    <xf numFmtId="38" fontId="5" fillId="0" borderId="88" xfId="1" applyNumberFormat="1" applyFont="1" applyBorder="1" applyAlignment="1">
      <alignment horizontal="center"/>
    </xf>
    <xf numFmtId="38" fontId="6" fillId="0" borderId="89" xfId="1" applyNumberFormat="1" applyFont="1" applyBorder="1" applyAlignment="1">
      <alignment horizontal="center"/>
    </xf>
    <xf numFmtId="38" fontId="6" fillId="0" borderId="90" xfId="1" applyNumberFormat="1" applyFont="1" applyBorder="1" applyAlignment="1">
      <alignment horizontal="center"/>
    </xf>
    <xf numFmtId="38" fontId="6" fillId="0" borderId="91" xfId="1" applyNumberFormat="1" applyFont="1" applyBorder="1" applyAlignment="1">
      <alignment horizontal="center"/>
    </xf>
    <xf numFmtId="38" fontId="5" fillId="0" borderId="92" xfId="1" applyNumberFormat="1" applyFont="1" applyBorder="1" applyAlignment="1">
      <alignment horizontal="center"/>
    </xf>
    <xf numFmtId="38" fontId="6" fillId="5" borderId="90" xfId="1" applyNumberFormat="1" applyFont="1" applyFill="1" applyBorder="1" applyAlignment="1">
      <alignment horizontal="center"/>
    </xf>
    <xf numFmtId="38" fontId="5" fillId="0" borderId="86" xfId="1" applyNumberFormat="1" applyFont="1" applyBorder="1" applyAlignment="1">
      <alignment horizontal="center"/>
    </xf>
    <xf numFmtId="38" fontId="6" fillId="0" borderId="93" xfId="1" applyNumberFormat="1" applyFont="1" applyBorder="1" applyAlignment="1">
      <alignment horizontal="center"/>
    </xf>
    <xf numFmtId="38" fontId="6" fillId="0" borderId="83" xfId="1" applyNumberFormat="1" applyFont="1" applyBorder="1" applyAlignment="1">
      <alignment horizontal="center"/>
    </xf>
    <xf numFmtId="38" fontId="6" fillId="0" borderId="92" xfId="1" applyNumberFormat="1" applyFont="1" applyBorder="1" applyAlignment="1">
      <alignment horizontal="center"/>
    </xf>
    <xf numFmtId="38" fontId="6" fillId="0" borderId="94" xfId="1" applyNumberFormat="1" applyFont="1" applyBorder="1" applyAlignment="1">
      <alignment horizontal="center"/>
    </xf>
    <xf numFmtId="38" fontId="5" fillId="0" borderId="95" xfId="1" applyNumberFormat="1" applyFont="1" applyBorder="1" applyAlignment="1">
      <alignment horizontal="center"/>
    </xf>
    <xf numFmtId="38" fontId="5" fillId="0" borderId="96" xfId="1" applyNumberFormat="1" applyFont="1" applyBorder="1" applyAlignment="1">
      <alignment horizontal="center"/>
    </xf>
    <xf numFmtId="38" fontId="5" fillId="0" borderId="63" xfId="1" applyNumberFormat="1" applyFont="1" applyBorder="1" applyAlignment="1">
      <alignment horizontal="center"/>
    </xf>
    <xf numFmtId="38" fontId="6" fillId="0" borderId="59" xfId="1" applyNumberFormat="1" applyFont="1" applyBorder="1" applyAlignment="1">
      <alignment horizontal="center"/>
    </xf>
    <xf numFmtId="38" fontId="6" fillId="0" borderId="0" xfId="1" applyNumberFormat="1" applyFont="1" applyAlignment="1">
      <alignment horizontal="left"/>
    </xf>
    <xf numFmtId="38" fontId="5" fillId="0" borderId="97" xfId="1" applyNumberFormat="1" applyFont="1" applyBorder="1" applyAlignment="1">
      <alignment horizontal="center"/>
    </xf>
    <xf numFmtId="38" fontId="5" fillId="0" borderId="98" xfId="1" applyNumberFormat="1" applyFont="1" applyBorder="1" applyAlignment="1">
      <alignment horizontal="center"/>
    </xf>
    <xf numFmtId="38" fontId="6" fillId="0" borderId="81" xfId="1" applyNumberFormat="1" applyFont="1" applyBorder="1" applyAlignment="1">
      <alignment horizontal="center"/>
    </xf>
    <xf numFmtId="38" fontId="6" fillId="0" borderId="0" xfId="1" applyNumberFormat="1" applyFont="1" applyAlignment="1">
      <alignment horizontal="center"/>
    </xf>
    <xf numFmtId="38" fontId="6" fillId="5" borderId="80" xfId="1" applyNumberFormat="1" applyFont="1" applyFill="1" applyBorder="1" applyAlignment="1">
      <alignment horizontal="center"/>
    </xf>
    <xf numFmtId="38" fontId="6" fillId="0" borderId="80" xfId="1" applyNumberFormat="1" applyFont="1" applyBorder="1" applyAlignment="1">
      <alignment horizontal="center"/>
    </xf>
    <xf numFmtId="38" fontId="6" fillId="0" borderId="82" xfId="1" applyNumberFormat="1" applyFont="1" applyBorder="1" applyAlignment="1">
      <alignment horizontal="center"/>
    </xf>
    <xf numFmtId="38" fontId="6" fillId="0" borderId="79" xfId="1" applyNumberFormat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84" xfId="1" applyNumberFormat="1" applyFont="1" applyBorder="1" applyAlignment="1">
      <alignment horizontal="center"/>
    </xf>
    <xf numFmtId="38" fontId="5" fillId="0" borderId="99" xfId="1" applyNumberFormat="1" applyFont="1" applyBorder="1" applyAlignment="1">
      <alignment horizontal="center"/>
    </xf>
    <xf numFmtId="38" fontId="6" fillId="0" borderId="100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6" fillId="5" borderId="40" xfId="1" applyNumberFormat="1" applyFont="1" applyFill="1" applyBorder="1" applyAlignment="1">
      <alignment horizontal="center"/>
    </xf>
    <xf numFmtId="38" fontId="5" fillId="0" borderId="101" xfId="1" applyNumberFormat="1" applyFont="1" applyBorder="1" applyAlignment="1">
      <alignment horizontal="left"/>
    </xf>
    <xf numFmtId="38" fontId="5" fillId="0" borderId="102" xfId="1" applyNumberFormat="1" applyFont="1" applyBorder="1" applyAlignment="1">
      <alignment horizontal="center"/>
    </xf>
    <xf numFmtId="38" fontId="5" fillId="0" borderId="103" xfId="1" applyNumberFormat="1" applyFont="1" applyBorder="1" applyAlignment="1">
      <alignment horizontal="center"/>
    </xf>
    <xf numFmtId="38" fontId="5" fillId="0" borderId="104" xfId="1" applyNumberFormat="1" applyFont="1" applyBorder="1" applyAlignment="1">
      <alignment horizontal="center"/>
    </xf>
    <xf numFmtId="38" fontId="5" fillId="0" borderId="105" xfId="1" applyNumberFormat="1" applyFont="1" applyBorder="1" applyAlignment="1">
      <alignment horizontal="center"/>
    </xf>
    <xf numFmtId="38" fontId="5" fillId="0" borderId="106" xfId="1" applyNumberFormat="1" applyFont="1" applyBorder="1" applyAlignment="1">
      <alignment horizontal="center"/>
    </xf>
    <xf numFmtId="38" fontId="5" fillId="5" borderId="105" xfId="1" applyNumberFormat="1" applyFont="1" applyFill="1" applyBorder="1" applyAlignment="1">
      <alignment horizontal="center"/>
    </xf>
    <xf numFmtId="38" fontId="5" fillId="0" borderId="101" xfId="1" applyNumberFormat="1" applyFont="1" applyBorder="1" applyAlignment="1">
      <alignment horizontal="center"/>
    </xf>
    <xf numFmtId="38" fontId="5" fillId="0" borderId="107" xfId="1" applyNumberFormat="1" applyFont="1" applyBorder="1" applyAlignment="1">
      <alignment horizontal="center"/>
    </xf>
    <xf numFmtId="38" fontId="5" fillId="0" borderId="108" xfId="1" applyNumberFormat="1" applyFont="1" applyBorder="1" applyAlignment="1">
      <alignment horizontal="center"/>
    </xf>
    <xf numFmtId="38" fontId="6" fillId="0" borderId="86" xfId="1" applyNumberFormat="1" applyFont="1" applyBorder="1" applyAlignment="1">
      <alignment horizontal="left"/>
    </xf>
    <xf numFmtId="38" fontId="6" fillId="0" borderId="87" xfId="1" applyNumberFormat="1" applyFont="1" applyBorder="1" applyAlignment="1">
      <alignment horizontal="center"/>
    </xf>
    <xf numFmtId="38" fontId="6" fillId="0" borderId="88" xfId="1" applyNumberFormat="1" applyFont="1" applyBorder="1" applyAlignment="1">
      <alignment horizontal="center"/>
    </xf>
    <xf numFmtId="38" fontId="6" fillId="0" borderId="86" xfId="1" applyNumberFormat="1" applyFont="1" applyBorder="1" applyAlignment="1">
      <alignment horizontal="center"/>
    </xf>
    <xf numFmtId="38" fontId="5" fillId="5" borderId="46" xfId="1" applyNumberFormat="1" applyFont="1" applyFill="1" applyBorder="1" applyAlignment="1">
      <alignment horizontal="center"/>
    </xf>
    <xf numFmtId="38" fontId="5" fillId="0" borderId="109" xfId="1" applyNumberFormat="1" applyFont="1" applyBorder="1" applyAlignment="1">
      <alignment horizontal="left"/>
    </xf>
    <xf numFmtId="38" fontId="5" fillId="0" borderId="110" xfId="1" applyNumberFormat="1" applyFont="1" applyBorder="1" applyAlignment="1">
      <alignment horizontal="center"/>
    </xf>
    <xf numFmtId="38" fontId="5" fillId="0" borderId="111" xfId="1" applyNumberFormat="1" applyFont="1" applyBorder="1" applyAlignment="1">
      <alignment horizontal="center"/>
    </xf>
    <xf numFmtId="38" fontId="5" fillId="0" borderId="112" xfId="1" applyNumberFormat="1" applyFont="1" applyBorder="1" applyAlignment="1">
      <alignment horizontal="center"/>
    </xf>
    <xf numFmtId="38" fontId="5" fillId="0" borderId="113" xfId="1" applyNumberFormat="1" applyFont="1" applyBorder="1" applyAlignment="1">
      <alignment horizontal="center"/>
    </xf>
    <xf numFmtId="38" fontId="5" fillId="0" borderId="114" xfId="1" applyNumberFormat="1" applyFont="1" applyBorder="1" applyAlignment="1">
      <alignment horizontal="center"/>
    </xf>
    <xf numFmtId="38" fontId="5" fillId="0" borderId="115" xfId="1" applyNumberFormat="1" applyFont="1" applyBorder="1" applyAlignment="1">
      <alignment horizontal="center"/>
    </xf>
    <xf numFmtId="38" fontId="5" fillId="5" borderId="112" xfId="1" applyNumberFormat="1" applyFont="1" applyFill="1" applyBorder="1" applyAlignment="1">
      <alignment horizontal="center"/>
    </xf>
    <xf numFmtId="38" fontId="5" fillId="0" borderId="109" xfId="1" applyNumberFormat="1" applyFont="1" applyBorder="1" applyAlignment="1">
      <alignment horizontal="center"/>
    </xf>
    <xf numFmtId="38" fontId="5" fillId="0" borderId="116" xfId="1" applyNumberFormat="1" applyFont="1" applyBorder="1" applyAlignment="1">
      <alignment horizontal="center"/>
    </xf>
    <xf numFmtId="164" fontId="9" fillId="4" borderId="0" xfId="1" applyNumberFormat="1" applyFont="1" applyFill="1"/>
    <xf numFmtId="38" fontId="6" fillId="0" borderId="117" xfId="1" applyNumberFormat="1" applyFont="1" applyBorder="1" applyAlignment="1">
      <alignment horizontal="left" vertical="top" wrapText="1"/>
    </xf>
    <xf numFmtId="38" fontId="6" fillId="0" borderId="118" xfId="1" applyNumberFormat="1" applyFont="1" applyBorder="1" applyAlignment="1">
      <alignment vertical="top"/>
    </xf>
    <xf numFmtId="38" fontId="5" fillId="0" borderId="119" xfId="1" applyNumberFormat="1" applyFont="1" applyBorder="1" applyAlignment="1">
      <alignment horizontal="center"/>
    </xf>
    <xf numFmtId="38" fontId="6" fillId="0" borderId="120" xfId="1" applyNumberFormat="1" applyFont="1" applyBorder="1" applyAlignment="1">
      <alignment horizontal="center"/>
    </xf>
    <xf numFmtId="38" fontId="5" fillId="0" borderId="121" xfId="1" applyNumberFormat="1" applyFont="1" applyBorder="1" applyAlignment="1">
      <alignment horizontal="center"/>
    </xf>
    <xf numFmtId="38" fontId="6" fillId="0" borderId="122" xfId="1" applyNumberFormat="1" applyFont="1" applyBorder="1" applyAlignment="1">
      <alignment horizontal="center"/>
    </xf>
    <xf numFmtId="38" fontId="6" fillId="5" borderId="68" xfId="1" applyNumberFormat="1" applyFont="1" applyFill="1" applyBorder="1" applyAlignment="1">
      <alignment horizontal="center"/>
    </xf>
    <xf numFmtId="38" fontId="5" fillId="6" borderId="121" xfId="1" applyNumberFormat="1" applyFont="1" applyFill="1" applyBorder="1" applyAlignment="1">
      <alignment horizontal="center"/>
    </xf>
    <xf numFmtId="38" fontId="6" fillId="6" borderId="65" xfId="1" applyNumberFormat="1" applyFont="1" applyFill="1" applyBorder="1" applyAlignment="1">
      <alignment horizontal="center"/>
    </xf>
    <xf numFmtId="38" fontId="5" fillId="0" borderId="117" xfId="1" applyNumberFormat="1" applyFont="1" applyBorder="1" applyAlignment="1">
      <alignment horizontal="center"/>
    </xf>
    <xf numFmtId="38" fontId="6" fillId="0" borderId="123" xfId="1" applyNumberFormat="1" applyFont="1" applyBorder="1" applyAlignment="1">
      <alignment horizontal="center"/>
    </xf>
    <xf numFmtId="38" fontId="6" fillId="7" borderId="25" xfId="1" applyNumberFormat="1" applyFont="1" applyFill="1" applyBorder="1" applyAlignment="1">
      <alignment horizontal="left" vertical="top" wrapText="1"/>
    </xf>
    <xf numFmtId="38" fontId="6" fillId="0" borderId="26" xfId="1" applyNumberFormat="1" applyFont="1" applyBorder="1" applyAlignment="1">
      <alignment horizontal="left" vertical="top"/>
    </xf>
    <xf numFmtId="38" fontId="5" fillId="6" borderId="30" xfId="1" applyNumberFormat="1" applyFont="1" applyFill="1" applyBorder="1" applyAlignment="1">
      <alignment horizontal="center"/>
    </xf>
    <xf numFmtId="38" fontId="6" fillId="6" borderId="30" xfId="1" applyNumberFormat="1" applyFont="1" applyFill="1" applyBorder="1" applyAlignment="1">
      <alignment horizontal="center"/>
    </xf>
    <xf numFmtId="38" fontId="6" fillId="0" borderId="25" xfId="1" applyNumberFormat="1" applyFont="1" applyBorder="1" applyAlignment="1">
      <alignment horizontal="center"/>
    </xf>
    <xf numFmtId="38" fontId="6" fillId="0" borderId="25" xfId="1" applyNumberFormat="1" applyFont="1" applyBorder="1" applyAlignment="1">
      <alignment horizontal="left" vertical="top" wrapText="1"/>
    </xf>
    <xf numFmtId="38" fontId="6" fillId="0" borderId="26" xfId="1" applyNumberFormat="1" applyFont="1" applyBorder="1" applyAlignment="1">
      <alignment vertical="top"/>
    </xf>
    <xf numFmtId="38" fontId="6" fillId="6" borderId="121" xfId="1" applyNumberFormat="1" applyFont="1" applyFill="1" applyBorder="1" applyAlignment="1">
      <alignment horizontal="center"/>
    </xf>
    <xf numFmtId="38" fontId="6" fillId="0" borderId="117" xfId="1" applyNumberFormat="1" applyFont="1" applyBorder="1" applyAlignment="1">
      <alignment horizontal="center"/>
    </xf>
    <xf numFmtId="38" fontId="6" fillId="0" borderId="121" xfId="1" applyNumberFormat="1" applyFont="1" applyBorder="1" applyAlignment="1">
      <alignment horizontal="center"/>
    </xf>
    <xf numFmtId="38" fontId="6" fillId="6" borderId="5" xfId="1" applyNumberFormat="1" applyFont="1" applyFill="1" applyBorder="1" applyAlignment="1">
      <alignment horizontal="center"/>
    </xf>
    <xf numFmtId="38" fontId="6" fillId="7" borderId="69" xfId="1" applyNumberFormat="1" applyFont="1" applyFill="1" applyBorder="1" applyAlignment="1">
      <alignment horizontal="left" vertical="top" wrapText="1"/>
    </xf>
    <xf numFmtId="38" fontId="6" fillId="0" borderId="70" xfId="1" applyNumberFormat="1" applyFont="1" applyBorder="1" applyAlignment="1">
      <alignment vertical="top"/>
    </xf>
    <xf numFmtId="38" fontId="5" fillId="0" borderId="124" xfId="1" applyNumberFormat="1" applyFont="1" applyBorder="1" applyAlignment="1">
      <alignment horizontal="center"/>
    </xf>
    <xf numFmtId="38" fontId="6" fillId="0" borderId="125" xfId="1" applyNumberFormat="1" applyFont="1" applyBorder="1" applyAlignment="1">
      <alignment horizontal="center"/>
    </xf>
    <xf numFmtId="38" fontId="6" fillId="0" borderId="126" xfId="1" applyNumberFormat="1" applyFont="1" applyBorder="1" applyAlignment="1">
      <alignment horizontal="center"/>
    </xf>
    <xf numFmtId="38" fontId="5" fillId="0" borderId="127" xfId="1" applyNumberFormat="1" applyFont="1" applyBorder="1" applyAlignment="1">
      <alignment horizontal="center"/>
    </xf>
    <xf numFmtId="38" fontId="6" fillId="0" borderId="128" xfId="1" applyNumberFormat="1" applyFont="1" applyBorder="1" applyAlignment="1">
      <alignment horizontal="center"/>
    </xf>
    <xf numFmtId="38" fontId="6" fillId="5" borderId="125" xfId="1" applyNumberFormat="1" applyFont="1" applyFill="1" applyBorder="1" applyAlignment="1">
      <alignment horizontal="center"/>
    </xf>
    <xf numFmtId="38" fontId="5" fillId="6" borderId="127" xfId="1" applyNumberFormat="1" applyFont="1" applyFill="1" applyBorder="1" applyAlignment="1">
      <alignment horizontal="center"/>
    </xf>
    <xf numFmtId="38" fontId="6" fillId="6" borderId="75" xfId="1" applyNumberFormat="1" applyFont="1" applyFill="1" applyBorder="1" applyAlignment="1">
      <alignment horizontal="center"/>
    </xf>
    <xf numFmtId="38" fontId="5" fillId="0" borderId="129" xfId="1" applyNumberFormat="1" applyFont="1" applyBorder="1" applyAlignment="1">
      <alignment horizontal="center"/>
    </xf>
    <xf numFmtId="38" fontId="6" fillId="0" borderId="130" xfId="1" applyNumberFormat="1" applyFont="1" applyBorder="1" applyAlignment="1">
      <alignment horizontal="center"/>
    </xf>
    <xf numFmtId="38" fontId="6" fillId="0" borderId="69" xfId="1" applyNumberFormat="1" applyFont="1" applyBorder="1" applyAlignment="1">
      <alignment horizontal="center"/>
    </xf>
    <xf numFmtId="38" fontId="6" fillId="0" borderId="131" xfId="1" applyNumberFormat="1" applyFont="1" applyBorder="1" applyAlignment="1">
      <alignment horizontal="center"/>
    </xf>
    <xf numFmtId="38" fontId="5" fillId="0" borderId="132" xfId="1" applyNumberFormat="1" applyFont="1" applyBorder="1" applyAlignment="1">
      <alignment horizontal="center"/>
    </xf>
    <xf numFmtId="38" fontId="5" fillId="0" borderId="133" xfId="1" applyNumberFormat="1" applyFont="1" applyBorder="1" applyAlignment="1">
      <alignment horizontal="center"/>
    </xf>
    <xf numFmtId="38" fontId="5" fillId="0" borderId="4" xfId="1" applyNumberFormat="1" applyFont="1" applyBorder="1" applyAlignment="1">
      <alignment horizontal="center"/>
    </xf>
    <xf numFmtId="38" fontId="5" fillId="0" borderId="134" xfId="1" applyNumberFormat="1" applyFont="1" applyBorder="1" applyAlignment="1">
      <alignment horizontal="center"/>
    </xf>
    <xf numFmtId="38" fontId="5" fillId="5" borderId="83" xfId="1" applyNumberFormat="1" applyFont="1" applyFill="1" applyBorder="1" applyAlignment="1">
      <alignment horizontal="center"/>
    </xf>
    <xf numFmtId="38" fontId="5" fillId="0" borderId="135" xfId="1" applyNumberFormat="1" applyFont="1" applyBorder="1" applyAlignment="1">
      <alignment horizontal="center"/>
    </xf>
    <xf numFmtId="38" fontId="5" fillId="0" borderId="136" xfId="1" applyNumberFormat="1" applyFont="1" applyBorder="1" applyAlignment="1">
      <alignment horizontal="center"/>
    </xf>
    <xf numFmtId="38" fontId="5" fillId="0" borderId="137" xfId="1" applyNumberFormat="1" applyFont="1" applyBorder="1" applyAlignment="1">
      <alignment horizontal="center"/>
    </xf>
    <xf numFmtId="38" fontId="6" fillId="0" borderId="59" xfId="1" applyNumberFormat="1" applyFont="1" applyBorder="1" applyAlignment="1">
      <alignment horizontal="left" vertical="top" wrapText="1"/>
    </xf>
    <xf numFmtId="38" fontId="5" fillId="0" borderId="62" xfId="1" applyNumberFormat="1" applyFont="1" applyBorder="1" applyAlignment="1">
      <alignment horizontal="center"/>
    </xf>
    <xf numFmtId="38" fontId="5" fillId="0" borderId="118" xfId="1" applyNumberFormat="1" applyFont="1" applyBorder="1" applyAlignment="1">
      <alignment horizontal="center"/>
    </xf>
    <xf numFmtId="38" fontId="5" fillId="0" borderId="122" xfId="1" applyNumberFormat="1" applyFont="1" applyBorder="1" applyAlignment="1">
      <alignment horizontal="center"/>
    </xf>
    <xf numFmtId="38" fontId="5" fillId="0" borderId="68" xfId="1" applyNumberFormat="1" applyFont="1" applyBorder="1" applyAlignment="1">
      <alignment horizontal="center"/>
    </xf>
    <xf numFmtId="38" fontId="5" fillId="0" borderId="72" xfId="1" applyNumberFormat="1" applyFont="1" applyBorder="1" applyAlignment="1">
      <alignment horizontal="center"/>
    </xf>
    <xf numFmtId="38" fontId="5" fillId="0" borderId="73" xfId="1" applyNumberFormat="1" applyFont="1" applyBorder="1" applyAlignment="1">
      <alignment horizontal="center"/>
    </xf>
    <xf numFmtId="38" fontId="5" fillId="0" borderId="135" xfId="1" applyNumberFormat="1" applyFont="1" applyBorder="1" applyAlignment="1">
      <alignment horizontal="left"/>
    </xf>
    <xf numFmtId="38" fontId="5" fillId="0" borderId="138" xfId="1" applyNumberFormat="1" applyFont="1" applyBorder="1" applyAlignment="1">
      <alignment horizontal="center"/>
    </xf>
    <xf numFmtId="38" fontId="9" fillId="0" borderId="0" xfId="1" applyNumberFormat="1" applyFont="1"/>
    <xf numFmtId="38" fontId="5" fillId="8" borderId="135" xfId="1" applyNumberFormat="1" applyFont="1" applyFill="1" applyBorder="1" applyAlignment="1">
      <alignment horizontal="left"/>
    </xf>
    <xf numFmtId="38" fontId="5" fillId="8" borderId="138" xfId="1" applyNumberFormat="1" applyFont="1" applyFill="1" applyBorder="1" applyAlignment="1">
      <alignment horizontal="center"/>
    </xf>
    <xf numFmtId="38" fontId="5" fillId="5" borderId="134" xfId="1" applyNumberFormat="1" applyFont="1" applyFill="1" applyBorder="1" applyAlignment="1">
      <alignment horizontal="center"/>
    </xf>
    <xf numFmtId="38" fontId="5" fillId="8" borderId="137" xfId="1" applyNumberFormat="1" applyFont="1" applyFill="1" applyBorder="1" applyAlignment="1">
      <alignment horizontal="center"/>
    </xf>
    <xf numFmtId="38" fontId="6" fillId="8" borderId="59" xfId="1" applyNumberFormat="1" applyFont="1" applyFill="1" applyBorder="1" applyAlignment="1">
      <alignment horizontal="left" vertical="top" wrapText="1"/>
    </xf>
    <xf numFmtId="38" fontId="5" fillId="8" borderId="60" xfId="1" applyNumberFormat="1" applyFont="1" applyFill="1" applyBorder="1" applyAlignment="1">
      <alignment horizontal="center"/>
    </xf>
    <xf numFmtId="38" fontId="6" fillId="8" borderId="85" xfId="1" applyNumberFormat="1" applyFont="1" applyFill="1" applyBorder="1" applyAlignment="1">
      <alignment horizontal="center"/>
    </xf>
    <xf numFmtId="38" fontId="8" fillId="0" borderId="0" xfId="1" applyNumberFormat="1" applyFont="1"/>
    <xf numFmtId="38" fontId="6" fillId="8" borderId="69" xfId="1" applyNumberFormat="1" applyFont="1" applyFill="1" applyBorder="1" applyAlignment="1">
      <alignment horizontal="left" vertical="top" wrapText="1"/>
    </xf>
    <xf numFmtId="38" fontId="5" fillId="8" borderId="70" xfId="1" applyNumberFormat="1" applyFont="1" applyFill="1" applyBorder="1" applyAlignment="1">
      <alignment horizontal="center"/>
    </xf>
    <xf numFmtId="38" fontId="6" fillId="8" borderId="77" xfId="1" applyNumberFormat="1" applyFont="1" applyFill="1" applyBorder="1" applyAlignment="1">
      <alignment horizontal="center"/>
    </xf>
    <xf numFmtId="38" fontId="5" fillId="0" borderId="89" xfId="1" applyNumberFormat="1" applyFont="1" applyBorder="1" applyAlignment="1">
      <alignment horizontal="center"/>
    </xf>
    <xf numFmtId="38" fontId="5" fillId="0" borderId="90" xfId="1" applyNumberFormat="1" applyFont="1" applyBorder="1" applyAlignment="1">
      <alignment horizontal="center"/>
    </xf>
    <xf numFmtId="38" fontId="5" fillId="0" borderId="91" xfId="1" applyNumberFormat="1" applyFont="1" applyBorder="1" applyAlignment="1">
      <alignment horizontal="center"/>
    </xf>
    <xf numFmtId="38" fontId="5" fillId="5" borderId="90" xfId="1" applyNumberFormat="1" applyFont="1" applyFill="1" applyBorder="1" applyAlignment="1">
      <alignment horizontal="center"/>
    </xf>
    <xf numFmtId="38" fontId="5" fillId="0" borderId="93" xfId="1" applyNumberFormat="1" applyFont="1" applyBorder="1" applyAlignment="1">
      <alignment horizontal="center"/>
    </xf>
    <xf numFmtId="38" fontId="5" fillId="0" borderId="69" xfId="1" applyNumberFormat="1" applyFont="1" applyBorder="1" applyAlignment="1">
      <alignment horizontal="left" vertical="top" wrapText="1"/>
    </xf>
    <xf numFmtId="38" fontId="5" fillId="0" borderId="77" xfId="1" applyNumberFormat="1" applyFont="1" applyBorder="1" applyAlignment="1">
      <alignment horizontal="center"/>
    </xf>
    <xf numFmtId="38" fontId="5" fillId="0" borderId="139" xfId="1" applyNumberFormat="1" applyFont="1" applyBorder="1" applyAlignment="1">
      <alignment horizontal="center"/>
    </xf>
    <xf numFmtId="38" fontId="2" fillId="0" borderId="0" xfId="1" applyNumberFormat="1"/>
    <xf numFmtId="165" fontId="5" fillId="0" borderId="0" xfId="2" applyNumberFormat="1" applyFont="1" applyFill="1" applyBorder="1" applyAlignment="1">
      <alignment horizontal="center"/>
    </xf>
    <xf numFmtId="166" fontId="5" fillId="0" borderId="0" xfId="1" applyNumberFormat="1" applyFont="1" applyAlignment="1">
      <alignment horizontal="left"/>
    </xf>
    <xf numFmtId="166" fontId="6" fillId="9" borderId="0" xfId="1" applyNumberFormat="1" applyFont="1" applyFill="1" applyAlignment="1">
      <alignment horizontal="left"/>
    </xf>
    <xf numFmtId="166" fontId="5" fillId="10" borderId="0" xfId="1" applyNumberFormat="1" applyFont="1" applyFill="1" applyAlignment="1">
      <alignment horizontal="left"/>
    </xf>
    <xf numFmtId="9" fontId="0" fillId="0" borderId="0" xfId="2" applyFont="1" applyFill="1"/>
    <xf numFmtId="166" fontId="6" fillId="6" borderId="0" xfId="1" applyNumberFormat="1" applyFont="1" applyFill="1" applyAlignment="1">
      <alignment horizontal="left"/>
    </xf>
    <xf numFmtId="38" fontId="6" fillId="5" borderId="0" xfId="1" applyNumberFormat="1" applyFont="1" applyFill="1" applyAlignment="1">
      <alignment horizontal="left"/>
    </xf>
    <xf numFmtId="166" fontId="6" fillId="10" borderId="0" xfId="1" applyNumberFormat="1" applyFont="1" applyFill="1" applyAlignment="1">
      <alignment horizontal="left"/>
    </xf>
    <xf numFmtId="38" fontId="2" fillId="10" borderId="0" xfId="1" applyNumberFormat="1" applyFill="1"/>
    <xf numFmtId="38" fontId="5" fillId="10" borderId="0" xfId="1" applyNumberFormat="1" applyFont="1" applyFill="1"/>
    <xf numFmtId="40" fontId="6" fillId="0" borderId="0" xfId="1" applyNumberFormat="1" applyFont="1"/>
    <xf numFmtId="40" fontId="5" fillId="0" borderId="0" xfId="1" applyNumberFormat="1" applyFont="1"/>
    <xf numFmtId="0" fontId="10" fillId="11" borderId="0" xfId="0" applyFont="1" applyFill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12" borderId="140" xfId="0" applyFont="1" applyFill="1" applyBorder="1" applyAlignment="1">
      <alignment horizontal="left" vertical="center"/>
    </xf>
    <xf numFmtId="0" fontId="13" fillId="13" borderId="135" xfId="0" applyFont="1" applyFill="1" applyBorder="1" applyAlignment="1">
      <alignment horizontal="left" vertical="center" wrapText="1"/>
    </xf>
    <xf numFmtId="0" fontId="13" fillId="13" borderId="135" xfId="0" applyFont="1" applyFill="1" applyBorder="1" applyAlignment="1">
      <alignment horizontal="left" vertical="center"/>
    </xf>
    <xf numFmtId="0" fontId="14" fillId="11" borderId="0" xfId="0" applyFont="1" applyFill="1"/>
    <xf numFmtId="0" fontId="15" fillId="11" borderId="0" xfId="0" applyFont="1" applyFill="1"/>
    <xf numFmtId="2" fontId="13" fillId="13" borderId="135" xfId="0" applyNumberFormat="1" applyFont="1" applyFill="1" applyBorder="1" applyAlignment="1">
      <alignment horizontal="left" vertical="center"/>
    </xf>
    <xf numFmtId="38" fontId="15" fillId="11" borderId="0" xfId="0" applyNumberFormat="1" applyFont="1" applyFill="1"/>
    <xf numFmtId="0" fontId="11" fillId="11" borderId="0" xfId="0" applyFont="1" applyFill="1" applyAlignment="1">
      <alignment vertical="center"/>
    </xf>
    <xf numFmtId="0" fontId="16" fillId="11" borderId="0" xfId="0" applyFont="1" applyFill="1"/>
    <xf numFmtId="167" fontId="16" fillId="11" borderId="0" xfId="0" applyNumberFormat="1" applyFont="1" applyFill="1" applyAlignment="1">
      <alignment vertical="center"/>
    </xf>
    <xf numFmtId="0" fontId="16" fillId="11" borderId="0" xfId="0" applyFont="1" applyFill="1" applyAlignment="1">
      <alignment vertical="center"/>
    </xf>
    <xf numFmtId="0" fontId="13" fillId="11" borderId="0" xfId="0" applyFont="1" applyFill="1" applyAlignment="1">
      <alignment vertical="center"/>
    </xf>
    <xf numFmtId="167" fontId="16" fillId="0" borderId="0" xfId="0" applyNumberFormat="1" applyFont="1"/>
    <xf numFmtId="167" fontId="16" fillId="11" borderId="0" xfId="0" applyNumberFormat="1" applyFont="1" applyFill="1"/>
    <xf numFmtId="0" fontId="13" fillId="11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7" fontId="3" fillId="0" borderId="0" xfId="0" applyNumberFormat="1" applyFont="1"/>
    <xf numFmtId="0" fontId="3" fillId="0" borderId="0" xfId="0" applyFont="1"/>
    <xf numFmtId="167" fontId="3" fillId="0" borderId="1" xfId="0" applyNumberFormat="1" applyFont="1" applyBorder="1"/>
    <xf numFmtId="0" fontId="3" fillId="0" borderId="1" xfId="0" applyFont="1" applyBorder="1"/>
    <xf numFmtId="0" fontId="16" fillId="0" borderId="0" xfId="0" applyFont="1"/>
    <xf numFmtId="0" fontId="17" fillId="0" borderId="0" xfId="0" applyFont="1"/>
    <xf numFmtId="0" fontId="17" fillId="0" borderId="1" xfId="0" applyFont="1" applyBorder="1"/>
    <xf numFmtId="0" fontId="18" fillId="0" borderId="0" xfId="0" applyFont="1"/>
    <xf numFmtId="168" fontId="0" fillId="0" borderId="0" xfId="0" applyNumberFormat="1"/>
    <xf numFmtId="0" fontId="0" fillId="0" borderId="1" xfId="0" applyBorder="1"/>
  </cellXfs>
  <cellStyles count="3">
    <cellStyle name="Normal" xfId="0" builtinId="0"/>
    <cellStyle name="Normal 2" xfId="1" xr:uid="{E8F6FC94-FE00-481A-9CCA-C8F8BD082BFB}"/>
    <cellStyle name="Percent 2" xfId="2" xr:uid="{1F406535-6DD4-4D28-A28F-5561F262E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FAE-9396-4BDD-9414-7E1233A8EF2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dimension ref="A3:AD37"/>
  <sheetViews>
    <sheetView zoomScaleNormal="100" workbookViewId="0">
      <selection activeCell="I18" sqref="I18"/>
    </sheetView>
  </sheetViews>
  <sheetFormatPr defaultColWidth="9" defaultRowHeight="12.7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 ht="1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 ht="15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 ht="1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>
    <pageSetUpPr fitToPage="1"/>
  </sheetPr>
  <dimension ref="A1:AO70"/>
  <sheetViews>
    <sheetView view="pageBreakPreview" zoomScaleNormal="65" zoomScaleSheetLayoutView="100" workbookViewId="0">
      <pane xSplit="2" ySplit="1" topLeftCell="C22" activePane="bottomRight" state="frozen"/>
      <selection activeCell="C3" sqref="C3"/>
      <selection pane="topRight" activeCell="C3" sqref="C3"/>
      <selection pane="bottomLeft" activeCell="C3" sqref="C3"/>
      <selection pane="bottomRight" activeCell="H32" sqref="H32"/>
    </sheetView>
  </sheetViews>
  <sheetFormatPr defaultColWidth="9.140625" defaultRowHeight="12.75"/>
  <cols>
    <col min="1" max="1" width="38.140625" style="145" customWidth="1"/>
    <col min="2" max="2" width="13" style="18" bestFit="1" customWidth="1"/>
    <col min="3" max="4" width="7.5703125" style="122" bestFit="1" customWidth="1"/>
    <col min="5" max="5" width="9.140625" style="122"/>
    <col min="6" max="6" width="6.140625" style="149" customWidth="1"/>
    <col min="7" max="7" width="5.85546875" style="149" bestFit="1" customWidth="1"/>
    <col min="8" max="8" width="6.42578125" style="122" bestFit="1" customWidth="1"/>
    <col min="9" max="9" width="6.140625" style="149" bestFit="1" customWidth="1"/>
    <col min="10" max="10" width="6" style="149" bestFit="1" customWidth="1"/>
    <col min="11" max="11" width="6.85546875" style="149" bestFit="1" customWidth="1"/>
    <col min="12" max="12" width="8.7109375" style="74" bestFit="1" customWidth="1"/>
    <col min="13" max="13" width="8.140625" style="18" bestFit="1" customWidth="1"/>
    <col min="14" max="14" width="5.28515625" style="18" customWidth="1"/>
    <col min="15" max="15" width="7.42578125" style="18" customWidth="1"/>
    <col min="16" max="16" width="7.42578125" style="18" bestFit="1" customWidth="1"/>
    <col min="17" max="17" width="8.140625" style="18" bestFit="1" customWidth="1"/>
    <col min="18" max="18" width="7.28515625" style="18" bestFit="1" customWidth="1"/>
    <col min="19" max="19" width="7.42578125" style="18" bestFit="1" customWidth="1"/>
    <col min="20" max="20" width="8.42578125" style="18" bestFit="1" customWidth="1"/>
    <col min="21" max="21" width="6.85546875" style="18" bestFit="1" customWidth="1"/>
    <col min="22" max="24" width="5.42578125" style="18" customWidth="1"/>
    <col min="25" max="25" width="5.42578125" style="149" customWidth="1"/>
    <col min="26" max="26" width="8.140625" style="74" bestFit="1" customWidth="1"/>
    <col min="27" max="27" width="6.7109375" style="74" bestFit="1" customWidth="1"/>
    <col min="28" max="29" width="5.5703125" style="18" customWidth="1"/>
    <col min="30" max="30" width="8.7109375" style="18" bestFit="1" customWidth="1"/>
    <col min="31" max="31" width="5.5703125" style="18" customWidth="1"/>
    <col min="32" max="32" width="5.85546875" style="18" bestFit="1" customWidth="1"/>
    <col min="33" max="33" width="7" style="18" customWidth="1"/>
    <col min="34" max="36" width="5.5703125" style="18" customWidth="1"/>
    <col min="37" max="37" width="8.7109375" style="74" bestFit="1" customWidth="1"/>
    <col min="38" max="38" width="4.42578125" style="74" bestFit="1" customWidth="1"/>
    <col min="39" max="39" width="9.140625" style="18" bestFit="1" customWidth="1"/>
    <col min="40" max="40" width="9.140625" style="18"/>
    <col min="41" max="41" width="9.140625" style="35"/>
    <col min="42" max="16384" width="9.140625" style="18"/>
  </cols>
  <sheetData>
    <row r="1" spans="1:41" ht="105.75" customHeight="1" thickBot="1">
      <c r="A1" s="8" t="s">
        <v>60</v>
      </c>
      <c r="B1" s="9" t="s">
        <v>61</v>
      </c>
      <c r="C1" s="10" t="s">
        <v>62</v>
      </c>
      <c r="D1" s="11" t="s">
        <v>63</v>
      </c>
      <c r="E1" s="12" t="s">
        <v>64</v>
      </c>
      <c r="F1" s="13" t="s">
        <v>65</v>
      </c>
      <c r="G1" s="13" t="s">
        <v>66</v>
      </c>
      <c r="H1" s="14" t="s">
        <v>67</v>
      </c>
      <c r="I1" s="11" t="s">
        <v>68</v>
      </c>
      <c r="J1" s="12" t="s">
        <v>69</v>
      </c>
      <c r="K1" s="12" t="s">
        <v>70</v>
      </c>
      <c r="L1" s="14" t="s">
        <v>71</v>
      </c>
      <c r="M1" s="11" t="s">
        <v>72</v>
      </c>
      <c r="N1" s="12" t="s">
        <v>73</v>
      </c>
      <c r="O1" s="12" t="s">
        <v>74</v>
      </c>
      <c r="P1" s="12" t="s">
        <v>75</v>
      </c>
      <c r="Q1" s="12" t="s">
        <v>76</v>
      </c>
      <c r="R1" s="12" t="s">
        <v>77</v>
      </c>
      <c r="S1" s="12" t="s">
        <v>78</v>
      </c>
      <c r="T1" s="12" t="s">
        <v>79</v>
      </c>
      <c r="U1" s="12" t="s">
        <v>80</v>
      </c>
      <c r="V1" s="13" t="s">
        <v>81</v>
      </c>
      <c r="W1" s="13" t="s">
        <v>82</v>
      </c>
      <c r="X1" s="13" t="s">
        <v>83</v>
      </c>
      <c r="Y1" s="12" t="s">
        <v>84</v>
      </c>
      <c r="Z1" s="14" t="s">
        <v>85</v>
      </c>
      <c r="AA1" s="15" t="s">
        <v>86</v>
      </c>
      <c r="AB1" s="16" t="s">
        <v>87</v>
      </c>
      <c r="AC1" s="12" t="s">
        <v>88</v>
      </c>
      <c r="AD1" s="12" t="s">
        <v>89</v>
      </c>
      <c r="AE1" s="12" t="s">
        <v>90</v>
      </c>
      <c r="AF1" s="12" t="s">
        <v>91</v>
      </c>
      <c r="AG1" s="12" t="s">
        <v>92</v>
      </c>
      <c r="AH1" s="12" t="s">
        <v>93</v>
      </c>
      <c r="AI1" s="13" t="s">
        <v>94</v>
      </c>
      <c r="AJ1" s="14" t="s">
        <v>95</v>
      </c>
      <c r="AK1" s="14" t="s">
        <v>96</v>
      </c>
      <c r="AL1" s="15" t="s">
        <v>97</v>
      </c>
      <c r="AM1" s="17" t="s">
        <v>98</v>
      </c>
      <c r="AO1" s="19"/>
    </row>
    <row r="2" spans="1:41" ht="12.75" customHeight="1">
      <c r="A2" s="20" t="s">
        <v>99</v>
      </c>
      <c r="B2" s="21"/>
      <c r="C2" s="22">
        <f>SUM(D2:G2)</f>
        <v>0</v>
      </c>
      <c r="D2" s="23">
        <v>0</v>
      </c>
      <c r="E2" s="24"/>
      <c r="F2" s="25"/>
      <c r="G2" s="25"/>
      <c r="H2" s="26">
        <f>SUM(I2:K2)</f>
        <v>815.92434898628403</v>
      </c>
      <c r="I2" s="27">
        <v>688.22034898628408</v>
      </c>
      <c r="J2" s="28">
        <v>127.70399999999999</v>
      </c>
      <c r="K2" s="29"/>
      <c r="L2" s="26">
        <f>SUM(M2:Y2)</f>
        <v>0</v>
      </c>
      <c r="M2" s="27"/>
      <c r="N2" s="30"/>
      <c r="O2" s="30"/>
      <c r="P2" s="30"/>
      <c r="Q2" s="30"/>
      <c r="R2" s="30"/>
      <c r="S2" s="30"/>
      <c r="T2" s="30"/>
      <c r="U2" s="30"/>
      <c r="V2" s="25"/>
      <c r="W2" s="25"/>
      <c r="X2" s="25"/>
      <c r="Y2" s="29"/>
      <c r="Z2" s="26">
        <v>2751.9191872187112</v>
      </c>
      <c r="AA2" s="31">
        <f>SUM(AB2:AI2)</f>
        <v>1310.4304732727737</v>
      </c>
      <c r="AB2" s="32">
        <v>59.691708987970003</v>
      </c>
      <c r="AC2" s="29">
        <v>727.12733781532609</v>
      </c>
      <c r="AD2" s="29">
        <v>386.92983626909194</v>
      </c>
      <c r="AE2" s="29">
        <v>33.531818868055431</v>
      </c>
      <c r="AF2" s="29">
        <v>16.813132576534866</v>
      </c>
      <c r="AG2" s="29">
        <v>27.095124147648001</v>
      </c>
      <c r="AH2" s="27">
        <v>14.978481167970049</v>
      </c>
      <c r="AI2" s="25">
        <v>44.263033440177487</v>
      </c>
      <c r="AJ2" s="33">
        <v>145.43710297949829</v>
      </c>
      <c r="AK2" s="33"/>
      <c r="AL2" s="31"/>
      <c r="AM2" s="34">
        <f>C2+H2+L2+Z2+AA2+AJ2+AK2+AL2</f>
        <v>5023.7111124572675</v>
      </c>
    </row>
    <row r="3" spans="1:41" ht="12.75" customHeight="1">
      <c r="A3" s="36" t="s">
        <v>100</v>
      </c>
      <c r="B3" s="37"/>
      <c r="C3" s="38">
        <f>SUM(D3:G3)</f>
        <v>845.31519216250194</v>
      </c>
      <c r="D3" s="39">
        <v>795.03994947759963</v>
      </c>
      <c r="E3" s="40">
        <v>42.207539024941362</v>
      </c>
      <c r="F3" s="41"/>
      <c r="G3" s="41">
        <v>8.0677036599609497</v>
      </c>
      <c r="H3" s="42">
        <f>SUM(I3:K3)</f>
        <v>0</v>
      </c>
      <c r="I3" s="43"/>
      <c r="J3" s="44"/>
      <c r="K3" s="45"/>
      <c r="L3" s="42">
        <f>SUM(M3:Y3)</f>
        <v>9098.7612301490572</v>
      </c>
      <c r="M3" s="43">
        <v>3053.4742963851995</v>
      </c>
      <c r="N3" s="45">
        <v>0</v>
      </c>
      <c r="O3" s="45">
        <v>564.2282843555555</v>
      </c>
      <c r="P3" s="45">
        <v>369.55541863968</v>
      </c>
      <c r="Q3" s="45">
        <v>1543.1782335883197</v>
      </c>
      <c r="R3" s="45">
        <v>59.086705990112996</v>
      </c>
      <c r="S3" s="45">
        <v>157.5463640726893</v>
      </c>
      <c r="T3" s="45">
        <v>2941.4703035056637</v>
      </c>
      <c r="U3" s="45">
        <v>163.70335639230669</v>
      </c>
      <c r="V3" s="41">
        <v>0</v>
      </c>
      <c r="W3" s="41">
        <v>201.02619184950296</v>
      </c>
      <c r="X3" s="41">
        <v>1.2397796420726457</v>
      </c>
      <c r="Y3" s="45">
        <v>44.252295727955044</v>
      </c>
      <c r="Z3" s="42">
        <v>1728.338063506957</v>
      </c>
      <c r="AA3" s="46">
        <f>SUM(AB3:AI3)</f>
        <v>157.61637079012797</v>
      </c>
      <c r="AB3" s="47"/>
      <c r="AC3" s="45"/>
      <c r="AD3" s="45">
        <v>30.596672981664</v>
      </c>
      <c r="AE3" s="45"/>
      <c r="AF3" s="45"/>
      <c r="AG3" s="45">
        <v>127.01969780846397</v>
      </c>
      <c r="AH3" s="43"/>
      <c r="AI3" s="41"/>
      <c r="AJ3" s="48"/>
      <c r="AK3" s="48">
        <v>139.45061680000001</v>
      </c>
      <c r="AL3" s="46"/>
      <c r="AM3" s="49">
        <f t="shared" ref="AM3:AM21" si="0">C3+H3+L3+Z3+AA3+AJ3+AK3+AL3</f>
        <v>11969.481473408645</v>
      </c>
    </row>
    <row r="4" spans="1:41" ht="12.75" customHeight="1">
      <c r="A4" s="36" t="s">
        <v>101</v>
      </c>
      <c r="B4" s="37"/>
      <c r="C4" s="38">
        <f>SUM(D4:G4)</f>
        <v>15.186580890896002</v>
      </c>
      <c r="D4" s="39">
        <v>0</v>
      </c>
      <c r="E4" s="50">
        <v>14.097722162000002</v>
      </c>
      <c r="F4" s="41"/>
      <c r="G4" s="41">
        <v>1.0888587288959999</v>
      </c>
      <c r="H4" s="42">
        <f>SUM(I4:K4)</f>
        <v>7.0330680000000001</v>
      </c>
      <c r="I4" s="43"/>
      <c r="J4" s="44"/>
      <c r="K4" s="45">
        <v>7.0330680000000001</v>
      </c>
      <c r="L4" s="42">
        <f>SUM(M4:Y4)</f>
        <v>1717.0574370770564</v>
      </c>
      <c r="M4" s="43">
        <v>0</v>
      </c>
      <c r="N4" s="45"/>
      <c r="O4" s="45">
        <v>364.52221864444448</v>
      </c>
      <c r="P4" s="45">
        <v>21.672508399360005</v>
      </c>
      <c r="Q4" s="45">
        <v>156.29379915984001</v>
      </c>
      <c r="R4" s="45">
        <v>986.60611760112999</v>
      </c>
      <c r="S4" s="45">
        <v>35.289733288720633</v>
      </c>
      <c r="T4" s="45">
        <v>102.14625414775992</v>
      </c>
      <c r="U4" s="45">
        <v>2.9088437938490893E-3</v>
      </c>
      <c r="V4" s="41">
        <v>36.297317128453038</v>
      </c>
      <c r="W4" s="41">
        <v>5.465927722</v>
      </c>
      <c r="X4" s="41">
        <v>1.7941621000000001E-2</v>
      </c>
      <c r="Y4" s="45">
        <v>8.7427105205545299</v>
      </c>
      <c r="Z4" s="42">
        <v>0</v>
      </c>
      <c r="AA4" s="46">
        <f>SUM(AB4:AI4)</f>
        <v>16.875293717856</v>
      </c>
      <c r="AB4" s="47"/>
      <c r="AC4" s="45"/>
      <c r="AD4" s="45">
        <v>7.8402815999999991</v>
      </c>
      <c r="AE4" s="45"/>
      <c r="AF4" s="45"/>
      <c r="AG4" s="45">
        <v>9.0350121178560006</v>
      </c>
      <c r="AH4" s="43"/>
      <c r="AI4" s="41"/>
      <c r="AJ4" s="48"/>
      <c r="AK4" s="48">
        <v>141.83539077999998</v>
      </c>
      <c r="AL4" s="46"/>
      <c r="AM4" s="49">
        <f t="shared" si="0"/>
        <v>1897.9877704658084</v>
      </c>
    </row>
    <row r="5" spans="1:41" ht="12.75" customHeight="1">
      <c r="A5" s="36" t="s">
        <v>102</v>
      </c>
      <c r="B5" s="37"/>
      <c r="C5" s="38">
        <f>SUM(D5:G5)</f>
        <v>0</v>
      </c>
      <c r="D5" s="39"/>
      <c r="E5" s="50"/>
      <c r="F5" s="41"/>
      <c r="G5" s="41"/>
      <c r="H5" s="42">
        <f>SUM(I5:K5)</f>
        <v>0</v>
      </c>
      <c r="I5" s="43"/>
      <c r="J5" s="44"/>
      <c r="K5" s="45"/>
      <c r="L5" s="42">
        <f>SUM(M5:Y5)</f>
        <v>162.14899063248015</v>
      </c>
      <c r="M5" s="43"/>
      <c r="N5" s="45"/>
      <c r="O5" s="45"/>
      <c r="P5" s="45"/>
      <c r="Q5" s="45"/>
      <c r="R5" s="45">
        <v>15.730078096892656</v>
      </c>
      <c r="S5" s="45"/>
      <c r="T5" s="45">
        <v>146.41891253558748</v>
      </c>
      <c r="U5" s="45"/>
      <c r="V5" s="41"/>
      <c r="W5" s="41"/>
      <c r="X5" s="41"/>
      <c r="Y5" s="45"/>
      <c r="Z5" s="42"/>
      <c r="AA5" s="46">
        <f>SUM(AB5:AI5)</f>
        <v>0</v>
      </c>
      <c r="AB5" s="47"/>
      <c r="AC5" s="45"/>
      <c r="AD5" s="45"/>
      <c r="AE5" s="45"/>
      <c r="AF5" s="45"/>
      <c r="AG5" s="45"/>
      <c r="AH5" s="43"/>
      <c r="AI5" s="41"/>
      <c r="AJ5" s="48"/>
      <c r="AK5" s="48"/>
      <c r="AL5" s="46"/>
      <c r="AM5" s="49">
        <f t="shared" si="0"/>
        <v>162.14899063248015</v>
      </c>
    </row>
    <row r="6" spans="1:41" ht="12.75" customHeight="1" thickBot="1">
      <c r="A6" s="51" t="s">
        <v>103</v>
      </c>
      <c r="B6" s="52"/>
      <c r="C6" s="38">
        <f>SUM(D6:G6)</f>
        <v>-105.50045932171129</v>
      </c>
      <c r="D6" s="53">
        <v>-106.11399866466098</v>
      </c>
      <c r="E6" s="41">
        <v>-0.8079766727235479</v>
      </c>
      <c r="F6" s="54"/>
      <c r="G6" s="54">
        <v>1.4215160156732278</v>
      </c>
      <c r="H6" s="55">
        <f>SUM(I6:K6)</f>
        <v>-122.93905189963694</v>
      </c>
      <c r="I6" s="56">
        <v>-136.53826589963694</v>
      </c>
      <c r="J6" s="57">
        <v>0</v>
      </c>
      <c r="K6" s="56">
        <v>13.599214000000003</v>
      </c>
      <c r="L6" s="55">
        <f>SUM(M6:Y6)</f>
        <v>160.4304507360369</v>
      </c>
      <c r="M6" s="43">
        <v>38.730964773999993</v>
      </c>
      <c r="N6" s="45"/>
      <c r="O6" s="45">
        <v>-9.6980083333333713</v>
      </c>
      <c r="P6" s="45">
        <v>12.883201938880001</v>
      </c>
      <c r="Q6" s="45">
        <v>82.12024884504001</v>
      </c>
      <c r="R6" s="45">
        <v>23.637599999999999</v>
      </c>
      <c r="S6" s="45">
        <v>1.4659197380156652</v>
      </c>
      <c r="T6" s="45">
        <v>8.3874136006762399</v>
      </c>
      <c r="U6" s="45">
        <v>3.419577960051174</v>
      </c>
      <c r="V6" s="54">
        <v>-0.51646778729281662</v>
      </c>
      <c r="W6" s="54">
        <v>0</v>
      </c>
      <c r="X6" s="54">
        <v>0</v>
      </c>
      <c r="Y6" s="56">
        <v>0</v>
      </c>
      <c r="Z6" s="55">
        <v>0</v>
      </c>
      <c r="AA6" s="58">
        <f>SUM(AB6:AI6)</f>
        <v>4.2804283179600002</v>
      </c>
      <c r="AB6" s="59"/>
      <c r="AC6" s="60"/>
      <c r="AD6" s="60">
        <v>8.7401158199999704E-2</v>
      </c>
      <c r="AE6" s="60"/>
      <c r="AF6" s="60"/>
      <c r="AG6" s="60">
        <v>4.1930271597600006</v>
      </c>
      <c r="AH6" s="56"/>
      <c r="AI6" s="54"/>
      <c r="AJ6" s="61"/>
      <c r="AK6" s="61"/>
      <c r="AL6" s="58"/>
      <c r="AM6" s="62">
        <f t="shared" si="0"/>
        <v>-63.728632167351321</v>
      </c>
    </row>
    <row r="7" spans="1:41" s="74" customFormat="1" ht="12.75" customHeight="1">
      <c r="A7" s="63" t="s">
        <v>104</v>
      </c>
      <c r="B7" s="64"/>
      <c r="C7" s="65">
        <f t="shared" ref="C7:AL7" si="1">C2+C3-C4-C5+C6</f>
        <v>724.62815194989457</v>
      </c>
      <c r="D7" s="66">
        <f t="shared" si="1"/>
        <v>688.92595081293871</v>
      </c>
      <c r="E7" s="67">
        <f t="shared" si="1"/>
        <v>27.30184019021781</v>
      </c>
      <c r="F7" s="67">
        <f t="shared" si="1"/>
        <v>0</v>
      </c>
      <c r="G7" s="67">
        <f t="shared" si="1"/>
        <v>8.4003609467381786</v>
      </c>
      <c r="H7" s="68">
        <f t="shared" si="1"/>
        <v>685.95222908664709</v>
      </c>
      <c r="I7" s="66">
        <f t="shared" si="1"/>
        <v>551.68208308664714</v>
      </c>
      <c r="J7" s="69">
        <f t="shared" si="1"/>
        <v>127.70399999999999</v>
      </c>
      <c r="K7" s="67">
        <f t="shared" si="1"/>
        <v>6.5661460000000034</v>
      </c>
      <c r="L7" s="68">
        <f t="shared" si="1"/>
        <v>7379.9852531755569</v>
      </c>
      <c r="M7" s="66">
        <f t="shared" si="1"/>
        <v>3092.2052611591994</v>
      </c>
      <c r="N7" s="67">
        <f t="shared" si="1"/>
        <v>0</v>
      </c>
      <c r="O7" s="67">
        <f t="shared" si="1"/>
        <v>190.00805737777765</v>
      </c>
      <c r="P7" s="67">
        <f t="shared" si="1"/>
        <v>360.76611217919998</v>
      </c>
      <c r="Q7" s="67">
        <f t="shared" si="1"/>
        <v>1469.0046832735197</v>
      </c>
      <c r="R7" s="67">
        <f t="shared" si="1"/>
        <v>-919.61188970790954</v>
      </c>
      <c r="S7" s="67">
        <f t="shared" si="1"/>
        <v>123.72255052198433</v>
      </c>
      <c r="T7" s="67">
        <f t="shared" si="1"/>
        <v>2701.2925504229925</v>
      </c>
      <c r="U7" s="67">
        <f t="shared" si="1"/>
        <v>167.12002550856403</v>
      </c>
      <c r="V7" s="67">
        <f t="shared" si="1"/>
        <v>-36.813784915745856</v>
      </c>
      <c r="W7" s="67">
        <f t="shared" si="1"/>
        <v>195.56026412750296</v>
      </c>
      <c r="X7" s="67">
        <f t="shared" si="1"/>
        <v>1.2218380210726456</v>
      </c>
      <c r="Y7" s="67">
        <f t="shared" si="1"/>
        <v>35.509585207400512</v>
      </c>
      <c r="Z7" s="68">
        <f t="shared" si="1"/>
        <v>4480.2572507256682</v>
      </c>
      <c r="AA7" s="68">
        <f t="shared" si="1"/>
        <v>1455.4519786630058</v>
      </c>
      <c r="AB7" s="66">
        <f t="shared" si="1"/>
        <v>59.691708987970003</v>
      </c>
      <c r="AC7" s="67">
        <f t="shared" si="1"/>
        <v>727.12733781532609</v>
      </c>
      <c r="AD7" s="67">
        <f t="shared" si="1"/>
        <v>409.77362880895589</v>
      </c>
      <c r="AE7" s="67">
        <f t="shared" si="1"/>
        <v>33.531818868055431</v>
      </c>
      <c r="AF7" s="67">
        <f t="shared" si="1"/>
        <v>16.813132576534866</v>
      </c>
      <c r="AG7" s="67">
        <f t="shared" si="1"/>
        <v>149.27283699801595</v>
      </c>
      <c r="AH7" s="70">
        <f t="shared" si="1"/>
        <v>14.978481167970049</v>
      </c>
      <c r="AI7" s="66">
        <f t="shared" si="1"/>
        <v>44.263033440177487</v>
      </c>
      <c r="AJ7" s="68">
        <f t="shared" si="1"/>
        <v>145.43710297949829</v>
      </c>
      <c r="AK7" s="68">
        <f t="shared" si="1"/>
        <v>-2.3847739799999772</v>
      </c>
      <c r="AL7" s="71">
        <f t="shared" si="1"/>
        <v>0</v>
      </c>
      <c r="AM7" s="72">
        <f t="shared" si="0"/>
        <v>14869.327192600271</v>
      </c>
      <c r="AN7" s="18"/>
      <c r="AO7" s="73"/>
    </row>
    <row r="8" spans="1:41" s="74" customFormat="1" ht="12.75" customHeight="1" thickBot="1">
      <c r="A8" s="75" t="s">
        <v>105</v>
      </c>
      <c r="B8" s="76"/>
      <c r="C8" s="77">
        <f t="shared" ref="C8:AL8" si="2">C7-C28</f>
        <v>724.62815194989457</v>
      </c>
      <c r="D8" s="78">
        <f>D7-D28</f>
        <v>688.92595081293871</v>
      </c>
      <c r="E8" s="79">
        <f t="shared" si="2"/>
        <v>27.30184019021781</v>
      </c>
      <c r="F8" s="80">
        <f t="shared" si="2"/>
        <v>0</v>
      </c>
      <c r="G8" s="80">
        <f t="shared" si="2"/>
        <v>8.4003609467381786</v>
      </c>
      <c r="H8" s="81">
        <f t="shared" si="2"/>
        <v>685.95222908664709</v>
      </c>
      <c r="I8" s="78">
        <f t="shared" si="2"/>
        <v>551.68208308664714</v>
      </c>
      <c r="J8" s="82">
        <f t="shared" si="2"/>
        <v>127.70399999999999</v>
      </c>
      <c r="K8" s="79">
        <f t="shared" si="2"/>
        <v>6.5661460000000034</v>
      </c>
      <c r="L8" s="81">
        <f t="shared" si="2"/>
        <v>7147.6935658195807</v>
      </c>
      <c r="M8" s="78">
        <f t="shared" si="2"/>
        <v>3092.2052611591994</v>
      </c>
      <c r="N8" s="79">
        <f t="shared" si="2"/>
        <v>0</v>
      </c>
      <c r="O8" s="79">
        <f t="shared" si="2"/>
        <v>190.00805737777765</v>
      </c>
      <c r="P8" s="79">
        <f t="shared" si="2"/>
        <v>360.76611217919998</v>
      </c>
      <c r="Q8" s="79">
        <f t="shared" si="2"/>
        <v>1469.0046832735197</v>
      </c>
      <c r="R8" s="79">
        <f t="shared" si="2"/>
        <v>-919.61188970790954</v>
      </c>
      <c r="S8" s="79">
        <f t="shared" si="2"/>
        <v>123.72255052198433</v>
      </c>
      <c r="T8" s="79">
        <f t="shared" si="2"/>
        <v>2701.2925504229925</v>
      </c>
      <c r="U8" s="79">
        <f t="shared" si="2"/>
        <v>167.12002550856403</v>
      </c>
      <c r="V8" s="80">
        <f t="shared" si="2"/>
        <v>-36.813784915745856</v>
      </c>
      <c r="W8" s="80">
        <f t="shared" si="2"/>
        <v>0</v>
      </c>
      <c r="X8" s="80">
        <f t="shared" si="2"/>
        <v>0</v>
      </c>
      <c r="Y8" s="79">
        <f t="shared" si="2"/>
        <v>0</v>
      </c>
      <c r="Z8" s="81">
        <f t="shared" si="2"/>
        <v>4480.2572507256682</v>
      </c>
      <c r="AA8" s="83">
        <f t="shared" si="2"/>
        <v>1455.4519786630058</v>
      </c>
      <c r="AB8" s="78">
        <f t="shared" si="2"/>
        <v>59.691708987970003</v>
      </c>
      <c r="AC8" s="79">
        <f t="shared" si="2"/>
        <v>727.12733781532609</v>
      </c>
      <c r="AD8" s="79">
        <f t="shared" si="2"/>
        <v>409.77362880895589</v>
      </c>
      <c r="AE8" s="79">
        <f t="shared" si="2"/>
        <v>33.531818868055431</v>
      </c>
      <c r="AF8" s="79">
        <f t="shared" si="2"/>
        <v>16.813132576534866</v>
      </c>
      <c r="AG8" s="79">
        <f t="shared" si="2"/>
        <v>149.27283699801595</v>
      </c>
      <c r="AH8" s="84">
        <f t="shared" si="2"/>
        <v>14.978481167970049</v>
      </c>
      <c r="AI8" s="78">
        <f t="shared" si="2"/>
        <v>44.263033440177487</v>
      </c>
      <c r="AJ8" s="81">
        <f t="shared" si="2"/>
        <v>145.43710297949829</v>
      </c>
      <c r="AK8" s="81">
        <f t="shared" si="2"/>
        <v>-2.3847739799999772</v>
      </c>
      <c r="AL8" s="78">
        <f t="shared" si="2"/>
        <v>0</v>
      </c>
      <c r="AM8" s="85">
        <f t="shared" si="0"/>
        <v>14637.035505244296</v>
      </c>
      <c r="AN8" s="18"/>
      <c r="AO8" s="73"/>
    </row>
    <row r="9" spans="1:41" s="74" customFormat="1" ht="12.75" customHeight="1">
      <c r="A9" s="63" t="s">
        <v>106</v>
      </c>
      <c r="B9" s="64"/>
      <c r="C9" s="65">
        <f t="shared" ref="C9:AL9" si="3">SUM(C10:C14)</f>
        <v>488.64939432989598</v>
      </c>
      <c r="D9" s="70">
        <f t="shared" si="3"/>
        <v>488.64939432989598</v>
      </c>
      <c r="E9" s="67">
        <f t="shared" si="3"/>
        <v>0</v>
      </c>
      <c r="F9" s="86">
        <f t="shared" si="3"/>
        <v>0</v>
      </c>
      <c r="G9" s="86">
        <f t="shared" si="3"/>
        <v>0</v>
      </c>
      <c r="H9" s="68">
        <f t="shared" si="3"/>
        <v>539.94139129191865</v>
      </c>
      <c r="I9" s="70">
        <f t="shared" si="3"/>
        <v>539.94139129191865</v>
      </c>
      <c r="J9" s="69">
        <f t="shared" si="3"/>
        <v>0</v>
      </c>
      <c r="K9" s="67">
        <f t="shared" si="3"/>
        <v>0</v>
      </c>
      <c r="L9" s="68">
        <f t="shared" si="3"/>
        <v>3126.9350452866179</v>
      </c>
      <c r="M9" s="67">
        <f t="shared" si="3"/>
        <v>3092.2052611591994</v>
      </c>
      <c r="N9" s="67">
        <f t="shared" si="3"/>
        <v>0</v>
      </c>
      <c r="O9" s="67">
        <f t="shared" si="3"/>
        <v>0</v>
      </c>
      <c r="P9" s="67">
        <f t="shared" si="3"/>
        <v>0</v>
      </c>
      <c r="Q9" s="67">
        <f t="shared" si="3"/>
        <v>0</v>
      </c>
      <c r="R9" s="67">
        <f t="shared" si="3"/>
        <v>25.868327226603597</v>
      </c>
      <c r="S9" s="67">
        <f t="shared" si="3"/>
        <v>0.63499472294399995</v>
      </c>
      <c r="T9" s="67">
        <f t="shared" si="3"/>
        <v>8.2264621778709284</v>
      </c>
      <c r="U9" s="67">
        <f t="shared" si="3"/>
        <v>0</v>
      </c>
      <c r="V9" s="86">
        <f t="shared" si="3"/>
        <v>0</v>
      </c>
      <c r="W9" s="86">
        <f t="shared" si="3"/>
        <v>0</v>
      </c>
      <c r="X9" s="86">
        <f t="shared" si="3"/>
        <v>0</v>
      </c>
      <c r="Y9" s="67">
        <f t="shared" si="3"/>
        <v>0</v>
      </c>
      <c r="Z9" s="68">
        <f t="shared" si="3"/>
        <v>2501.2994242635782</v>
      </c>
      <c r="AA9" s="66">
        <f t="shared" si="3"/>
        <v>213.29280212790383</v>
      </c>
      <c r="AB9" s="87">
        <f t="shared" si="3"/>
        <v>0</v>
      </c>
      <c r="AC9" s="67">
        <f t="shared" si="3"/>
        <v>0</v>
      </c>
      <c r="AD9" s="67">
        <f t="shared" si="3"/>
        <v>172.72491180671966</v>
      </c>
      <c r="AE9" s="67">
        <f t="shared" si="3"/>
        <v>33.531818868055431</v>
      </c>
      <c r="AF9" s="67">
        <f t="shared" si="3"/>
        <v>7.0360714531287174</v>
      </c>
      <c r="AG9" s="67">
        <f t="shared" si="3"/>
        <v>0</v>
      </c>
      <c r="AH9" s="70">
        <f t="shared" si="3"/>
        <v>0</v>
      </c>
      <c r="AI9" s="86">
        <f t="shared" si="3"/>
        <v>0</v>
      </c>
      <c r="AJ9" s="68">
        <f t="shared" si="3"/>
        <v>90.714163374524205</v>
      </c>
      <c r="AK9" s="68">
        <f t="shared" si="3"/>
        <v>54.069944079999999</v>
      </c>
      <c r="AL9" s="66">
        <f t="shared" si="3"/>
        <v>0</v>
      </c>
      <c r="AM9" s="88">
        <f t="shared" si="0"/>
        <v>7014.9021647544387</v>
      </c>
      <c r="AN9" s="18"/>
      <c r="AO9" s="73"/>
    </row>
    <row r="10" spans="1:41" ht="12.75" customHeight="1">
      <c r="A10" s="89" t="s">
        <v>107</v>
      </c>
      <c r="B10" s="90"/>
      <c r="C10" s="91">
        <f>SUM(D10:G10)</f>
        <v>488.64939432989598</v>
      </c>
      <c r="D10" s="92">
        <v>488.64939432989598</v>
      </c>
      <c r="E10" s="93"/>
      <c r="F10" s="94"/>
      <c r="G10" s="94"/>
      <c r="H10" s="95">
        <f>SUM(I10:K10)</f>
        <v>467.10845991760607</v>
      </c>
      <c r="I10" s="92">
        <v>467.10845991760607</v>
      </c>
      <c r="J10" s="96">
        <v>0</v>
      </c>
      <c r="K10" s="93"/>
      <c r="L10" s="95">
        <f>SUM(M10:Y10)</f>
        <v>34.094789404474525</v>
      </c>
      <c r="M10" s="93"/>
      <c r="N10" s="93"/>
      <c r="O10" s="93"/>
      <c r="P10" s="93"/>
      <c r="Q10" s="93"/>
      <c r="R10" s="93">
        <v>25.868327226603597</v>
      </c>
      <c r="S10" s="93"/>
      <c r="T10" s="93">
        <v>8.2264621778709284</v>
      </c>
      <c r="U10" s="93"/>
      <c r="V10" s="94"/>
      <c r="W10" s="94"/>
      <c r="X10" s="94"/>
      <c r="Y10" s="93"/>
      <c r="Z10" s="95">
        <v>2187.6033883210698</v>
      </c>
      <c r="AA10" s="97">
        <f>SUM(AB10:AI10)</f>
        <v>204.19282321191795</v>
      </c>
      <c r="AB10" s="98"/>
      <c r="AC10" s="93"/>
      <c r="AD10" s="93">
        <v>170.66100434386252</v>
      </c>
      <c r="AE10" s="93">
        <v>33.531818868055431</v>
      </c>
      <c r="AF10" s="93"/>
      <c r="AG10" s="93"/>
      <c r="AH10" s="92"/>
      <c r="AI10" s="94"/>
      <c r="AJ10" s="99">
        <v>90.714163374524205</v>
      </c>
      <c r="AK10" s="95"/>
      <c r="AL10" s="97"/>
      <c r="AM10" s="100">
        <f t="shared" si="0"/>
        <v>3472.3630185594884</v>
      </c>
    </row>
    <row r="11" spans="1:41" ht="12.75" customHeight="1">
      <c r="A11" s="36" t="s">
        <v>108</v>
      </c>
      <c r="B11" s="37"/>
      <c r="C11" s="38">
        <f>SUM(D11:G11)</f>
        <v>0</v>
      </c>
      <c r="D11" s="43">
        <v>0</v>
      </c>
      <c r="E11" s="45"/>
      <c r="F11" s="41"/>
      <c r="G11" s="41"/>
      <c r="H11" s="42">
        <f>SUM(I11:K11)</f>
        <v>4.7573545322072528</v>
      </c>
      <c r="I11" s="43">
        <v>4.7573545322072528</v>
      </c>
      <c r="J11" s="44"/>
      <c r="K11" s="45"/>
      <c r="L11" s="42">
        <f>SUM(M11:Y11)</f>
        <v>0.63499472294399995</v>
      </c>
      <c r="M11" s="45"/>
      <c r="N11" s="101">
        <v>0</v>
      </c>
      <c r="O11" s="45"/>
      <c r="P11" s="45"/>
      <c r="Q11" s="45"/>
      <c r="R11" s="45">
        <v>0</v>
      </c>
      <c r="S11" s="45">
        <v>0.63499472294399995</v>
      </c>
      <c r="T11" s="45">
        <v>0</v>
      </c>
      <c r="U11" s="45"/>
      <c r="V11" s="41"/>
      <c r="W11" s="41"/>
      <c r="X11" s="41"/>
      <c r="Y11" s="45"/>
      <c r="Z11" s="42">
        <v>272.96145103491432</v>
      </c>
      <c r="AA11" s="46">
        <f>SUM(AB11:AI11)</f>
        <v>9.0999789159858597</v>
      </c>
      <c r="AB11" s="47"/>
      <c r="AC11" s="45"/>
      <c r="AD11" s="45">
        <v>2.0639074628571428</v>
      </c>
      <c r="AE11" s="45"/>
      <c r="AF11" s="45">
        <v>7.0360714531287174</v>
      </c>
      <c r="AG11" s="45"/>
      <c r="AH11" s="43"/>
      <c r="AI11" s="41"/>
      <c r="AJ11" s="48"/>
      <c r="AK11" s="48"/>
      <c r="AL11" s="46"/>
      <c r="AM11" s="49">
        <f t="shared" si="0"/>
        <v>287.45377920605142</v>
      </c>
    </row>
    <row r="12" spans="1:41" ht="12.75" customHeight="1">
      <c r="A12" s="36" t="s">
        <v>109</v>
      </c>
      <c r="B12" s="37"/>
      <c r="C12" s="38"/>
      <c r="D12" s="43"/>
      <c r="E12" s="45"/>
      <c r="F12" s="41"/>
      <c r="G12" s="41"/>
      <c r="H12" s="42"/>
      <c r="I12" s="43"/>
      <c r="J12" s="44"/>
      <c r="K12" s="45"/>
      <c r="L12" s="42"/>
      <c r="M12" s="45"/>
      <c r="N12" s="101"/>
      <c r="O12" s="45"/>
      <c r="P12" s="45"/>
      <c r="Q12" s="45"/>
      <c r="R12" s="45"/>
      <c r="S12" s="45"/>
      <c r="T12" s="45"/>
      <c r="U12" s="45"/>
      <c r="V12" s="41"/>
      <c r="W12" s="41"/>
      <c r="X12" s="41"/>
      <c r="Y12" s="45"/>
      <c r="Z12" s="42"/>
      <c r="AA12" s="46"/>
      <c r="AB12" s="47"/>
      <c r="AC12" s="45"/>
      <c r="AD12" s="45"/>
      <c r="AE12" s="45"/>
      <c r="AF12" s="45"/>
      <c r="AG12" s="45"/>
      <c r="AH12" s="43"/>
      <c r="AI12" s="41"/>
      <c r="AJ12" s="48"/>
      <c r="AK12" s="48">
        <v>42.942060079999997</v>
      </c>
      <c r="AL12" s="46"/>
      <c r="AM12" s="49">
        <f t="shared" si="0"/>
        <v>42.942060079999997</v>
      </c>
    </row>
    <row r="13" spans="1:41" ht="12.75" customHeight="1">
      <c r="A13" s="36" t="s">
        <v>110</v>
      </c>
      <c r="B13" s="37"/>
      <c r="C13" s="38">
        <f>SUM(D13:G13)</f>
        <v>0</v>
      </c>
      <c r="D13" s="43"/>
      <c r="E13" s="41"/>
      <c r="F13" s="41"/>
      <c r="G13" s="41"/>
      <c r="H13" s="42">
        <f>SUM(I13:K13)</f>
        <v>68.075576842105264</v>
      </c>
      <c r="I13" s="43">
        <v>68.075576842105264</v>
      </c>
      <c r="J13" s="44"/>
      <c r="K13" s="45"/>
      <c r="L13" s="42">
        <f>SUM(M13:Y13)</f>
        <v>0</v>
      </c>
      <c r="M13" s="45"/>
      <c r="N13" s="45"/>
      <c r="O13" s="45"/>
      <c r="P13" s="45"/>
      <c r="Q13" s="45"/>
      <c r="R13" s="45"/>
      <c r="S13" s="45"/>
      <c r="T13" s="45"/>
      <c r="U13" s="45"/>
      <c r="V13" s="41"/>
      <c r="W13" s="41"/>
      <c r="X13" s="41"/>
      <c r="Y13" s="45"/>
      <c r="Z13" s="42"/>
      <c r="AA13" s="46">
        <f>SUM(AB13:AI13)</f>
        <v>0</v>
      </c>
      <c r="AB13" s="47"/>
      <c r="AC13" s="45"/>
      <c r="AD13" s="45"/>
      <c r="AE13" s="45"/>
      <c r="AF13" s="45"/>
      <c r="AG13" s="45"/>
      <c r="AH13" s="43"/>
      <c r="AI13" s="41"/>
      <c r="AJ13" s="48"/>
      <c r="AK13" s="48"/>
      <c r="AL13" s="46"/>
      <c r="AM13" s="49">
        <f t="shared" si="0"/>
        <v>68.075576842105264</v>
      </c>
    </row>
    <row r="14" spans="1:41" ht="12.75" customHeight="1">
      <c r="A14" s="102" t="s">
        <v>111</v>
      </c>
      <c r="B14" s="103"/>
      <c r="C14" s="104">
        <f>SUM(D14:G14)</f>
        <v>0</v>
      </c>
      <c r="D14" s="105"/>
      <c r="E14" s="106"/>
      <c r="F14" s="107"/>
      <c r="G14" s="107"/>
      <c r="H14" s="108">
        <f>SUM(I14:K14)</f>
        <v>0</v>
      </c>
      <c r="I14" s="105"/>
      <c r="J14" s="109"/>
      <c r="K14" s="106"/>
      <c r="L14" s="108">
        <f>SUM(M14:Y14)</f>
        <v>3092.2052611591994</v>
      </c>
      <c r="M14" s="106">
        <v>3092.2052611591994</v>
      </c>
      <c r="N14" s="106"/>
      <c r="O14" s="106"/>
      <c r="P14" s="106"/>
      <c r="Q14" s="106"/>
      <c r="R14" s="106"/>
      <c r="S14" s="106"/>
      <c r="T14" s="106"/>
      <c r="U14" s="106"/>
      <c r="V14" s="107"/>
      <c r="W14" s="107"/>
      <c r="X14" s="107"/>
      <c r="Y14" s="106"/>
      <c r="Z14" s="108">
        <v>40.734584907594211</v>
      </c>
      <c r="AA14" s="110">
        <f>SUM(AB14:AI14)</f>
        <v>0</v>
      </c>
      <c r="AB14" s="111"/>
      <c r="AC14" s="106"/>
      <c r="AD14" s="106"/>
      <c r="AE14" s="106"/>
      <c r="AF14" s="106"/>
      <c r="AG14" s="106"/>
      <c r="AH14" s="105"/>
      <c r="AI14" s="107"/>
      <c r="AJ14" s="112"/>
      <c r="AK14" s="112">
        <v>11.127884</v>
      </c>
      <c r="AL14" s="110"/>
      <c r="AM14" s="113">
        <f t="shared" si="0"/>
        <v>3144.0677300667935</v>
      </c>
    </row>
    <row r="15" spans="1:41" s="74" customFormat="1" ht="12.75" customHeight="1">
      <c r="A15" s="114" t="s">
        <v>112</v>
      </c>
      <c r="B15" s="115"/>
      <c r="C15" s="116">
        <f t="shared" ref="C15:AL15" si="4">SUM(C16:C21)</f>
        <v>0</v>
      </c>
      <c r="D15" s="117">
        <f t="shared" si="4"/>
        <v>0</v>
      </c>
      <c r="E15" s="118">
        <f t="shared" si="4"/>
        <v>0</v>
      </c>
      <c r="F15" s="119">
        <f t="shared" si="4"/>
        <v>0</v>
      </c>
      <c r="G15" s="119">
        <f t="shared" si="4"/>
        <v>0</v>
      </c>
      <c r="H15" s="120">
        <f t="shared" si="4"/>
        <v>64.671797999999995</v>
      </c>
      <c r="I15" s="117">
        <f t="shared" si="4"/>
        <v>0</v>
      </c>
      <c r="J15" s="121">
        <f t="shared" si="4"/>
        <v>0</v>
      </c>
      <c r="K15" s="118">
        <f t="shared" si="4"/>
        <v>64.671797999999995</v>
      </c>
      <c r="L15" s="120">
        <f t="shared" si="4"/>
        <v>3166.7368998172387</v>
      </c>
      <c r="M15" s="118">
        <f t="shared" si="4"/>
        <v>0</v>
      </c>
      <c r="N15" s="118">
        <f t="shared" si="4"/>
        <v>89.969014531910801</v>
      </c>
      <c r="O15" s="118">
        <f t="shared" si="4"/>
        <v>640.53679657777786</v>
      </c>
      <c r="P15" s="118">
        <f t="shared" si="4"/>
        <v>226.77459106847999</v>
      </c>
      <c r="Q15" s="118">
        <f t="shared" si="4"/>
        <v>0</v>
      </c>
      <c r="R15" s="118">
        <f t="shared" si="4"/>
        <v>960.95017928079096</v>
      </c>
      <c r="S15" s="118">
        <f t="shared" si="4"/>
        <v>64.797462901984332</v>
      </c>
      <c r="T15" s="118">
        <f t="shared" si="4"/>
        <v>1146.9502117491124</v>
      </c>
      <c r="U15" s="118">
        <f t="shared" si="4"/>
        <v>0</v>
      </c>
      <c r="V15" s="119">
        <f t="shared" si="4"/>
        <v>36.758643707182323</v>
      </c>
      <c r="W15" s="119">
        <f t="shared" si="4"/>
        <v>0</v>
      </c>
      <c r="X15" s="119">
        <f t="shared" si="4"/>
        <v>0</v>
      </c>
      <c r="Y15" s="118">
        <f t="shared" si="4"/>
        <v>0</v>
      </c>
      <c r="Z15" s="120">
        <f t="shared" si="4"/>
        <v>0</v>
      </c>
      <c r="AA15" s="122">
        <f t="shared" si="4"/>
        <v>70.406409383935852</v>
      </c>
      <c r="AB15" s="123">
        <f t="shared" si="4"/>
        <v>0</v>
      </c>
      <c r="AC15" s="118">
        <f t="shared" si="4"/>
        <v>0</v>
      </c>
      <c r="AD15" s="118">
        <f t="shared" si="4"/>
        <v>54.776406842584706</v>
      </c>
      <c r="AE15" s="124">
        <f t="shared" si="4"/>
        <v>11.967173135751148</v>
      </c>
      <c r="AF15" s="124">
        <f t="shared" si="4"/>
        <v>3.6628294055999997</v>
      </c>
      <c r="AG15" s="124">
        <f t="shared" si="4"/>
        <v>0</v>
      </c>
      <c r="AH15" s="117">
        <f t="shared" si="4"/>
        <v>0</v>
      </c>
      <c r="AI15" s="119">
        <f t="shared" si="4"/>
        <v>0</v>
      </c>
      <c r="AJ15" s="120">
        <f t="shared" si="4"/>
        <v>24.127289822325451</v>
      </c>
      <c r="AK15" s="120">
        <f t="shared" si="4"/>
        <v>1869.3696002087718</v>
      </c>
      <c r="AL15" s="122">
        <f t="shared" si="4"/>
        <v>0</v>
      </c>
      <c r="AM15" s="125">
        <f t="shared" si="0"/>
        <v>5195.3119972322711</v>
      </c>
      <c r="AN15" s="18"/>
      <c r="AO15" s="73"/>
    </row>
    <row r="16" spans="1:41" ht="12.75" customHeight="1">
      <c r="A16" s="89" t="s">
        <v>107</v>
      </c>
      <c r="B16" s="90"/>
      <c r="C16" s="91">
        <f>SUM(D16:G16)</f>
        <v>0</v>
      </c>
      <c r="D16" s="92"/>
      <c r="E16" s="93"/>
      <c r="F16" s="94"/>
      <c r="G16" s="94"/>
      <c r="H16" s="95">
        <f>SUM(I16:K16)</f>
        <v>0</v>
      </c>
      <c r="I16" s="92"/>
      <c r="J16" s="96"/>
      <c r="K16" s="93"/>
      <c r="L16" s="95">
        <f>SUM(M16:Y16)</f>
        <v>0</v>
      </c>
      <c r="M16" s="93"/>
      <c r="N16" s="93"/>
      <c r="O16" s="93"/>
      <c r="P16" s="93"/>
      <c r="Q16" s="93"/>
      <c r="R16" s="93"/>
      <c r="S16" s="93"/>
      <c r="T16" s="93"/>
      <c r="U16" s="93"/>
      <c r="V16" s="94"/>
      <c r="W16" s="94"/>
      <c r="X16" s="94"/>
      <c r="Y16" s="93"/>
      <c r="Z16" s="95"/>
      <c r="AA16" s="97">
        <f>SUM(AB16:AI16)</f>
        <v>65.648541978335857</v>
      </c>
      <c r="AB16" s="98"/>
      <c r="AC16" s="93"/>
      <c r="AD16" s="93">
        <v>53.681368842584703</v>
      </c>
      <c r="AE16" s="101">
        <v>11.967173135751148</v>
      </c>
      <c r="AF16" s="101"/>
      <c r="AG16" s="101"/>
      <c r="AH16" s="92"/>
      <c r="AI16" s="94"/>
      <c r="AJ16" s="99">
        <v>24.127289822325451</v>
      </c>
      <c r="AK16" s="99">
        <v>1663.9966121740963</v>
      </c>
      <c r="AL16" s="97"/>
      <c r="AM16" s="126">
        <f>C16+H16+L16+Z16+AK16+AL16</f>
        <v>1663.9966121740963</v>
      </c>
    </row>
    <row r="17" spans="1:41" ht="12.75" customHeight="1">
      <c r="A17" s="36" t="s">
        <v>113</v>
      </c>
      <c r="B17" s="37"/>
      <c r="C17" s="38">
        <f>SUM(D17:G17)</f>
        <v>0</v>
      </c>
      <c r="D17" s="43"/>
      <c r="E17" s="45"/>
      <c r="F17" s="41"/>
      <c r="G17" s="41"/>
      <c r="H17" s="42">
        <f>SUM(I17:K17)</f>
        <v>0</v>
      </c>
      <c r="I17" s="43"/>
      <c r="J17" s="44"/>
      <c r="K17" s="45"/>
      <c r="L17" s="42">
        <f>SUM(M17:Y17)</f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41"/>
      <c r="W17" s="41"/>
      <c r="X17" s="41"/>
      <c r="Y17" s="45"/>
      <c r="Z17" s="42"/>
      <c r="AA17" s="46">
        <f>SUM(AB17:AI17)</f>
        <v>4.7578674055999999</v>
      </c>
      <c r="AB17" s="47"/>
      <c r="AC17" s="45"/>
      <c r="AD17" s="45">
        <v>1.095038</v>
      </c>
      <c r="AE17" s="45"/>
      <c r="AF17" s="45">
        <v>3.6628294055999997</v>
      </c>
      <c r="AG17" s="45"/>
      <c r="AH17" s="43"/>
      <c r="AI17" s="41"/>
      <c r="AJ17" s="48"/>
      <c r="AK17" s="127">
        <v>184.94204862424348</v>
      </c>
      <c r="AL17" s="46"/>
      <c r="AM17" s="49">
        <f>C17+H17+L17+Z17+AK17+AL17</f>
        <v>184.94204862424348</v>
      </c>
    </row>
    <row r="18" spans="1:41" ht="12.75" customHeight="1">
      <c r="A18" s="36" t="s">
        <v>114</v>
      </c>
      <c r="B18" s="37"/>
      <c r="C18" s="38"/>
      <c r="D18" s="43"/>
      <c r="E18" s="45"/>
      <c r="F18" s="41"/>
      <c r="G18" s="41"/>
      <c r="H18" s="42"/>
      <c r="I18" s="43"/>
      <c r="J18" s="44"/>
      <c r="K18" s="45"/>
      <c r="L18" s="42"/>
      <c r="M18" s="45"/>
      <c r="N18" s="45"/>
      <c r="O18" s="45"/>
      <c r="P18" s="45"/>
      <c r="Q18" s="45"/>
      <c r="R18" s="45"/>
      <c r="S18" s="45"/>
      <c r="T18" s="45"/>
      <c r="U18" s="45"/>
      <c r="V18" s="41"/>
      <c r="W18" s="41"/>
      <c r="X18" s="41"/>
      <c r="Y18" s="45"/>
      <c r="Z18" s="42"/>
      <c r="AA18" s="46">
        <f>SUM(AB18:AI18)</f>
        <v>0</v>
      </c>
      <c r="AB18" s="47"/>
      <c r="AC18" s="45"/>
      <c r="AD18" s="45"/>
      <c r="AE18" s="45"/>
      <c r="AF18" s="45"/>
      <c r="AG18" s="45"/>
      <c r="AH18" s="43"/>
      <c r="AI18" s="41"/>
      <c r="AJ18" s="48"/>
      <c r="AK18" s="48"/>
      <c r="AL18" s="46"/>
      <c r="AM18" s="49">
        <f t="shared" si="0"/>
        <v>0</v>
      </c>
    </row>
    <row r="19" spans="1:41" ht="12.75" customHeight="1">
      <c r="A19" s="36" t="s">
        <v>115</v>
      </c>
      <c r="B19" s="37"/>
      <c r="C19" s="38"/>
      <c r="D19" s="43"/>
      <c r="E19" s="45"/>
      <c r="F19" s="41"/>
      <c r="G19" s="41"/>
      <c r="H19" s="42"/>
      <c r="I19" s="43"/>
      <c r="J19" s="44"/>
      <c r="K19" s="45"/>
      <c r="L19" s="42"/>
      <c r="M19" s="45"/>
      <c r="N19" s="45"/>
      <c r="O19" s="45"/>
      <c r="P19" s="45"/>
      <c r="Q19" s="45"/>
      <c r="R19" s="45"/>
      <c r="S19" s="45"/>
      <c r="T19" s="45"/>
      <c r="U19" s="45"/>
      <c r="V19" s="41"/>
      <c r="W19" s="41"/>
      <c r="X19" s="41"/>
      <c r="Y19" s="45"/>
      <c r="Z19" s="42"/>
      <c r="AA19" s="46"/>
      <c r="AB19" s="47"/>
      <c r="AC19" s="45"/>
      <c r="AD19" s="45"/>
      <c r="AE19" s="45"/>
      <c r="AF19" s="45"/>
      <c r="AG19" s="45"/>
      <c r="AH19" s="43"/>
      <c r="AI19" s="41"/>
      <c r="AJ19" s="48"/>
      <c r="AK19" s="48">
        <v>20.430939410432</v>
      </c>
      <c r="AL19" s="46"/>
      <c r="AM19" s="49">
        <f t="shared" si="0"/>
        <v>20.430939410432</v>
      </c>
    </row>
    <row r="20" spans="1:41" ht="12.75" customHeight="1">
      <c r="A20" s="36" t="s">
        <v>110</v>
      </c>
      <c r="B20" s="37"/>
      <c r="C20" s="38"/>
      <c r="D20" s="18"/>
      <c r="E20" s="45"/>
      <c r="F20" s="41"/>
      <c r="G20" s="41"/>
      <c r="H20" s="42">
        <f>SUM(I20:K20)</f>
        <v>64.671797999999995</v>
      </c>
      <c r="I20" s="43"/>
      <c r="J20" s="44"/>
      <c r="K20" s="45">
        <v>64.671797999999995</v>
      </c>
      <c r="L20" s="42">
        <f>SUM(M20:Y20)</f>
        <v>0</v>
      </c>
      <c r="M20" s="45"/>
      <c r="N20" s="45"/>
      <c r="O20" s="45"/>
      <c r="P20" s="45"/>
      <c r="Q20" s="45"/>
      <c r="R20" s="45"/>
      <c r="S20" s="45"/>
      <c r="T20" s="45"/>
      <c r="U20" s="45"/>
      <c r="V20" s="41"/>
      <c r="W20" s="41"/>
      <c r="X20" s="41"/>
      <c r="Y20" s="45"/>
      <c r="Z20" s="42"/>
      <c r="AA20" s="46">
        <f>SUM(AB20:AI20)</f>
        <v>0</v>
      </c>
      <c r="AB20" s="47"/>
      <c r="AC20" s="45"/>
      <c r="AD20" s="45"/>
      <c r="AE20" s="45"/>
      <c r="AF20" s="45"/>
      <c r="AG20" s="45"/>
      <c r="AH20" s="43"/>
      <c r="AI20" s="41"/>
      <c r="AJ20" s="48"/>
      <c r="AK20" s="48"/>
      <c r="AL20" s="46"/>
      <c r="AM20" s="49">
        <f t="shared" si="0"/>
        <v>64.671797999999995</v>
      </c>
    </row>
    <row r="21" spans="1:41" ht="12.75" customHeight="1">
      <c r="A21" s="102" t="s">
        <v>116</v>
      </c>
      <c r="B21" s="103"/>
      <c r="C21" s="104"/>
      <c r="D21" s="105"/>
      <c r="E21" s="106"/>
      <c r="F21" s="107"/>
      <c r="G21" s="107"/>
      <c r="H21" s="108">
        <f>SUM(I21:K21)</f>
        <v>0</v>
      </c>
      <c r="I21" s="105"/>
      <c r="J21" s="109"/>
      <c r="K21" s="106"/>
      <c r="L21" s="108">
        <f>SUM(M21:Y21)</f>
        <v>3166.7368998172387</v>
      </c>
      <c r="M21" s="106"/>
      <c r="N21" s="106">
        <v>89.969014531910801</v>
      </c>
      <c r="O21" s="106">
        <v>640.53679657777786</v>
      </c>
      <c r="P21" s="106">
        <v>226.77459106847999</v>
      </c>
      <c r="Q21" s="106">
        <v>0</v>
      </c>
      <c r="R21" s="106">
        <v>960.95017928079096</v>
      </c>
      <c r="S21" s="106">
        <v>64.797462901984332</v>
      </c>
      <c r="T21" s="106">
        <v>1146.9502117491124</v>
      </c>
      <c r="U21" s="106"/>
      <c r="V21" s="107">
        <v>36.758643707182323</v>
      </c>
      <c r="W21" s="107"/>
      <c r="X21" s="107"/>
      <c r="Y21" s="106"/>
      <c r="Z21" s="108"/>
      <c r="AA21" s="110">
        <f>SUM(AB21:AI21)</f>
        <v>0</v>
      </c>
      <c r="AB21" s="111"/>
      <c r="AC21" s="106"/>
      <c r="AD21" s="106"/>
      <c r="AE21" s="106"/>
      <c r="AF21" s="106"/>
      <c r="AG21" s="106"/>
      <c r="AH21" s="105"/>
      <c r="AI21" s="107"/>
      <c r="AJ21" s="112"/>
      <c r="AK21" s="112"/>
      <c r="AL21" s="110"/>
      <c r="AM21" s="113">
        <f t="shared" si="0"/>
        <v>3166.7368998172387</v>
      </c>
    </row>
    <row r="22" spans="1:41" ht="12.75" customHeight="1">
      <c r="A22" s="128" t="s">
        <v>117</v>
      </c>
      <c r="B22" s="129"/>
      <c r="C22" s="130">
        <f>SUM(C23:C25)</f>
        <v>21.675620234332229</v>
      </c>
      <c r="D22" s="131">
        <f>SUM(D23:D25)</f>
        <v>-17.141361188350004</v>
      </c>
      <c r="E22" s="132">
        <f>SUM(E23:E25)</f>
        <v>38.816981422682233</v>
      </c>
      <c r="F22" s="133">
        <f>SUM(F23:F25)</f>
        <v>0</v>
      </c>
      <c r="G22" s="133">
        <f>SUM(G23:G25)</f>
        <v>0</v>
      </c>
      <c r="H22" s="134">
        <f>SUM(I22:K22)</f>
        <v>0</v>
      </c>
      <c r="I22" s="131">
        <f>SUM(I23:I25)</f>
        <v>0</v>
      </c>
      <c r="J22" s="135">
        <f>SUM(J23:J25)</f>
        <v>0</v>
      </c>
      <c r="K22" s="132">
        <f>SUM(K23:K25)</f>
        <v>0</v>
      </c>
      <c r="L22" s="134">
        <f>SUM(M22:Y22)</f>
        <v>-24.071643477187674</v>
      </c>
      <c r="M22" s="132">
        <f t="shared" ref="M22:AM22" si="5">SUM(M23:M25)</f>
        <v>0</v>
      </c>
      <c r="N22" s="132">
        <f t="shared" si="5"/>
        <v>0</v>
      </c>
      <c r="O22" s="132">
        <f t="shared" si="5"/>
        <v>0.11733854444431926</v>
      </c>
      <c r="P22" s="132">
        <f t="shared" si="5"/>
        <v>374.46366644960005</v>
      </c>
      <c r="Q22" s="132">
        <f t="shared" si="5"/>
        <v>-373.64776418279996</v>
      </c>
      <c r="R22" s="132">
        <f t="shared" si="5"/>
        <v>0</v>
      </c>
      <c r="S22" s="132">
        <f t="shared" si="5"/>
        <v>0</v>
      </c>
      <c r="T22" s="132">
        <f t="shared" si="5"/>
        <v>-3.3292640540998377</v>
      </c>
      <c r="U22" s="132">
        <f t="shared" si="5"/>
        <v>-21.675620234332225</v>
      </c>
      <c r="V22" s="133">
        <f t="shared" si="5"/>
        <v>0</v>
      </c>
      <c r="W22" s="133">
        <f t="shared" si="5"/>
        <v>0</v>
      </c>
      <c r="X22" s="133">
        <f t="shared" si="5"/>
        <v>0</v>
      </c>
      <c r="Y22" s="132">
        <f t="shared" si="5"/>
        <v>0</v>
      </c>
      <c r="Z22" s="134">
        <f t="shared" si="5"/>
        <v>0</v>
      </c>
      <c r="AA22" s="136">
        <f t="shared" si="5"/>
        <v>-788.25144236760048</v>
      </c>
      <c r="AB22" s="137">
        <f t="shared" si="5"/>
        <v>-59.691708987970003</v>
      </c>
      <c r="AC22" s="132">
        <f t="shared" si="5"/>
        <v>-727.12733781532609</v>
      </c>
      <c r="AD22" s="132">
        <f t="shared" si="5"/>
        <v>0</v>
      </c>
      <c r="AE22" s="138">
        <f t="shared" si="5"/>
        <v>0</v>
      </c>
      <c r="AF22" s="138">
        <f t="shared" si="5"/>
        <v>0</v>
      </c>
      <c r="AG22" s="138">
        <f t="shared" si="5"/>
        <v>0</v>
      </c>
      <c r="AH22" s="131">
        <f t="shared" si="5"/>
        <v>-1.4323955643044282</v>
      </c>
      <c r="AI22" s="133">
        <f t="shared" si="5"/>
        <v>0</v>
      </c>
      <c r="AJ22" s="139">
        <f t="shared" si="5"/>
        <v>0</v>
      </c>
      <c r="AK22" s="134">
        <f t="shared" si="5"/>
        <v>788.25144236760048</v>
      </c>
      <c r="AL22" s="136">
        <f t="shared" si="5"/>
        <v>0</v>
      </c>
      <c r="AM22" s="140">
        <f t="shared" si="5"/>
        <v>-2.3960232428554455</v>
      </c>
    </row>
    <row r="23" spans="1:41" ht="12.75" customHeight="1">
      <c r="A23" s="89" t="s">
        <v>118</v>
      </c>
      <c r="B23" s="90"/>
      <c r="C23" s="141"/>
      <c r="D23" s="142"/>
      <c r="E23" s="143"/>
      <c r="F23" s="94"/>
      <c r="G23" s="94"/>
      <c r="H23" s="95"/>
      <c r="I23" s="144"/>
      <c r="J23" s="96"/>
      <c r="K23" s="93"/>
      <c r="L23" s="95"/>
      <c r="M23" s="93"/>
      <c r="N23" s="93"/>
      <c r="O23" s="93"/>
      <c r="P23" s="93"/>
      <c r="Q23" s="93"/>
      <c r="R23" s="93"/>
      <c r="S23" s="93"/>
      <c r="T23" s="93"/>
      <c r="U23" s="93"/>
      <c r="V23" s="94"/>
      <c r="W23" s="94"/>
      <c r="X23" s="94"/>
      <c r="Y23" s="93"/>
      <c r="Z23" s="95"/>
      <c r="AA23" s="97">
        <f>SUM(AB23:AI23)</f>
        <v>-788.25144236760048</v>
      </c>
      <c r="AB23" s="98">
        <f>-AB2</f>
        <v>-59.691708987970003</v>
      </c>
      <c r="AC23" s="93">
        <f>-AC2</f>
        <v>-727.12733781532609</v>
      </c>
      <c r="AD23" s="93"/>
      <c r="AE23" s="101"/>
      <c r="AF23" s="101"/>
      <c r="AG23" s="101"/>
      <c r="AH23" s="92">
        <v>-1.4323955643044282</v>
      </c>
      <c r="AI23" s="94"/>
      <c r="AJ23" s="99"/>
      <c r="AK23" s="95">
        <f>-(C23+H23+L23+Z23+AA23)</f>
        <v>788.25144236760048</v>
      </c>
      <c r="AL23" s="97"/>
      <c r="AM23" s="126">
        <f>C23+H23+L23+Z23+AA23+AJ23+AK23+AL23</f>
        <v>0</v>
      </c>
    </row>
    <row r="24" spans="1:41" ht="12.75" customHeight="1">
      <c r="A24" s="145" t="s">
        <v>119</v>
      </c>
      <c r="B24" s="115"/>
      <c r="C24" s="146"/>
      <c r="D24" s="147"/>
      <c r="E24" s="118"/>
      <c r="F24" s="148"/>
      <c r="G24" s="148"/>
      <c r="H24" s="120"/>
      <c r="J24" s="150"/>
      <c r="K24" s="151"/>
      <c r="L24" s="120"/>
      <c r="M24" s="151"/>
      <c r="N24" s="151"/>
      <c r="O24" s="151"/>
      <c r="P24" s="151"/>
      <c r="Q24" s="151"/>
      <c r="R24" s="151"/>
      <c r="S24" s="151"/>
      <c r="T24" s="151"/>
      <c r="U24" s="151"/>
      <c r="V24" s="148"/>
      <c r="W24" s="148"/>
      <c r="X24" s="148"/>
      <c r="Y24" s="151"/>
      <c r="Z24" s="120"/>
      <c r="AA24" s="122"/>
      <c r="AB24" s="152"/>
      <c r="AC24" s="151"/>
      <c r="AD24" s="151"/>
      <c r="AE24" s="151"/>
      <c r="AF24" s="151"/>
      <c r="AG24" s="151"/>
      <c r="AH24" s="153"/>
      <c r="AI24" s="148"/>
      <c r="AJ24" s="154"/>
      <c r="AK24" s="120"/>
      <c r="AL24" s="122"/>
      <c r="AM24" s="155">
        <f>C24+H24+L24+Z24+AA24+AJ24+AK24+AL24</f>
        <v>0</v>
      </c>
    </row>
    <row r="25" spans="1:41" ht="12.75" customHeight="1" thickBot="1">
      <c r="A25" s="51" t="s">
        <v>120</v>
      </c>
      <c r="B25" s="52"/>
      <c r="C25" s="156">
        <f>SUM(D25:G25)</f>
        <v>21.675620234332229</v>
      </c>
      <c r="D25" s="157">
        <v>-17.141361188350004</v>
      </c>
      <c r="E25" s="60">
        <f>-D25-U25</f>
        <v>38.816981422682233</v>
      </c>
      <c r="F25" s="54"/>
      <c r="G25" s="54"/>
      <c r="H25" s="55"/>
      <c r="I25" s="158"/>
      <c r="J25" s="159"/>
      <c r="K25" s="60"/>
      <c r="L25" s="55">
        <f>SUM(N25:Y25)</f>
        <v>-24.071643477187674</v>
      </c>
      <c r="M25" s="60"/>
      <c r="N25" s="60"/>
      <c r="O25" s="60">
        <v>0.11733854444431926</v>
      </c>
      <c r="P25" s="60">
        <v>374.46366644960005</v>
      </c>
      <c r="Q25" s="60">
        <v>-373.64776418279996</v>
      </c>
      <c r="R25" s="60">
        <v>0</v>
      </c>
      <c r="S25" s="60"/>
      <c r="T25" s="60">
        <v>-3.3292640540998377</v>
      </c>
      <c r="U25" s="54">
        <v>-21.675620234332225</v>
      </c>
      <c r="V25" s="54"/>
      <c r="W25" s="54"/>
      <c r="X25" s="54"/>
      <c r="Y25" s="60"/>
      <c r="Z25" s="55"/>
      <c r="AA25" s="55">
        <f>SUM(AB25:AI25)</f>
        <v>0</v>
      </c>
      <c r="AB25" s="59"/>
      <c r="AC25" s="60"/>
      <c r="AD25" s="60"/>
      <c r="AE25" s="60"/>
      <c r="AF25" s="60"/>
      <c r="AG25" s="60"/>
      <c r="AH25" s="56"/>
      <c r="AI25" s="54"/>
      <c r="AJ25" s="61"/>
      <c r="AK25" s="55"/>
      <c r="AL25" s="58"/>
      <c r="AM25" s="62">
        <f>C25+H25+L25+Z25+AA25+AJ25+AK25+AL25</f>
        <v>-2.3960232428554455</v>
      </c>
    </row>
    <row r="26" spans="1:41" ht="12.75" customHeight="1" thickBot="1">
      <c r="A26" s="114" t="s">
        <v>121</v>
      </c>
      <c r="B26" s="115"/>
      <c r="C26" s="116">
        <f>SUM(D26:G26)</f>
        <v>0</v>
      </c>
      <c r="D26" s="117"/>
      <c r="E26" s="118"/>
      <c r="F26" s="148"/>
      <c r="G26" s="148"/>
      <c r="H26" s="120">
        <f>SUM(I26:K26)</f>
        <v>11.368440725877685</v>
      </c>
      <c r="I26" s="148">
        <v>11.368440725877685</v>
      </c>
      <c r="J26" s="150"/>
      <c r="K26" s="151"/>
      <c r="L26" s="120">
        <f>SUM(N26:Y26)</f>
        <v>92.978980127232518</v>
      </c>
      <c r="M26" s="151"/>
      <c r="N26" s="151">
        <v>89.969014531910801</v>
      </c>
      <c r="O26" s="151"/>
      <c r="P26" s="151"/>
      <c r="Q26" s="151"/>
      <c r="R26" s="151">
        <v>0</v>
      </c>
      <c r="S26" s="151">
        <v>4.1693256233877908E-3</v>
      </c>
      <c r="T26" s="151">
        <v>3.0057962696983291</v>
      </c>
      <c r="U26" s="151"/>
      <c r="V26" s="148"/>
      <c r="W26" s="148"/>
      <c r="X26" s="148"/>
      <c r="Y26" s="151"/>
      <c r="Z26" s="120">
        <v>57.528599543766255</v>
      </c>
      <c r="AA26" s="122">
        <f>SUM(AB26:AG26)</f>
        <v>0</v>
      </c>
      <c r="AB26" s="123"/>
      <c r="AC26" s="151"/>
      <c r="AD26" s="151"/>
      <c r="AE26" s="151"/>
      <c r="AF26" s="151"/>
      <c r="AG26" s="151"/>
      <c r="AH26" s="153"/>
      <c r="AI26" s="148"/>
      <c r="AJ26" s="154"/>
      <c r="AK26" s="120">
        <v>257.5554058341836</v>
      </c>
      <c r="AL26" s="122"/>
      <c r="AM26" s="155">
        <f>C26+H26+L26+Z26+AA26+AJ26+AK26+AL26</f>
        <v>419.43142623106007</v>
      </c>
    </row>
    <row r="27" spans="1:41" s="74" customFormat="1" ht="12.75" customHeight="1" thickBot="1">
      <c r="A27" s="160" t="s">
        <v>122</v>
      </c>
      <c r="B27" s="161"/>
      <c r="C27" s="162">
        <f t="shared" ref="C27:AL27" si="6">C7-C9+C15+C22-C26</f>
        <v>257.65437785433085</v>
      </c>
      <c r="D27" s="163">
        <f t="shared" si="6"/>
        <v>183.13519529469272</v>
      </c>
      <c r="E27" s="164">
        <f t="shared" si="6"/>
        <v>66.118821612900035</v>
      </c>
      <c r="F27" s="164">
        <f t="shared" si="6"/>
        <v>0</v>
      </c>
      <c r="G27" s="164">
        <f t="shared" si="6"/>
        <v>8.4003609467381786</v>
      </c>
      <c r="H27" s="165">
        <f t="shared" si="6"/>
        <v>199.31419506885075</v>
      </c>
      <c r="I27" s="163">
        <f t="shared" si="6"/>
        <v>0.37225106885080628</v>
      </c>
      <c r="J27" s="166">
        <f t="shared" si="6"/>
        <v>127.70399999999999</v>
      </c>
      <c r="K27" s="164">
        <f t="shared" si="6"/>
        <v>71.237943999999999</v>
      </c>
      <c r="L27" s="165">
        <f t="shared" si="6"/>
        <v>7302.736484101757</v>
      </c>
      <c r="M27" s="164">
        <f t="shared" si="6"/>
        <v>0</v>
      </c>
      <c r="N27" s="164">
        <f t="shared" si="6"/>
        <v>0</v>
      </c>
      <c r="O27" s="164">
        <f t="shared" si="6"/>
        <v>830.66219249999983</v>
      </c>
      <c r="P27" s="164">
        <f t="shared" si="6"/>
        <v>962.00436969728003</v>
      </c>
      <c r="Q27" s="164">
        <f t="shared" si="6"/>
        <v>1095.3569190907197</v>
      </c>
      <c r="R27" s="164">
        <f t="shared" si="6"/>
        <v>15.469962346277839</v>
      </c>
      <c r="S27" s="164">
        <f t="shared" si="6"/>
        <v>187.88084937540125</v>
      </c>
      <c r="T27" s="164">
        <f t="shared" si="6"/>
        <v>3833.6812396704358</v>
      </c>
      <c r="U27" s="164">
        <f t="shared" si="6"/>
        <v>145.4444052742318</v>
      </c>
      <c r="V27" s="164">
        <f t="shared" si="6"/>
        <v>-5.5141208563533439E-2</v>
      </c>
      <c r="W27" s="164">
        <f t="shared" si="6"/>
        <v>195.56026412750296</v>
      </c>
      <c r="X27" s="164">
        <f t="shared" si="6"/>
        <v>1.2218380210726456</v>
      </c>
      <c r="Y27" s="164">
        <f t="shared" si="6"/>
        <v>35.509585207400512</v>
      </c>
      <c r="Z27" s="165">
        <f t="shared" si="6"/>
        <v>1921.4292269183238</v>
      </c>
      <c r="AA27" s="167">
        <f t="shared" ref="AA27:AJ27" si="7">AA7-AA9+AA22-AA26</f>
        <v>453.90773416750153</v>
      </c>
      <c r="AB27" s="87">
        <f t="shared" si="7"/>
        <v>0</v>
      </c>
      <c r="AC27" s="67">
        <f t="shared" si="7"/>
        <v>0</v>
      </c>
      <c r="AD27" s="67">
        <f t="shared" si="7"/>
        <v>237.04871700223623</v>
      </c>
      <c r="AE27" s="67">
        <f t="shared" si="7"/>
        <v>0</v>
      </c>
      <c r="AF27" s="67">
        <f t="shared" si="7"/>
        <v>9.7770611234061491</v>
      </c>
      <c r="AG27" s="67">
        <f t="shared" si="7"/>
        <v>149.27283699801595</v>
      </c>
      <c r="AH27" s="70">
        <f t="shared" si="7"/>
        <v>13.54608560366562</v>
      </c>
      <c r="AI27" s="168">
        <f t="shared" si="7"/>
        <v>44.263033440177487</v>
      </c>
      <c r="AJ27" s="165">
        <f t="shared" si="7"/>
        <v>54.722939604974087</v>
      </c>
      <c r="AK27" s="165">
        <f t="shared" si="6"/>
        <v>2343.6109186821886</v>
      </c>
      <c r="AL27" s="167">
        <f t="shared" si="6"/>
        <v>0</v>
      </c>
      <c r="AM27" s="169">
        <f>C27+H27+L27+Z27+AA27+AJ27+AK27+AL27</f>
        <v>12533.375876397926</v>
      </c>
      <c r="AN27" s="18"/>
      <c r="AO27" s="73"/>
    </row>
    <row r="28" spans="1:41" s="74" customFormat="1" ht="12.75" customHeight="1">
      <c r="A28" s="63" t="s">
        <v>123</v>
      </c>
      <c r="B28" s="64"/>
      <c r="C28" s="65">
        <f t="shared" ref="C28:U28" si="8">C29</f>
        <v>0</v>
      </c>
      <c r="D28" s="70">
        <f t="shared" si="8"/>
        <v>0</v>
      </c>
      <c r="E28" s="67">
        <f t="shared" si="8"/>
        <v>0</v>
      </c>
      <c r="F28" s="86">
        <f t="shared" si="8"/>
        <v>0</v>
      </c>
      <c r="G28" s="86">
        <f t="shared" si="8"/>
        <v>0</v>
      </c>
      <c r="H28" s="68">
        <f t="shared" si="8"/>
        <v>0</v>
      </c>
      <c r="I28" s="70">
        <f t="shared" si="8"/>
        <v>0</v>
      </c>
      <c r="J28" s="69">
        <f t="shared" si="8"/>
        <v>0</v>
      </c>
      <c r="K28" s="67">
        <f t="shared" si="8"/>
        <v>0</v>
      </c>
      <c r="L28" s="68">
        <f t="shared" si="8"/>
        <v>232.29168735597611</v>
      </c>
      <c r="M28" s="67">
        <f t="shared" si="8"/>
        <v>0</v>
      </c>
      <c r="N28" s="67">
        <f t="shared" si="8"/>
        <v>0</v>
      </c>
      <c r="O28" s="67">
        <f t="shared" si="8"/>
        <v>0</v>
      </c>
      <c r="P28" s="67">
        <f t="shared" si="8"/>
        <v>0</v>
      </c>
      <c r="Q28" s="67">
        <f t="shared" si="8"/>
        <v>0</v>
      </c>
      <c r="R28" s="67">
        <f t="shared" si="8"/>
        <v>0</v>
      </c>
      <c r="S28" s="67">
        <f t="shared" si="8"/>
        <v>0</v>
      </c>
      <c r="T28" s="67">
        <f t="shared" si="8"/>
        <v>0</v>
      </c>
      <c r="U28" s="67">
        <f t="shared" si="8"/>
        <v>0</v>
      </c>
      <c r="V28" s="86"/>
      <c r="W28" s="86">
        <f t="shared" ref="W28:AM28" si="9">W29</f>
        <v>195.56026412750296</v>
      </c>
      <c r="X28" s="86">
        <f t="shared" si="9"/>
        <v>1.2218380210726456</v>
      </c>
      <c r="Y28" s="67">
        <f t="shared" si="9"/>
        <v>35.509585207400512</v>
      </c>
      <c r="Z28" s="68">
        <f t="shared" si="9"/>
        <v>0</v>
      </c>
      <c r="AA28" s="66">
        <f t="shared" si="9"/>
        <v>0</v>
      </c>
      <c r="AB28" s="87">
        <f t="shared" si="9"/>
        <v>0</v>
      </c>
      <c r="AC28" s="67">
        <f t="shared" si="9"/>
        <v>0</v>
      </c>
      <c r="AD28" s="67">
        <f t="shared" si="9"/>
        <v>0</v>
      </c>
      <c r="AE28" s="67">
        <f t="shared" si="9"/>
        <v>0</v>
      </c>
      <c r="AF28" s="67">
        <f t="shared" si="9"/>
        <v>0</v>
      </c>
      <c r="AG28" s="67">
        <f t="shared" si="9"/>
        <v>0</v>
      </c>
      <c r="AH28" s="70">
        <f t="shared" si="9"/>
        <v>0</v>
      </c>
      <c r="AI28" s="86">
        <f t="shared" si="9"/>
        <v>0</v>
      </c>
      <c r="AJ28" s="68">
        <f t="shared" si="9"/>
        <v>0</v>
      </c>
      <c r="AK28" s="68">
        <f t="shared" si="9"/>
        <v>0</v>
      </c>
      <c r="AL28" s="66">
        <f t="shared" si="9"/>
        <v>0</v>
      </c>
      <c r="AM28" s="72">
        <f t="shared" si="9"/>
        <v>232.29168735597611</v>
      </c>
      <c r="AN28" s="18"/>
      <c r="AO28" s="73"/>
    </row>
    <row r="29" spans="1:41" ht="12.75" customHeight="1" thickBot="1">
      <c r="A29" s="170" t="s">
        <v>124</v>
      </c>
      <c r="B29" s="171"/>
      <c r="C29" s="172">
        <f>SUM(D29:G29)</f>
        <v>0</v>
      </c>
      <c r="D29" s="131"/>
      <c r="E29" s="132"/>
      <c r="F29" s="133"/>
      <c r="G29" s="133"/>
      <c r="H29" s="139">
        <f>SUM(I29:K29)</f>
        <v>0</v>
      </c>
      <c r="I29" s="131"/>
      <c r="J29" s="135"/>
      <c r="K29" s="132"/>
      <c r="L29" s="139">
        <f>SUM(M29:Y29)</f>
        <v>232.29168735597611</v>
      </c>
      <c r="M29" s="132"/>
      <c r="N29" s="132"/>
      <c r="O29" s="132"/>
      <c r="P29" s="132"/>
      <c r="Q29" s="132"/>
      <c r="R29" s="132"/>
      <c r="S29" s="132"/>
      <c r="T29" s="132"/>
      <c r="U29" s="132"/>
      <c r="V29" s="133"/>
      <c r="W29" s="133">
        <f>W27</f>
        <v>195.56026412750296</v>
      </c>
      <c r="X29" s="133">
        <f>X27</f>
        <v>1.2218380210726456</v>
      </c>
      <c r="Y29" s="132">
        <f>Y27</f>
        <v>35.509585207400512</v>
      </c>
      <c r="Z29" s="139">
        <v>0</v>
      </c>
      <c r="AA29" s="173">
        <f>SUM(AB29:AG29)</f>
        <v>0</v>
      </c>
      <c r="AB29" s="137"/>
      <c r="AC29" s="132"/>
      <c r="AD29" s="132"/>
      <c r="AE29" s="132"/>
      <c r="AF29" s="132"/>
      <c r="AG29" s="132"/>
      <c r="AH29" s="131"/>
      <c r="AI29" s="133"/>
      <c r="AJ29" s="139"/>
      <c r="AK29" s="139"/>
      <c r="AL29" s="173"/>
      <c r="AM29" s="140">
        <f t="shared" ref="AM29:AM62" si="10">C29+H29+L29+Z29+AA29+AJ29+AK29+AL29</f>
        <v>232.29168735597611</v>
      </c>
    </row>
    <row r="30" spans="1:41" s="74" customFormat="1" ht="12.75" customHeight="1" thickBot="1">
      <c r="A30" s="63" t="s">
        <v>125</v>
      </c>
      <c r="B30" s="64"/>
      <c r="C30" s="65">
        <f>C31+C45+C56+C57+C60+C61</f>
        <v>260.60987477319378</v>
      </c>
      <c r="D30" s="70">
        <f t="shared" ref="D30:AL30" si="11">D31+D45+D56+D57+D60+D61</f>
        <v>182.95234745162335</v>
      </c>
      <c r="E30" s="67">
        <f t="shared" si="11"/>
        <v>70.131951348544106</v>
      </c>
      <c r="F30" s="86">
        <f t="shared" si="11"/>
        <v>0</v>
      </c>
      <c r="G30" s="86">
        <f t="shared" si="11"/>
        <v>7.5255759730262914</v>
      </c>
      <c r="H30" s="68">
        <f t="shared" si="11"/>
        <v>197.36847005356</v>
      </c>
      <c r="I30" s="70">
        <f t="shared" si="11"/>
        <v>0.82966372355999995</v>
      </c>
      <c r="J30" s="174">
        <f t="shared" si="11"/>
        <v>127.70399999999999</v>
      </c>
      <c r="K30" s="70">
        <f t="shared" si="11"/>
        <v>68.834806329999992</v>
      </c>
      <c r="L30" s="68">
        <f t="shared" si="11"/>
        <v>7064.8482904861212</v>
      </c>
      <c r="M30" s="67">
        <f t="shared" si="11"/>
        <v>0</v>
      </c>
      <c r="N30" s="67">
        <f t="shared" si="11"/>
        <v>0</v>
      </c>
      <c r="O30" s="67">
        <f t="shared" si="11"/>
        <v>821.48002832197108</v>
      </c>
      <c r="P30" s="67">
        <f t="shared" si="11"/>
        <v>946.63395628256001</v>
      </c>
      <c r="Q30" s="67">
        <f t="shared" si="11"/>
        <v>1102.0673096951998</v>
      </c>
      <c r="R30" s="67">
        <f t="shared" si="11"/>
        <v>30.568237653241653</v>
      </c>
      <c r="S30" s="67">
        <f t="shared" si="11"/>
        <v>181.32381570558749</v>
      </c>
      <c r="T30" s="67">
        <f t="shared" si="11"/>
        <v>3838.1558666328419</v>
      </c>
      <c r="U30" s="67">
        <f t="shared" si="11"/>
        <v>144.61907619471961</v>
      </c>
      <c r="V30" s="86">
        <f t="shared" si="11"/>
        <v>0</v>
      </c>
      <c r="W30" s="86">
        <f t="shared" si="11"/>
        <v>0</v>
      </c>
      <c r="X30" s="86">
        <f t="shared" si="11"/>
        <v>0</v>
      </c>
      <c r="Y30" s="70">
        <f t="shared" si="11"/>
        <v>0</v>
      </c>
      <c r="Z30" s="165">
        <f t="shared" si="11"/>
        <v>1948.4940140158224</v>
      </c>
      <c r="AA30" s="66">
        <f t="shared" si="11"/>
        <v>463.87782848328834</v>
      </c>
      <c r="AB30" s="87">
        <f t="shared" si="11"/>
        <v>0</v>
      </c>
      <c r="AC30" s="67">
        <f t="shared" si="11"/>
        <v>0</v>
      </c>
      <c r="AD30" s="67">
        <f t="shared" si="11"/>
        <v>242.05204627234301</v>
      </c>
      <c r="AE30" s="67">
        <f t="shared" si="11"/>
        <v>0</v>
      </c>
      <c r="AF30" s="67">
        <f t="shared" si="11"/>
        <v>9.7770611234061491</v>
      </c>
      <c r="AG30" s="67">
        <f t="shared" si="11"/>
        <v>154.23960204369604</v>
      </c>
      <c r="AH30" s="66">
        <f t="shared" si="11"/>
        <v>13.546085603665619</v>
      </c>
      <c r="AI30" s="66">
        <f t="shared" si="11"/>
        <v>44.263033440177495</v>
      </c>
      <c r="AJ30" s="66">
        <f t="shared" si="11"/>
        <v>54.722939604974094</v>
      </c>
      <c r="AK30" s="68">
        <f t="shared" si="11"/>
        <v>2334.0556267002485</v>
      </c>
      <c r="AL30" s="66">
        <f t="shared" si="11"/>
        <v>0</v>
      </c>
      <c r="AM30" s="169">
        <f t="shared" si="10"/>
        <v>12323.977044117206</v>
      </c>
      <c r="AN30" s="18"/>
      <c r="AO30" s="73"/>
    </row>
    <row r="31" spans="1:41" s="74" customFormat="1" ht="12.75" customHeight="1">
      <c r="A31" s="175" t="s">
        <v>126</v>
      </c>
      <c r="B31" s="176"/>
      <c r="C31" s="177">
        <f>SUM(C32:C44)</f>
        <v>105.42454930000001</v>
      </c>
      <c r="D31" s="178">
        <v>105.4245493</v>
      </c>
      <c r="E31" s="178">
        <v>0</v>
      </c>
      <c r="F31" s="179"/>
      <c r="G31" s="179"/>
      <c r="H31" s="180">
        <f t="shared" ref="H31:N31" si="12">SUM(H32:H44)</f>
        <v>0.82966372355999995</v>
      </c>
      <c r="I31" s="181">
        <f t="shared" si="12"/>
        <v>0.82966372355999995</v>
      </c>
      <c r="J31" s="182">
        <f t="shared" si="12"/>
        <v>0</v>
      </c>
      <c r="K31" s="178">
        <f t="shared" si="12"/>
        <v>0</v>
      </c>
      <c r="L31" s="180">
        <f t="shared" si="12"/>
        <v>515.57312076608696</v>
      </c>
      <c r="M31" s="178">
        <f t="shared" si="12"/>
        <v>0</v>
      </c>
      <c r="N31" s="178">
        <f t="shared" si="12"/>
        <v>0</v>
      </c>
      <c r="O31" s="178">
        <v>0</v>
      </c>
      <c r="P31" s="178">
        <v>94.663395628256012</v>
      </c>
      <c r="Q31" s="178">
        <f>SUM(Q32:Q44)</f>
        <v>0</v>
      </c>
      <c r="R31" s="178">
        <v>29.321232722679056</v>
      </c>
      <c r="S31" s="178">
        <v>126.43007128347482</v>
      </c>
      <c r="T31" s="178">
        <v>124.05002195842548</v>
      </c>
      <c r="U31" s="178">
        <v>141.10839917325163</v>
      </c>
      <c r="V31" s="179">
        <f>SUM(V32:V44)</f>
        <v>0</v>
      </c>
      <c r="W31" s="179">
        <f>SUM(W32:W44)</f>
        <v>0</v>
      </c>
      <c r="X31" s="179">
        <f>SUM(X32:X44)</f>
        <v>0</v>
      </c>
      <c r="Y31" s="178">
        <f>SUM(Y32:Y44)</f>
        <v>0</v>
      </c>
      <c r="Z31" s="180">
        <v>789.72423233353879</v>
      </c>
      <c r="AA31" s="183">
        <f>SUM(AA32:AA44)</f>
        <v>198.35341364492615</v>
      </c>
      <c r="AB31" s="184">
        <f>SUM(AB32:AB44)</f>
        <v>0</v>
      </c>
      <c r="AC31" s="178">
        <f>SUM(AC32:AC44)</f>
        <v>0</v>
      </c>
      <c r="AD31" s="178">
        <f>SUM(AD32:AD44)</f>
        <v>196.11790789019597</v>
      </c>
      <c r="AE31" s="178"/>
      <c r="AF31" s="178">
        <f>SUM(AF32:AF44)</f>
        <v>2.2355057547301662</v>
      </c>
      <c r="AG31" s="178">
        <f>SUM(AG32:AG44)</f>
        <v>0</v>
      </c>
      <c r="AH31" s="183">
        <f>SUM(AH32:AH44)</f>
        <v>0</v>
      </c>
      <c r="AI31" s="178">
        <f>SUM(AI32:AI44)</f>
        <v>0</v>
      </c>
      <c r="AJ31" s="180">
        <f>SUM(AJ32:AJ44)</f>
        <v>54.722939604974094</v>
      </c>
      <c r="AK31" s="180">
        <v>936.28275789094528</v>
      </c>
      <c r="AL31" s="183">
        <f>SUM(AL32:AL44)</f>
        <v>0</v>
      </c>
      <c r="AM31" s="88">
        <f t="shared" si="10"/>
        <v>2600.9106772640312</v>
      </c>
      <c r="AN31" s="18"/>
      <c r="AO31" s="185"/>
    </row>
    <row r="32" spans="1:41" ht="12.75" customHeight="1">
      <c r="A32" s="186" t="s">
        <v>127</v>
      </c>
      <c r="B32" s="187" t="s">
        <v>128</v>
      </c>
      <c r="C32" s="188">
        <f t="shared" ref="C32:C44" si="13">SUM(D32:G32)</f>
        <v>0</v>
      </c>
      <c r="D32" s="101">
        <v>0</v>
      </c>
      <c r="E32" s="101"/>
      <c r="F32" s="189"/>
      <c r="G32" s="189"/>
      <c r="H32" s="190">
        <f t="shared" ref="H32:H44" si="14">SUM(I32:K32)</f>
        <v>0</v>
      </c>
      <c r="I32" s="191"/>
      <c r="J32" s="192"/>
      <c r="K32" s="101"/>
      <c r="L32" s="193">
        <f t="shared" ref="L32:L44" si="15">SUM(M32:Y32)</f>
        <v>33.639134861596197</v>
      </c>
      <c r="M32" s="101"/>
      <c r="N32" s="101"/>
      <c r="O32" s="101"/>
      <c r="P32" s="101">
        <v>2.9872785510101791</v>
      </c>
      <c r="Q32" s="101"/>
      <c r="R32" s="101">
        <v>0.89247079050168787</v>
      </c>
      <c r="S32" s="101">
        <v>0.21512334429923258</v>
      </c>
      <c r="T32" s="101">
        <v>29.544262175785097</v>
      </c>
      <c r="U32" s="101">
        <v>0</v>
      </c>
      <c r="V32" s="189"/>
      <c r="W32" s="189"/>
      <c r="X32" s="189"/>
      <c r="Y32" s="101"/>
      <c r="Z32" s="194">
        <v>12.651334090576015</v>
      </c>
      <c r="AA32" s="195">
        <f t="shared" ref="AA32:AA44" si="16">SUM(AB32:AI32)</f>
        <v>0</v>
      </c>
      <c r="AB32" s="196"/>
      <c r="AC32" s="101"/>
      <c r="AD32" s="101"/>
      <c r="AE32" s="101"/>
      <c r="AF32" s="101"/>
      <c r="AG32" s="101"/>
      <c r="AH32" s="144"/>
      <c r="AI32" s="101"/>
      <c r="AJ32" s="99"/>
      <c r="AK32" s="194">
        <v>67.441767724292603</v>
      </c>
      <c r="AL32" s="195"/>
      <c r="AM32" s="100">
        <f t="shared" si="10"/>
        <v>113.73223667646482</v>
      </c>
    </row>
    <row r="33" spans="1:41" ht="12.75" customHeight="1">
      <c r="A33" s="197" t="s">
        <v>129</v>
      </c>
      <c r="B33" s="198" t="s">
        <v>130</v>
      </c>
      <c r="C33" s="38">
        <f t="shared" si="13"/>
        <v>18.505496800000003</v>
      </c>
      <c r="D33" s="101">
        <v>18.505496800000003</v>
      </c>
      <c r="E33" s="45"/>
      <c r="F33" s="41"/>
      <c r="G33" s="41"/>
      <c r="H33" s="42">
        <f t="shared" si="14"/>
        <v>0.82966372355999995</v>
      </c>
      <c r="I33" s="43">
        <v>0.82966372355999995</v>
      </c>
      <c r="J33" s="44"/>
      <c r="K33" s="45"/>
      <c r="L33" s="199">
        <f t="shared" si="15"/>
        <v>136.37317803157953</v>
      </c>
      <c r="M33" s="45"/>
      <c r="N33" s="45"/>
      <c r="O33" s="101"/>
      <c r="P33" s="101">
        <v>55.612421136590243</v>
      </c>
      <c r="Q33" s="45"/>
      <c r="R33" s="101">
        <v>16.614607779613237</v>
      </c>
      <c r="S33" s="101">
        <v>36.050508826919781</v>
      </c>
      <c r="T33" s="101">
        <v>28.095640288456277</v>
      </c>
      <c r="U33" s="101">
        <v>0</v>
      </c>
      <c r="V33" s="41"/>
      <c r="W33" s="41"/>
      <c r="X33" s="41"/>
      <c r="Y33" s="45"/>
      <c r="Z33" s="200">
        <v>111.23553213326231</v>
      </c>
      <c r="AA33" s="46">
        <f t="shared" si="16"/>
        <v>26.063524749810167</v>
      </c>
      <c r="AB33" s="47"/>
      <c r="AC33" s="45"/>
      <c r="AD33" s="45">
        <v>23.828018995080001</v>
      </c>
      <c r="AE33" s="101"/>
      <c r="AF33" s="101">
        <v>2.2355057547301662</v>
      </c>
      <c r="AG33" s="101"/>
      <c r="AH33" s="201"/>
      <c r="AI33" s="45"/>
      <c r="AJ33" s="48"/>
      <c r="AK33" s="200">
        <v>200.4888239822395</v>
      </c>
      <c r="AL33" s="46"/>
      <c r="AM33" s="49">
        <f t="shared" si="10"/>
        <v>493.49621942045144</v>
      </c>
    </row>
    <row r="34" spans="1:41" ht="12.75" customHeight="1">
      <c r="A34" s="202" t="s">
        <v>131</v>
      </c>
      <c r="B34" s="203" t="s">
        <v>132</v>
      </c>
      <c r="C34" s="38">
        <f t="shared" si="13"/>
        <v>0</v>
      </c>
      <c r="D34" s="101">
        <v>0</v>
      </c>
      <c r="E34" s="45"/>
      <c r="F34" s="41"/>
      <c r="G34" s="41"/>
      <c r="H34" s="42">
        <f t="shared" si="14"/>
        <v>0</v>
      </c>
      <c r="I34" s="43"/>
      <c r="J34" s="44"/>
      <c r="K34" s="45"/>
      <c r="L34" s="199">
        <f t="shared" si="15"/>
        <v>2.5106544550385581</v>
      </c>
      <c r="M34" s="45"/>
      <c r="N34" s="45"/>
      <c r="O34" s="101"/>
      <c r="P34" s="101">
        <v>1.2308100467681424</v>
      </c>
      <c r="Q34" s="45"/>
      <c r="R34" s="101">
        <v>0.36771328707365675</v>
      </c>
      <c r="S34" s="101">
        <v>5.551570175464067E-2</v>
      </c>
      <c r="T34" s="101">
        <v>0.85661541944211816</v>
      </c>
      <c r="U34" s="101">
        <v>0</v>
      </c>
      <c r="V34" s="41"/>
      <c r="W34" s="41"/>
      <c r="X34" s="41"/>
      <c r="Y34" s="45"/>
      <c r="Z34" s="200">
        <v>1.212219083963938</v>
      </c>
      <c r="AA34" s="46">
        <f t="shared" si="16"/>
        <v>0</v>
      </c>
      <c r="AB34" s="47"/>
      <c r="AC34" s="45"/>
      <c r="AD34" s="45"/>
      <c r="AE34" s="101"/>
      <c r="AF34" s="101"/>
      <c r="AG34" s="101"/>
      <c r="AH34" s="201"/>
      <c r="AI34" s="45"/>
      <c r="AJ34" s="48"/>
      <c r="AK34" s="200">
        <v>11.998516778957701</v>
      </c>
      <c r="AL34" s="46"/>
      <c r="AM34" s="49">
        <f t="shared" si="10"/>
        <v>15.721390317960196</v>
      </c>
    </row>
    <row r="35" spans="1:41" ht="12.75" customHeight="1">
      <c r="A35" s="202" t="s">
        <v>133</v>
      </c>
      <c r="B35" s="203" t="s">
        <v>134</v>
      </c>
      <c r="C35" s="38">
        <f t="shared" si="13"/>
        <v>0</v>
      </c>
      <c r="D35" s="101">
        <v>0</v>
      </c>
      <c r="E35" s="45"/>
      <c r="F35" s="41"/>
      <c r="G35" s="41"/>
      <c r="H35" s="42">
        <f t="shared" si="14"/>
        <v>0</v>
      </c>
      <c r="I35" s="43"/>
      <c r="J35" s="44"/>
      <c r="K35" s="45"/>
      <c r="L35" s="199">
        <f t="shared" si="15"/>
        <v>2.6786305315985559</v>
      </c>
      <c r="M35" s="45"/>
      <c r="N35" s="45"/>
      <c r="O35" s="101"/>
      <c r="P35" s="101">
        <v>0.43430927431532101</v>
      </c>
      <c r="Q35" s="45"/>
      <c r="R35" s="101">
        <v>0.12975299582937627</v>
      </c>
      <c r="S35" s="101">
        <v>0.29145743421186349</v>
      </c>
      <c r="T35" s="101">
        <v>1.8231108272419951</v>
      </c>
      <c r="U35" s="101">
        <v>0</v>
      </c>
      <c r="V35" s="41"/>
      <c r="W35" s="41"/>
      <c r="X35" s="41"/>
      <c r="Y35" s="45"/>
      <c r="Z35" s="200">
        <v>2.1627527783737563</v>
      </c>
      <c r="AA35" s="46">
        <f t="shared" si="16"/>
        <v>129.37121058215999</v>
      </c>
      <c r="AB35" s="47"/>
      <c r="AC35" s="45"/>
      <c r="AD35" s="45">
        <v>129.37121058215999</v>
      </c>
      <c r="AE35" s="101"/>
      <c r="AF35" s="101"/>
      <c r="AG35" s="101"/>
      <c r="AH35" s="201"/>
      <c r="AI35" s="45"/>
      <c r="AJ35" s="48"/>
      <c r="AK35" s="200">
        <v>40.3299761469967</v>
      </c>
      <c r="AL35" s="46"/>
      <c r="AM35" s="49">
        <f t="shared" si="10"/>
        <v>174.542570039129</v>
      </c>
    </row>
    <row r="36" spans="1:41" ht="12.75" customHeight="1">
      <c r="A36" s="202" t="s">
        <v>135</v>
      </c>
      <c r="B36" s="203" t="s">
        <v>136</v>
      </c>
      <c r="C36" s="38">
        <f t="shared" si="13"/>
        <v>0</v>
      </c>
      <c r="D36" s="101">
        <v>0</v>
      </c>
      <c r="E36" s="45"/>
      <c r="F36" s="41"/>
      <c r="G36" s="41"/>
      <c r="H36" s="42">
        <f t="shared" si="14"/>
        <v>0</v>
      </c>
      <c r="I36" s="43"/>
      <c r="J36" s="44"/>
      <c r="K36" s="45"/>
      <c r="L36" s="199">
        <f t="shared" si="15"/>
        <v>2.916718912628498</v>
      </c>
      <c r="M36" s="45"/>
      <c r="N36" s="45"/>
      <c r="O36" s="101"/>
      <c r="P36" s="101">
        <v>1.0064436319926997</v>
      </c>
      <c r="Q36" s="45"/>
      <c r="R36" s="101">
        <v>0.30068221911752141</v>
      </c>
      <c r="S36" s="101">
        <v>0.27757850877320334</v>
      </c>
      <c r="T36" s="101">
        <v>1.3320145527450737</v>
      </c>
      <c r="U36" s="101">
        <v>0</v>
      </c>
      <c r="V36" s="41"/>
      <c r="W36" s="41"/>
      <c r="X36" s="41"/>
      <c r="Y36" s="45"/>
      <c r="Z36" s="200">
        <v>3.5770083763316833</v>
      </c>
      <c r="AA36" s="46">
        <f t="shared" si="16"/>
        <v>0</v>
      </c>
      <c r="AB36" s="47"/>
      <c r="AC36" s="45"/>
      <c r="AD36" s="45"/>
      <c r="AE36" s="101"/>
      <c r="AF36" s="101"/>
      <c r="AG36" s="101"/>
      <c r="AH36" s="201"/>
      <c r="AI36" s="45"/>
      <c r="AJ36" s="48"/>
      <c r="AK36" s="200">
        <v>22.01123577046986</v>
      </c>
      <c r="AL36" s="46"/>
      <c r="AM36" s="49">
        <f t="shared" si="10"/>
        <v>28.50496305943004</v>
      </c>
    </row>
    <row r="37" spans="1:41" ht="12.75" customHeight="1">
      <c r="A37" s="202" t="s">
        <v>137</v>
      </c>
      <c r="B37" s="203" t="s">
        <v>138</v>
      </c>
      <c r="C37" s="38">
        <f t="shared" si="13"/>
        <v>0</v>
      </c>
      <c r="D37" s="101">
        <v>0</v>
      </c>
      <c r="E37" s="45"/>
      <c r="F37" s="41"/>
      <c r="G37" s="41"/>
      <c r="H37" s="42">
        <f t="shared" si="14"/>
        <v>0</v>
      </c>
      <c r="I37" s="43"/>
      <c r="J37" s="44"/>
      <c r="K37" s="45"/>
      <c r="L37" s="199">
        <f t="shared" si="15"/>
        <v>28.334981145867548</v>
      </c>
      <c r="M37" s="45"/>
      <c r="N37" s="45"/>
      <c r="O37" s="101"/>
      <c r="P37" s="101">
        <v>13.229605385509133</v>
      </c>
      <c r="Q37" s="45"/>
      <c r="R37" s="101">
        <v>3.9524390426992668</v>
      </c>
      <c r="S37" s="101">
        <v>3.2684869408044692</v>
      </c>
      <c r="T37" s="101">
        <v>7.8844497768546802</v>
      </c>
      <c r="U37" s="101">
        <v>0</v>
      </c>
      <c r="V37" s="41"/>
      <c r="W37" s="41"/>
      <c r="X37" s="41"/>
      <c r="Y37" s="45"/>
      <c r="Z37" s="204">
        <v>68.682793971575805</v>
      </c>
      <c r="AA37" s="46">
        <f t="shared" si="16"/>
        <v>0</v>
      </c>
      <c r="AB37" s="47"/>
      <c r="AC37" s="45"/>
      <c r="AD37" s="45">
        <v>0</v>
      </c>
      <c r="AE37" s="101"/>
      <c r="AF37" s="101"/>
      <c r="AG37" s="101"/>
      <c r="AH37" s="205"/>
      <c r="AI37" s="45"/>
      <c r="AJ37" s="206"/>
      <c r="AK37" s="204">
        <v>170.83024325379245</v>
      </c>
      <c r="AL37" s="46"/>
      <c r="AM37" s="49">
        <f t="shared" si="10"/>
        <v>267.84801837123581</v>
      </c>
    </row>
    <row r="38" spans="1:41" ht="12.75" customHeight="1">
      <c r="A38" s="202" t="s">
        <v>139</v>
      </c>
      <c r="B38" s="203" t="s">
        <v>140</v>
      </c>
      <c r="C38" s="38">
        <f t="shared" si="13"/>
        <v>0</v>
      </c>
      <c r="D38" s="101">
        <v>0</v>
      </c>
      <c r="E38" s="45"/>
      <c r="F38" s="41"/>
      <c r="G38" s="41"/>
      <c r="H38" s="42">
        <f t="shared" si="14"/>
        <v>0</v>
      </c>
      <c r="I38" s="43"/>
      <c r="J38" s="44"/>
      <c r="K38" s="45"/>
      <c r="L38" s="199">
        <f t="shared" si="15"/>
        <v>10.093508126388487</v>
      </c>
      <c r="M38" s="45"/>
      <c r="N38" s="45"/>
      <c r="O38" s="101"/>
      <c r="P38" s="101">
        <v>8.4938714164988993E-2</v>
      </c>
      <c r="Q38" s="45"/>
      <c r="R38" s="101">
        <v>2.5376047154822671E-2</v>
      </c>
      <c r="S38" s="101">
        <v>6.5230949561702776</v>
      </c>
      <c r="T38" s="101">
        <v>3.4600984088983981</v>
      </c>
      <c r="U38" s="101">
        <v>0</v>
      </c>
      <c r="V38" s="41"/>
      <c r="W38" s="41"/>
      <c r="X38" s="41"/>
      <c r="Y38" s="45"/>
      <c r="Z38" s="200">
        <v>4.7507443147729562</v>
      </c>
      <c r="AA38" s="46">
        <f t="shared" si="16"/>
        <v>0</v>
      </c>
      <c r="AB38" s="47"/>
      <c r="AC38" s="45"/>
      <c r="AD38" s="45"/>
      <c r="AE38" s="101"/>
      <c r="AF38" s="101"/>
      <c r="AG38" s="101"/>
      <c r="AH38" s="201"/>
      <c r="AI38" s="45"/>
      <c r="AJ38" s="48"/>
      <c r="AK38" s="200">
        <v>41.304035778505472</v>
      </c>
      <c r="AL38" s="46"/>
      <c r="AM38" s="49">
        <f t="shared" si="10"/>
        <v>56.148288219666917</v>
      </c>
    </row>
    <row r="39" spans="1:41" ht="12.75" customHeight="1">
      <c r="A39" s="202" t="s">
        <v>141</v>
      </c>
      <c r="B39" s="203" t="s">
        <v>142</v>
      </c>
      <c r="C39" s="38">
        <f t="shared" si="13"/>
        <v>86.919052500000006</v>
      </c>
      <c r="D39" s="43">
        <v>86.919052500000006</v>
      </c>
      <c r="E39" s="45"/>
      <c r="F39" s="41"/>
      <c r="G39" s="41"/>
      <c r="H39" s="42">
        <f t="shared" si="14"/>
        <v>0</v>
      </c>
      <c r="I39" s="43"/>
      <c r="J39" s="44"/>
      <c r="K39" s="45"/>
      <c r="L39" s="199">
        <f t="shared" si="15"/>
        <v>193.30293553297051</v>
      </c>
      <c r="M39" s="45"/>
      <c r="N39" s="45"/>
      <c r="O39" s="101"/>
      <c r="P39" s="43">
        <v>8.9570278012853475</v>
      </c>
      <c r="Q39" s="45"/>
      <c r="R39" s="43">
        <v>2.6759759914774315</v>
      </c>
      <c r="S39" s="43">
        <v>1.4711660964979776</v>
      </c>
      <c r="T39" s="43">
        <v>39.090366470458122</v>
      </c>
      <c r="U39" s="43">
        <v>141.10839917325163</v>
      </c>
      <c r="V39" s="41"/>
      <c r="W39" s="41"/>
      <c r="X39" s="41"/>
      <c r="Y39" s="45"/>
      <c r="Z39" s="200">
        <v>17.906207611695887</v>
      </c>
      <c r="AA39" s="46">
        <f t="shared" si="16"/>
        <v>42.918678312955997</v>
      </c>
      <c r="AB39" s="47"/>
      <c r="AC39" s="45"/>
      <c r="AD39" s="45">
        <v>42.918678312955997</v>
      </c>
      <c r="AE39" s="101"/>
      <c r="AF39" s="101"/>
      <c r="AG39" s="101"/>
      <c r="AH39" s="201"/>
      <c r="AI39" s="45"/>
      <c r="AJ39" s="48">
        <v>54.722939604974094</v>
      </c>
      <c r="AK39" s="200">
        <v>59.811168777172263</v>
      </c>
      <c r="AL39" s="46"/>
      <c r="AM39" s="49">
        <f t="shared" si="10"/>
        <v>455.58098233976875</v>
      </c>
    </row>
    <row r="40" spans="1:41" ht="12.75" customHeight="1">
      <c r="A40" s="202" t="s">
        <v>143</v>
      </c>
      <c r="B40" s="203" t="s">
        <v>144</v>
      </c>
      <c r="C40" s="38">
        <f t="shared" si="13"/>
        <v>0</v>
      </c>
      <c r="D40" s="101">
        <v>0</v>
      </c>
      <c r="E40" s="45"/>
      <c r="F40" s="41"/>
      <c r="G40" s="41"/>
      <c r="H40" s="42">
        <f t="shared" si="14"/>
        <v>0</v>
      </c>
      <c r="I40" s="43"/>
      <c r="J40" s="44"/>
      <c r="K40" s="45"/>
      <c r="L40" s="199">
        <f t="shared" si="15"/>
        <v>9.5454998465741827</v>
      </c>
      <c r="M40" s="45"/>
      <c r="N40" s="45"/>
      <c r="O40" s="101"/>
      <c r="P40" s="101">
        <v>0</v>
      </c>
      <c r="Q40" s="45"/>
      <c r="R40" s="101">
        <v>1.0398675653004681</v>
      </c>
      <c r="S40" s="101">
        <v>6.0165141776591833</v>
      </c>
      <c r="T40" s="101">
        <v>2.4891181036145316</v>
      </c>
      <c r="U40" s="101">
        <v>0</v>
      </c>
      <c r="V40" s="41"/>
      <c r="W40" s="41"/>
      <c r="X40" s="41"/>
      <c r="Y40" s="45"/>
      <c r="Z40" s="200">
        <v>422.29485551224087</v>
      </c>
      <c r="AA40" s="46">
        <f t="shared" si="16"/>
        <v>0</v>
      </c>
      <c r="AB40" s="47"/>
      <c r="AC40" s="45"/>
      <c r="AD40" s="45"/>
      <c r="AE40" s="101"/>
      <c r="AF40" s="101"/>
      <c r="AG40" s="101"/>
      <c r="AH40" s="201"/>
      <c r="AI40" s="45"/>
      <c r="AJ40" s="48"/>
      <c r="AK40" s="200">
        <v>70.833566297205223</v>
      </c>
      <c r="AL40" s="46"/>
      <c r="AM40" s="49">
        <f t="shared" si="10"/>
        <v>502.67392165602024</v>
      </c>
    </row>
    <row r="41" spans="1:41" ht="12.75" customHeight="1">
      <c r="A41" s="202" t="s">
        <v>145</v>
      </c>
      <c r="B41" s="203" t="s">
        <v>146</v>
      </c>
      <c r="C41" s="38">
        <f t="shared" si="13"/>
        <v>0</v>
      </c>
      <c r="D41" s="101">
        <v>0</v>
      </c>
      <c r="E41" s="45"/>
      <c r="F41" s="41"/>
      <c r="G41" s="41"/>
      <c r="H41" s="42">
        <f t="shared" si="14"/>
        <v>0</v>
      </c>
      <c r="I41" s="43"/>
      <c r="J41" s="44"/>
      <c r="K41" s="45"/>
      <c r="L41" s="199">
        <f t="shared" si="15"/>
        <v>5.708883992955986</v>
      </c>
      <c r="M41" s="45"/>
      <c r="N41" s="45"/>
      <c r="O41" s="101"/>
      <c r="P41" s="101">
        <v>0.46315638478644938</v>
      </c>
      <c r="Q41" s="45"/>
      <c r="R41" s="101">
        <v>0.13837127599516511</v>
      </c>
      <c r="S41" s="101">
        <v>2.46350926536218</v>
      </c>
      <c r="T41" s="101">
        <v>2.6438470668121914</v>
      </c>
      <c r="U41" s="101">
        <v>0</v>
      </c>
      <c r="V41" s="41"/>
      <c r="W41" s="41"/>
      <c r="X41" s="41"/>
      <c r="Y41" s="45"/>
      <c r="Z41" s="200">
        <v>5.8051825020939676</v>
      </c>
      <c r="AA41" s="46">
        <f t="shared" si="16"/>
        <v>0</v>
      </c>
      <c r="AB41" s="47"/>
      <c r="AC41" s="45"/>
      <c r="AD41" s="45"/>
      <c r="AE41" s="101"/>
      <c r="AF41" s="101"/>
      <c r="AG41" s="101"/>
      <c r="AH41" s="201"/>
      <c r="AI41" s="45"/>
      <c r="AJ41" s="48"/>
      <c r="AK41" s="200">
        <v>23.962146035296893</v>
      </c>
      <c r="AL41" s="46"/>
      <c r="AM41" s="49">
        <f t="shared" si="10"/>
        <v>35.476212530346842</v>
      </c>
    </row>
    <row r="42" spans="1:41" ht="12.75" customHeight="1">
      <c r="A42" s="202" t="s">
        <v>147</v>
      </c>
      <c r="B42" s="203" t="s">
        <v>148</v>
      </c>
      <c r="C42" s="38">
        <f t="shared" si="13"/>
        <v>0</v>
      </c>
      <c r="D42" s="101">
        <v>0</v>
      </c>
      <c r="E42" s="45"/>
      <c r="F42" s="41"/>
      <c r="G42" s="41"/>
      <c r="H42" s="42">
        <f t="shared" si="14"/>
        <v>0</v>
      </c>
      <c r="I42" s="43"/>
      <c r="J42" s="44"/>
      <c r="K42" s="45"/>
      <c r="L42" s="199">
        <f t="shared" si="15"/>
        <v>45.56990540482289</v>
      </c>
      <c r="M42" s="45"/>
      <c r="N42" s="45"/>
      <c r="O42" s="101"/>
      <c r="P42" s="101">
        <v>0.38302552236664844</v>
      </c>
      <c r="Q42" s="45"/>
      <c r="R42" s="101">
        <v>0.11443160886797392</v>
      </c>
      <c r="S42" s="101">
        <v>43.552068026515606</v>
      </c>
      <c r="T42" s="101">
        <v>1.5203802470726597</v>
      </c>
      <c r="U42" s="101">
        <v>0</v>
      </c>
      <c r="V42" s="41"/>
      <c r="W42" s="41"/>
      <c r="X42" s="41"/>
      <c r="Y42" s="45"/>
      <c r="Z42" s="204">
        <v>130.62718916213302</v>
      </c>
      <c r="AA42" s="46">
        <f t="shared" si="16"/>
        <v>0</v>
      </c>
      <c r="AB42" s="47"/>
      <c r="AC42" s="45"/>
      <c r="AD42" s="45"/>
      <c r="AE42" s="101"/>
      <c r="AF42" s="101"/>
      <c r="AG42" s="101"/>
      <c r="AH42" s="205"/>
      <c r="AI42" s="45"/>
      <c r="AJ42" s="206"/>
      <c r="AK42" s="204">
        <v>116.09451126716088</v>
      </c>
      <c r="AL42" s="46"/>
      <c r="AM42" s="49">
        <f t="shared" si="10"/>
        <v>292.29160583411681</v>
      </c>
    </row>
    <row r="43" spans="1:41" ht="12.75" customHeight="1">
      <c r="A43" s="202" t="s">
        <v>149</v>
      </c>
      <c r="B43" s="203" t="s">
        <v>150</v>
      </c>
      <c r="C43" s="38">
        <f t="shared" si="13"/>
        <v>0</v>
      </c>
      <c r="D43" s="101">
        <v>0</v>
      </c>
      <c r="E43" s="45"/>
      <c r="F43" s="41"/>
      <c r="G43" s="41"/>
      <c r="H43" s="42">
        <f t="shared" si="14"/>
        <v>0</v>
      </c>
      <c r="I43" s="43"/>
      <c r="J43" s="44"/>
      <c r="K43" s="45"/>
      <c r="L43" s="199">
        <f t="shared" si="15"/>
        <v>5.0143612384070462</v>
      </c>
      <c r="M43" s="45"/>
      <c r="N43" s="45"/>
      <c r="O43" s="101"/>
      <c r="P43" s="101">
        <v>0.2996894254500555</v>
      </c>
      <c r="Q43" s="45"/>
      <c r="R43" s="101">
        <v>8.9534355055695083E-2</v>
      </c>
      <c r="S43" s="101">
        <v>3.9277358991408273</v>
      </c>
      <c r="T43" s="101">
        <v>0.69740155876046783</v>
      </c>
      <c r="U43" s="101">
        <v>0</v>
      </c>
      <c r="V43" s="41"/>
      <c r="W43" s="41"/>
      <c r="X43" s="41"/>
      <c r="Y43" s="45"/>
      <c r="Z43" s="207">
        <v>1.9741853653126986</v>
      </c>
      <c r="AA43" s="46">
        <f t="shared" si="16"/>
        <v>0</v>
      </c>
      <c r="AB43" s="47"/>
      <c r="AC43" s="45"/>
      <c r="AD43" s="45"/>
      <c r="AE43" s="101"/>
      <c r="AF43" s="101"/>
      <c r="AG43" s="101"/>
      <c r="AH43" s="149"/>
      <c r="AI43" s="45"/>
      <c r="AJ43" s="154"/>
      <c r="AK43" s="207">
        <v>19.85937337536021</v>
      </c>
      <c r="AL43" s="46"/>
      <c r="AM43" s="49">
        <f t="shared" si="10"/>
        <v>26.847919979079954</v>
      </c>
    </row>
    <row r="44" spans="1:41" ht="12.75" customHeight="1">
      <c r="A44" s="208" t="s">
        <v>151</v>
      </c>
      <c r="B44" s="209" t="s">
        <v>152</v>
      </c>
      <c r="C44" s="210">
        <f t="shared" si="13"/>
        <v>0</v>
      </c>
      <c r="D44" s="211">
        <v>0</v>
      </c>
      <c r="E44" s="211"/>
      <c r="F44" s="212"/>
      <c r="G44" s="212"/>
      <c r="H44" s="213">
        <f t="shared" si="14"/>
        <v>0</v>
      </c>
      <c r="I44" s="214"/>
      <c r="J44" s="215"/>
      <c r="K44" s="211">
        <v>0</v>
      </c>
      <c r="L44" s="216">
        <f t="shared" si="15"/>
        <v>39.884728685658985</v>
      </c>
      <c r="M44" s="211"/>
      <c r="N44" s="211"/>
      <c r="O44" s="101"/>
      <c r="P44" s="211">
        <v>9.9746897540168185</v>
      </c>
      <c r="Q44" s="211"/>
      <c r="R44" s="211">
        <v>2.9800097639927601</v>
      </c>
      <c r="S44" s="211">
        <v>22.317312105365545</v>
      </c>
      <c r="T44" s="211">
        <v>4.612717062283866</v>
      </c>
      <c r="U44" s="211">
        <v>0</v>
      </c>
      <c r="V44" s="212"/>
      <c r="W44" s="212"/>
      <c r="X44" s="212"/>
      <c r="Y44" s="211"/>
      <c r="Z44" s="217">
        <v>6.8442274312059155</v>
      </c>
      <c r="AA44" s="218">
        <f t="shared" si="16"/>
        <v>0</v>
      </c>
      <c r="AB44" s="219"/>
      <c r="AC44" s="211"/>
      <c r="AD44" s="211"/>
      <c r="AE44" s="151"/>
      <c r="AF44" s="151"/>
      <c r="AG44" s="151"/>
      <c r="AH44" s="220"/>
      <c r="AI44" s="211"/>
      <c r="AJ44" s="112"/>
      <c r="AK44" s="217">
        <v>91.317392703495614</v>
      </c>
      <c r="AL44" s="218"/>
      <c r="AM44" s="221">
        <f t="shared" si="10"/>
        <v>138.04634882036052</v>
      </c>
    </row>
    <row r="45" spans="1:41" s="74" customFormat="1" ht="12.75" customHeight="1">
      <c r="A45" s="114" t="s">
        <v>153</v>
      </c>
      <c r="B45" s="115"/>
      <c r="C45" s="222">
        <f t="shared" ref="C45:AL45" si="17">SUM(C46:C55)</f>
        <v>0</v>
      </c>
      <c r="D45" s="124">
        <f t="shared" si="17"/>
        <v>0</v>
      </c>
      <c r="E45" s="124">
        <f t="shared" si="17"/>
        <v>0</v>
      </c>
      <c r="F45" s="223">
        <f t="shared" si="17"/>
        <v>0</v>
      </c>
      <c r="G45" s="223">
        <f t="shared" si="17"/>
        <v>0</v>
      </c>
      <c r="H45" s="224">
        <f t="shared" si="17"/>
        <v>0</v>
      </c>
      <c r="I45" s="225">
        <f t="shared" si="17"/>
        <v>0</v>
      </c>
      <c r="J45" s="226">
        <f t="shared" si="17"/>
        <v>0</v>
      </c>
      <c r="K45" s="124">
        <f t="shared" si="17"/>
        <v>0</v>
      </c>
      <c r="L45" s="224">
        <f t="shared" si="17"/>
        <v>5019.924775938709</v>
      </c>
      <c r="M45" s="124">
        <f t="shared" si="17"/>
        <v>0</v>
      </c>
      <c r="N45" s="124">
        <f t="shared" si="17"/>
        <v>0</v>
      </c>
      <c r="O45" s="124">
        <f t="shared" si="17"/>
        <v>821.48002832197108</v>
      </c>
      <c r="P45" s="124">
        <f t="shared" si="17"/>
        <v>0</v>
      </c>
      <c r="Q45" s="124">
        <f t="shared" si="17"/>
        <v>1102.0673096951998</v>
      </c>
      <c r="R45" s="124">
        <f t="shared" si="17"/>
        <v>0</v>
      </c>
      <c r="S45" s="124">
        <f t="shared" si="17"/>
        <v>1.8520724281984335</v>
      </c>
      <c r="T45" s="124">
        <f>SUM(T46:T55)</f>
        <v>3094.5253654933399</v>
      </c>
      <c r="U45" s="124">
        <f t="shared" si="17"/>
        <v>0</v>
      </c>
      <c r="V45" s="223">
        <f t="shared" si="17"/>
        <v>0</v>
      </c>
      <c r="W45" s="223">
        <f t="shared" si="17"/>
        <v>0</v>
      </c>
      <c r="X45" s="223">
        <f t="shared" si="17"/>
        <v>0</v>
      </c>
      <c r="Y45" s="124">
        <f t="shared" si="17"/>
        <v>0</v>
      </c>
      <c r="Z45" s="224">
        <f t="shared" si="17"/>
        <v>22.560835415583806</v>
      </c>
      <c r="AA45" s="227">
        <f t="shared" si="17"/>
        <v>154.23960204369604</v>
      </c>
      <c r="AB45" s="228">
        <f t="shared" si="17"/>
        <v>0</v>
      </c>
      <c r="AC45" s="124">
        <f t="shared" si="17"/>
        <v>0</v>
      </c>
      <c r="AD45" s="124">
        <f t="shared" si="17"/>
        <v>0</v>
      </c>
      <c r="AE45" s="124">
        <f t="shared" si="17"/>
        <v>0</v>
      </c>
      <c r="AF45" s="124">
        <f t="shared" si="17"/>
        <v>0</v>
      </c>
      <c r="AG45" s="124">
        <f t="shared" si="17"/>
        <v>154.23960204369604</v>
      </c>
      <c r="AH45" s="227">
        <f t="shared" si="17"/>
        <v>0</v>
      </c>
      <c r="AI45" s="124">
        <f t="shared" si="17"/>
        <v>0</v>
      </c>
      <c r="AJ45" s="224">
        <f t="shared" si="17"/>
        <v>0</v>
      </c>
      <c r="AK45" s="224">
        <f t="shared" si="17"/>
        <v>5.1986846762489369</v>
      </c>
      <c r="AL45" s="227">
        <f t="shared" si="17"/>
        <v>0</v>
      </c>
      <c r="AM45" s="229">
        <f t="shared" si="10"/>
        <v>5201.9238980742384</v>
      </c>
      <c r="AN45" s="18"/>
      <c r="AO45" s="73"/>
    </row>
    <row r="46" spans="1:41" ht="12.75" customHeight="1">
      <c r="A46" s="230" t="s">
        <v>154</v>
      </c>
      <c r="B46" s="90"/>
      <c r="C46" s="91">
        <f t="shared" ref="C46:C56" si="18">SUM(D46:G46)</f>
        <v>0</v>
      </c>
      <c r="D46" s="231"/>
      <c r="E46" s="143"/>
      <c r="F46" s="94"/>
      <c r="G46" s="94"/>
      <c r="H46" s="95">
        <f t="shared" ref="H46:H56" si="19">SUM(I46:K46)</f>
        <v>0</v>
      </c>
      <c r="I46" s="92"/>
      <c r="J46" s="96"/>
      <c r="K46" s="93"/>
      <c r="L46" s="95">
        <f t="shared" ref="L46:L56" si="20">SUM(M46:Y46)</f>
        <v>696.81086860411278</v>
      </c>
      <c r="M46" s="93"/>
      <c r="N46" s="93"/>
      <c r="O46" s="93"/>
      <c r="P46" s="93"/>
      <c r="Q46" s="93"/>
      <c r="R46" s="93"/>
      <c r="S46" s="93"/>
      <c r="T46" s="93">
        <v>696.81086860411278</v>
      </c>
      <c r="U46" s="93"/>
      <c r="V46" s="94"/>
      <c r="W46" s="94"/>
      <c r="X46" s="94"/>
      <c r="Y46" s="93"/>
      <c r="Z46" s="99"/>
      <c r="AA46" s="97">
        <f t="shared" ref="AA46:AA56" si="21">SUM(AB46:AI46)</f>
        <v>29.763125082569886</v>
      </c>
      <c r="AB46" s="98"/>
      <c r="AC46" s="93"/>
      <c r="AD46" s="93"/>
      <c r="AE46" s="93"/>
      <c r="AF46" s="93"/>
      <c r="AG46" s="93">
        <v>29.763125082569886</v>
      </c>
      <c r="AH46" s="144"/>
      <c r="AI46" s="93"/>
      <c r="AJ46" s="95"/>
      <c r="AK46" s="99"/>
      <c r="AL46" s="97"/>
      <c r="AM46" s="126">
        <f t="shared" si="10"/>
        <v>726.57399368668268</v>
      </c>
    </row>
    <row r="47" spans="1:41" ht="12.75" customHeight="1">
      <c r="A47" s="186" t="s">
        <v>155</v>
      </c>
      <c r="B47" s="232"/>
      <c r="C47" s="188"/>
      <c r="D47" s="233"/>
      <c r="E47" s="234"/>
      <c r="F47" s="189"/>
      <c r="G47" s="189"/>
      <c r="H47" s="190"/>
      <c r="I47" s="191"/>
      <c r="J47" s="192"/>
      <c r="K47" s="101"/>
      <c r="L47" s="190">
        <f t="shared" si="20"/>
        <v>318.14346273201534</v>
      </c>
      <c r="M47" s="101"/>
      <c r="N47" s="101"/>
      <c r="O47" s="101"/>
      <c r="P47" s="101"/>
      <c r="Q47" s="101"/>
      <c r="R47" s="101"/>
      <c r="S47" s="101"/>
      <c r="T47" s="101">
        <v>318.14346273201534</v>
      </c>
      <c r="U47" s="101"/>
      <c r="V47" s="189"/>
      <c r="W47" s="189"/>
      <c r="X47" s="189"/>
      <c r="Y47" s="101"/>
      <c r="Z47" s="206">
        <v>2.9723185667999998E-2</v>
      </c>
      <c r="AA47" s="195">
        <f t="shared" si="21"/>
        <v>13.588972420111009</v>
      </c>
      <c r="AB47" s="196"/>
      <c r="AC47" s="101"/>
      <c r="AD47" s="101"/>
      <c r="AE47" s="101"/>
      <c r="AF47" s="101"/>
      <c r="AG47" s="101">
        <v>13.588972420111009</v>
      </c>
      <c r="AH47" s="205"/>
      <c r="AI47" s="101"/>
      <c r="AJ47" s="190"/>
      <c r="AK47" s="206"/>
      <c r="AL47" s="195"/>
      <c r="AM47" s="100">
        <f t="shared" si="10"/>
        <v>331.76215833779435</v>
      </c>
    </row>
    <row r="48" spans="1:41" ht="12.75" customHeight="1">
      <c r="A48" s="202" t="s">
        <v>156</v>
      </c>
      <c r="B48" s="37"/>
      <c r="C48" s="38">
        <f t="shared" si="18"/>
        <v>0</v>
      </c>
      <c r="D48" s="39"/>
      <c r="E48" s="50"/>
      <c r="F48" s="41"/>
      <c r="G48" s="41"/>
      <c r="H48" s="42">
        <f t="shared" si="19"/>
        <v>0</v>
      </c>
      <c r="I48" s="43"/>
      <c r="J48" s="44"/>
      <c r="K48" s="45"/>
      <c r="L48" s="42">
        <f t="shared" si="20"/>
        <v>1979.3195171155053</v>
      </c>
      <c r="M48" s="45"/>
      <c r="N48" s="45"/>
      <c r="O48" s="45">
        <v>665.22585458348442</v>
      </c>
      <c r="P48" s="45"/>
      <c r="Q48" s="45"/>
      <c r="R48" s="45"/>
      <c r="S48" s="45">
        <v>1.8520724281984335</v>
      </c>
      <c r="T48" s="45">
        <v>1312.2415901038223</v>
      </c>
      <c r="U48" s="45"/>
      <c r="V48" s="41"/>
      <c r="W48" s="41"/>
      <c r="X48" s="41"/>
      <c r="Y48" s="45"/>
      <c r="Z48" s="48"/>
      <c r="AA48" s="46">
        <f t="shared" si="21"/>
        <v>78.152181932232637</v>
      </c>
      <c r="AB48" s="47"/>
      <c r="AC48" s="45"/>
      <c r="AD48" s="45"/>
      <c r="AE48" s="45"/>
      <c r="AF48" s="45"/>
      <c r="AG48" s="45">
        <v>78.152181932232637</v>
      </c>
      <c r="AH48" s="201"/>
      <c r="AI48" s="45"/>
      <c r="AJ48" s="42"/>
      <c r="AK48" s="48">
        <v>1.012968700248938</v>
      </c>
      <c r="AL48" s="46"/>
      <c r="AM48" s="49">
        <f t="shared" si="10"/>
        <v>2058.4846677479868</v>
      </c>
    </row>
    <row r="49" spans="1:41" ht="12.75" customHeight="1">
      <c r="A49" s="202" t="s">
        <v>157</v>
      </c>
      <c r="B49" s="37"/>
      <c r="C49" s="38">
        <f t="shared" si="18"/>
        <v>0</v>
      </c>
      <c r="D49" s="39"/>
      <c r="E49" s="50"/>
      <c r="F49" s="41"/>
      <c r="G49" s="41"/>
      <c r="H49" s="42">
        <f t="shared" si="19"/>
        <v>0</v>
      </c>
      <c r="I49" s="43"/>
      <c r="J49" s="44"/>
      <c r="K49" s="45"/>
      <c r="L49" s="42">
        <f t="shared" si="20"/>
        <v>133.353235953808</v>
      </c>
      <c r="M49" s="45"/>
      <c r="N49" s="45"/>
      <c r="O49" s="45">
        <v>6.5648739648342556</v>
      </c>
      <c r="P49" s="45"/>
      <c r="Q49" s="45"/>
      <c r="R49" s="45"/>
      <c r="S49" s="45"/>
      <c r="T49" s="45">
        <v>126.78836198897375</v>
      </c>
      <c r="U49" s="45"/>
      <c r="V49" s="41"/>
      <c r="W49" s="41"/>
      <c r="X49" s="41"/>
      <c r="Y49" s="45"/>
      <c r="Z49" s="48"/>
      <c r="AA49" s="46">
        <f t="shared" si="21"/>
        <v>5.6336715948500125</v>
      </c>
      <c r="AB49" s="47"/>
      <c r="AC49" s="45"/>
      <c r="AD49" s="45"/>
      <c r="AE49" s="45"/>
      <c r="AF49" s="45"/>
      <c r="AG49" s="45">
        <v>5.6336715948500125</v>
      </c>
      <c r="AH49" s="201"/>
      <c r="AI49" s="45"/>
      <c r="AJ49" s="42"/>
      <c r="AK49" s="48"/>
      <c r="AL49" s="46"/>
      <c r="AM49" s="49">
        <f t="shared" si="10"/>
        <v>138.986907548658</v>
      </c>
    </row>
    <row r="50" spans="1:41" ht="12.75" customHeight="1">
      <c r="A50" s="202" t="s">
        <v>158</v>
      </c>
      <c r="B50" s="37"/>
      <c r="C50" s="38">
        <f t="shared" si="18"/>
        <v>0</v>
      </c>
      <c r="D50" s="39"/>
      <c r="E50" s="50"/>
      <c r="F50" s="41"/>
      <c r="G50" s="41"/>
      <c r="H50" s="42">
        <f t="shared" si="19"/>
        <v>0</v>
      </c>
      <c r="I50" s="43"/>
      <c r="J50" s="44"/>
      <c r="K50" s="45"/>
      <c r="L50" s="42">
        <f t="shared" si="20"/>
        <v>38.043221783939138</v>
      </c>
      <c r="M50" s="45"/>
      <c r="N50" s="45"/>
      <c r="O50" s="45"/>
      <c r="P50" s="45"/>
      <c r="Q50" s="211"/>
      <c r="R50" s="45"/>
      <c r="S50" s="45"/>
      <c r="T50" s="45">
        <v>38.043221783939138</v>
      </c>
      <c r="U50" s="45"/>
      <c r="V50" s="41"/>
      <c r="W50" s="41"/>
      <c r="X50" s="41"/>
      <c r="Y50" s="45"/>
      <c r="Z50" s="48"/>
      <c r="AA50" s="46">
        <f t="shared" si="21"/>
        <v>0</v>
      </c>
      <c r="AB50" s="47"/>
      <c r="AC50" s="45"/>
      <c r="AD50" s="45"/>
      <c r="AE50" s="45"/>
      <c r="AF50" s="45"/>
      <c r="AG50" s="45">
        <v>0</v>
      </c>
      <c r="AH50" s="201"/>
      <c r="AI50" s="45"/>
      <c r="AJ50" s="42"/>
      <c r="AK50" s="48">
        <v>4.1857159759999991</v>
      </c>
      <c r="AL50" s="46"/>
      <c r="AM50" s="49">
        <f t="shared" si="10"/>
        <v>42.228937759939136</v>
      </c>
    </row>
    <row r="51" spans="1:41" ht="12.75" customHeight="1">
      <c r="A51" s="202" t="s">
        <v>159</v>
      </c>
      <c r="B51" s="37"/>
      <c r="C51" s="38">
        <f t="shared" si="18"/>
        <v>0</v>
      </c>
      <c r="D51" s="39"/>
      <c r="E51" s="50"/>
      <c r="F51" s="41"/>
      <c r="G51" s="41"/>
      <c r="H51" s="42">
        <f t="shared" si="19"/>
        <v>0</v>
      </c>
      <c r="I51" s="43"/>
      <c r="J51" s="44"/>
      <c r="K51" s="45"/>
      <c r="L51" s="42">
        <f t="shared" si="20"/>
        <v>5.5768892778871404</v>
      </c>
      <c r="M51" s="45"/>
      <c r="N51" s="45"/>
      <c r="O51" s="45">
        <v>0.66818888888888883</v>
      </c>
      <c r="P51" s="45"/>
      <c r="Q51" s="45">
        <v>4.9087003889982519</v>
      </c>
      <c r="R51" s="45"/>
      <c r="S51" s="45"/>
      <c r="T51" s="45"/>
      <c r="U51" s="45"/>
      <c r="V51" s="41"/>
      <c r="W51" s="41"/>
      <c r="X51" s="41"/>
      <c r="Y51" s="45"/>
      <c r="Z51" s="48"/>
      <c r="AA51" s="46">
        <f t="shared" si="21"/>
        <v>0</v>
      </c>
      <c r="AB51" s="47"/>
      <c r="AC51" s="45"/>
      <c r="AD51" s="45"/>
      <c r="AE51" s="45"/>
      <c r="AF51" s="45"/>
      <c r="AG51" s="45"/>
      <c r="AH51" s="201"/>
      <c r="AI51" s="45"/>
      <c r="AJ51" s="42"/>
      <c r="AK51" s="48"/>
      <c r="AL51" s="46"/>
      <c r="AM51" s="49">
        <f t="shared" si="10"/>
        <v>5.5768892778871404</v>
      </c>
    </row>
    <row r="52" spans="1:41" ht="12.75" customHeight="1">
      <c r="A52" s="202" t="s">
        <v>160</v>
      </c>
      <c r="B52" s="203"/>
      <c r="C52" s="210">
        <f t="shared" si="18"/>
        <v>0</v>
      </c>
      <c r="D52" s="211"/>
      <c r="E52" s="211"/>
      <c r="F52" s="212"/>
      <c r="G52" s="212"/>
      <c r="H52" s="213">
        <f t="shared" si="19"/>
        <v>0</v>
      </c>
      <c r="I52" s="214"/>
      <c r="J52" s="215"/>
      <c r="K52" s="211"/>
      <c r="L52" s="213">
        <f t="shared" si="20"/>
        <v>1097.1586093062015</v>
      </c>
      <c r="M52" s="211"/>
      <c r="N52" s="211"/>
      <c r="O52" s="101"/>
      <c r="P52" s="211"/>
      <c r="Q52" s="211">
        <v>1097.1586093062015</v>
      </c>
      <c r="R52" s="211"/>
      <c r="S52" s="211"/>
      <c r="T52" s="211"/>
      <c r="U52" s="211"/>
      <c r="V52" s="212"/>
      <c r="W52" s="212"/>
      <c r="X52" s="212"/>
      <c r="Y52" s="211"/>
      <c r="Z52" s="206"/>
      <c r="AA52" s="218">
        <f t="shared" si="21"/>
        <v>0</v>
      </c>
      <c r="AB52" s="219"/>
      <c r="AC52" s="211"/>
      <c r="AD52" s="211"/>
      <c r="AE52" s="211"/>
      <c r="AF52" s="211"/>
      <c r="AG52" s="211"/>
      <c r="AH52" s="205"/>
      <c r="AI52" s="211"/>
      <c r="AJ52" s="206"/>
      <c r="AK52" s="206"/>
      <c r="AL52" s="218"/>
      <c r="AM52" s="221">
        <f t="shared" si="10"/>
        <v>1097.1586093062015</v>
      </c>
    </row>
    <row r="53" spans="1:41" ht="12.75" customHeight="1">
      <c r="A53" s="202" t="s">
        <v>161</v>
      </c>
      <c r="B53" s="203"/>
      <c r="C53" s="210">
        <f t="shared" si="18"/>
        <v>0</v>
      </c>
      <c r="D53" s="214"/>
      <c r="E53" s="211"/>
      <c r="F53" s="212"/>
      <c r="G53" s="212"/>
      <c r="H53" s="213">
        <f t="shared" si="19"/>
        <v>0</v>
      </c>
      <c r="I53" s="214"/>
      <c r="J53" s="215"/>
      <c r="K53" s="211"/>
      <c r="L53" s="213">
        <f t="shared" si="20"/>
        <v>176.94052908505745</v>
      </c>
      <c r="M53" s="211"/>
      <c r="N53" s="211"/>
      <c r="O53" s="211">
        <v>0</v>
      </c>
      <c r="P53" s="211"/>
      <c r="Q53" s="211"/>
      <c r="R53" s="211"/>
      <c r="S53" s="211"/>
      <c r="T53" s="211">
        <v>176.94052908505745</v>
      </c>
      <c r="U53" s="211"/>
      <c r="V53" s="212"/>
      <c r="W53" s="212"/>
      <c r="X53" s="212"/>
      <c r="Y53" s="211"/>
      <c r="Z53" s="206"/>
      <c r="AA53" s="218">
        <f t="shared" si="21"/>
        <v>7.5577223843887342</v>
      </c>
      <c r="AB53" s="219"/>
      <c r="AC53" s="211"/>
      <c r="AD53" s="211"/>
      <c r="AE53" s="211"/>
      <c r="AF53" s="211"/>
      <c r="AG53" s="45">
        <v>7.5577223843887342</v>
      </c>
      <c r="AH53" s="211"/>
      <c r="AI53" s="211"/>
      <c r="AJ53" s="206"/>
      <c r="AK53" s="48"/>
      <c r="AL53" s="218"/>
      <c r="AM53" s="221">
        <f t="shared" si="10"/>
        <v>184.49825146944619</v>
      </c>
    </row>
    <row r="54" spans="1:41" ht="12.75" customHeight="1">
      <c r="A54" s="36" t="s">
        <v>162</v>
      </c>
      <c r="B54" s="37"/>
      <c r="C54" s="210">
        <f t="shared" si="18"/>
        <v>0</v>
      </c>
      <c r="D54" s="214"/>
      <c r="E54" s="211"/>
      <c r="F54" s="212"/>
      <c r="G54" s="212"/>
      <c r="H54" s="213">
        <f t="shared" si="19"/>
        <v>0</v>
      </c>
      <c r="I54" s="214"/>
      <c r="J54" s="215"/>
      <c r="K54" s="211"/>
      <c r="L54" s="213">
        <f t="shared" si="20"/>
        <v>83.913724293678101</v>
      </c>
      <c r="M54" s="211"/>
      <c r="N54" s="211"/>
      <c r="O54" s="211"/>
      <c r="P54" s="211"/>
      <c r="Q54" s="211"/>
      <c r="R54" s="211"/>
      <c r="S54" s="211"/>
      <c r="T54" s="211">
        <v>83.913724293678101</v>
      </c>
      <c r="U54" s="211"/>
      <c r="V54" s="212"/>
      <c r="W54" s="212"/>
      <c r="X54" s="212"/>
      <c r="Y54" s="211"/>
      <c r="Z54" s="154"/>
      <c r="AA54" s="218">
        <f t="shared" si="21"/>
        <v>0</v>
      </c>
      <c r="AB54" s="219"/>
      <c r="AC54" s="211"/>
      <c r="AD54" s="211"/>
      <c r="AE54" s="211"/>
      <c r="AF54" s="211"/>
      <c r="AG54" s="211"/>
      <c r="AH54" s="211"/>
      <c r="AI54" s="211"/>
      <c r="AJ54" s="154"/>
      <c r="AK54" s="206"/>
      <c r="AL54" s="218"/>
      <c r="AM54" s="221">
        <f t="shared" si="10"/>
        <v>83.913724293678101</v>
      </c>
    </row>
    <row r="55" spans="1:41" ht="12.75" customHeight="1">
      <c r="A55" s="102" t="s">
        <v>163</v>
      </c>
      <c r="B55" s="103"/>
      <c r="C55" s="104">
        <f t="shared" si="18"/>
        <v>0</v>
      </c>
      <c r="D55" s="235"/>
      <c r="E55" s="236"/>
      <c r="F55" s="107"/>
      <c r="G55" s="107"/>
      <c r="H55" s="108">
        <f t="shared" si="19"/>
        <v>0</v>
      </c>
      <c r="I55" s="105"/>
      <c r="J55" s="109"/>
      <c r="K55" s="106"/>
      <c r="L55" s="108">
        <f t="shared" si="20"/>
        <v>490.66471778650487</v>
      </c>
      <c r="M55" s="106"/>
      <c r="N55" s="106"/>
      <c r="O55" s="106">
        <v>149.02111088476352</v>
      </c>
      <c r="P55" s="106"/>
      <c r="Q55" s="106"/>
      <c r="R55" s="106">
        <v>0</v>
      </c>
      <c r="S55" s="106"/>
      <c r="T55" s="106">
        <v>341.64360690174135</v>
      </c>
      <c r="U55" s="106"/>
      <c r="V55" s="107"/>
      <c r="W55" s="107"/>
      <c r="X55" s="107"/>
      <c r="Y55" s="106"/>
      <c r="Z55" s="112">
        <v>22.531112229915806</v>
      </c>
      <c r="AA55" s="110">
        <f t="shared" si="21"/>
        <v>19.543928629543746</v>
      </c>
      <c r="AB55" s="111"/>
      <c r="AC55" s="106"/>
      <c r="AD55" s="106"/>
      <c r="AE55" s="106"/>
      <c r="AF55" s="106"/>
      <c r="AG55" s="106">
        <v>19.543928629543746</v>
      </c>
      <c r="AH55" s="220"/>
      <c r="AI55" s="106"/>
      <c r="AJ55" s="108"/>
      <c r="AK55" s="112"/>
      <c r="AL55" s="110"/>
      <c r="AM55" s="113">
        <f t="shared" si="10"/>
        <v>532.73975864596446</v>
      </c>
    </row>
    <row r="56" spans="1:41" s="74" customFormat="1" ht="12.75" customHeight="1">
      <c r="A56" s="237" t="s">
        <v>164</v>
      </c>
      <c r="B56" s="238"/>
      <c r="C56" s="222">
        <f t="shared" si="18"/>
        <v>155.18532547319376</v>
      </c>
      <c r="D56" s="225">
        <v>77.527798151623358</v>
      </c>
      <c r="E56" s="40">
        <v>70.131951348544106</v>
      </c>
      <c r="F56" s="223"/>
      <c r="G56" s="223">
        <v>7.5255759730262914</v>
      </c>
      <c r="H56" s="224">
        <f t="shared" si="19"/>
        <v>196.53880633</v>
      </c>
      <c r="I56" s="225"/>
      <c r="J56" s="226">
        <v>127.70399999999999</v>
      </c>
      <c r="K56" s="124">
        <v>68.834806329999992</v>
      </c>
      <c r="L56" s="224">
        <f t="shared" si="20"/>
        <v>1059.0610846185803</v>
      </c>
      <c r="M56" s="124"/>
      <c r="N56" s="124"/>
      <c r="O56" s="124">
        <v>0</v>
      </c>
      <c r="P56" s="124">
        <v>851.97056065430399</v>
      </c>
      <c r="Q56" s="124"/>
      <c r="R56" s="124">
        <v>0</v>
      </c>
      <c r="S56" s="124">
        <v>43.620998386839176</v>
      </c>
      <c r="T56" s="124">
        <v>159.95923884112759</v>
      </c>
      <c r="U56" s="124">
        <v>3.5102867363093639</v>
      </c>
      <c r="V56" s="223"/>
      <c r="W56" s="223"/>
      <c r="X56" s="223"/>
      <c r="Y56" s="124"/>
      <c r="Z56" s="224">
        <v>604.09375845912712</v>
      </c>
      <c r="AA56" s="227">
        <f t="shared" si="21"/>
        <v>68.387102733754332</v>
      </c>
      <c r="AB56" s="228"/>
      <c r="AC56" s="124"/>
      <c r="AD56" s="124">
        <v>27.857660562107053</v>
      </c>
      <c r="AE56" s="124"/>
      <c r="AF56" s="124"/>
      <c r="AG56" s="124"/>
      <c r="AH56" s="227">
        <v>13.379590942008413</v>
      </c>
      <c r="AI56" s="124">
        <v>27.149851229638866</v>
      </c>
      <c r="AJ56" s="224"/>
      <c r="AK56" s="224">
        <v>702.9445639999999</v>
      </c>
      <c r="AL56" s="227"/>
      <c r="AM56" s="125">
        <f t="shared" si="10"/>
        <v>2786.2106416146557</v>
      </c>
      <c r="AN56" s="18"/>
      <c r="AO56" s="239"/>
    </row>
    <row r="57" spans="1:41" s="74" customFormat="1" ht="12.75" customHeight="1">
      <c r="A57" s="240" t="s">
        <v>165</v>
      </c>
      <c r="B57" s="241"/>
      <c r="C57" s="222">
        <f t="shared" ref="C57:N57" si="22">SUM(C58:C59)</f>
        <v>0</v>
      </c>
      <c r="D57" s="124">
        <f t="shared" si="22"/>
        <v>0</v>
      </c>
      <c r="E57" s="124">
        <f t="shared" si="22"/>
        <v>0</v>
      </c>
      <c r="F57" s="223">
        <f t="shared" si="22"/>
        <v>0</v>
      </c>
      <c r="G57" s="223">
        <f t="shared" si="22"/>
        <v>0</v>
      </c>
      <c r="H57" s="224">
        <f t="shared" si="22"/>
        <v>0</v>
      </c>
      <c r="I57" s="225">
        <f t="shared" si="22"/>
        <v>0</v>
      </c>
      <c r="J57" s="242">
        <f t="shared" si="22"/>
        <v>0</v>
      </c>
      <c r="K57" s="225">
        <f t="shared" si="22"/>
        <v>0</v>
      </c>
      <c r="L57" s="224">
        <f t="shared" si="22"/>
        <v>267.57395184315021</v>
      </c>
      <c r="M57" s="124">
        <f t="shared" si="22"/>
        <v>0</v>
      </c>
      <c r="N57" s="124">
        <f t="shared" si="22"/>
        <v>0</v>
      </c>
      <c r="O57" s="124">
        <v>0</v>
      </c>
      <c r="P57" s="124">
        <f>SUM(P58:P59)</f>
        <v>0</v>
      </c>
      <c r="Q57" s="124">
        <f>SUM(Q58:Q59)</f>
        <v>0</v>
      </c>
      <c r="R57" s="124">
        <v>1.247004930562597</v>
      </c>
      <c r="S57" s="124">
        <v>9.4206736070750594</v>
      </c>
      <c r="T57" s="124">
        <v>256.90588302035394</v>
      </c>
      <c r="U57" s="124">
        <f>SUM(U58:U59)</f>
        <v>3.9028515863367719E-4</v>
      </c>
      <c r="V57" s="223">
        <f>SUM(V58:V59)</f>
        <v>0</v>
      </c>
      <c r="W57" s="223">
        <f>SUM(W58:W59)</f>
        <v>0</v>
      </c>
      <c r="X57" s="223">
        <f>SUM(X58:X59)</f>
        <v>0</v>
      </c>
      <c r="Y57" s="225">
        <f>SUM(Y58:Y59)</f>
        <v>0</v>
      </c>
      <c r="Z57" s="224">
        <v>532.11518780757262</v>
      </c>
      <c r="AA57" s="227">
        <f>SUM(AA58:AA59)</f>
        <v>42.897710060911812</v>
      </c>
      <c r="AB57" s="228">
        <f>SUM(AB58:AB59)</f>
        <v>0</v>
      </c>
      <c r="AC57" s="124">
        <f>SUM(AC58:AC59)</f>
        <v>0</v>
      </c>
      <c r="AD57" s="124">
        <f>SUM(AD58:AD59)</f>
        <v>18.076477820039997</v>
      </c>
      <c r="AE57" s="124">
        <f>SUM(AE58:AE59)</f>
        <v>0</v>
      </c>
      <c r="AF57" s="124">
        <f>SUM(AF59:AF59)</f>
        <v>7.541555368675982</v>
      </c>
      <c r="AG57" s="124">
        <f>SUM(AG58:AG59)</f>
        <v>0</v>
      </c>
      <c r="AH57" s="124">
        <f>SUM(AH58:AH59)</f>
        <v>0.16649466165720572</v>
      </c>
      <c r="AI57" s="225">
        <f>SUM(AI58:AI59)</f>
        <v>17.113182210538625</v>
      </c>
      <c r="AJ57" s="224">
        <f>SUM(AJ58:AJ59)</f>
        <v>0</v>
      </c>
      <c r="AK57" s="224">
        <v>641.64162013305452</v>
      </c>
      <c r="AL57" s="227">
        <f>SUM(AL58:AL59)</f>
        <v>0</v>
      </c>
      <c r="AM57" s="243">
        <f t="shared" si="10"/>
        <v>1484.2284698446892</v>
      </c>
      <c r="AN57" s="18"/>
      <c r="AO57" s="239"/>
    </row>
    <row r="58" spans="1:41" ht="12.75" customHeight="1">
      <c r="A58" s="244" t="s">
        <v>166</v>
      </c>
      <c r="B58" s="245"/>
      <c r="C58" s="91">
        <f>SUM(D58:G58)</f>
        <v>0</v>
      </c>
      <c r="D58" s="92">
        <v>0</v>
      </c>
      <c r="E58" s="93">
        <v>0</v>
      </c>
      <c r="F58" s="94"/>
      <c r="G58" s="94">
        <v>0</v>
      </c>
      <c r="H58" s="95">
        <f>SUM(I58:K58)</f>
        <v>0</v>
      </c>
      <c r="I58" s="92"/>
      <c r="J58" s="96"/>
      <c r="K58" s="93"/>
      <c r="L58" s="95">
        <f>SUM(M58:Y58)</f>
        <v>176.73204143195045</v>
      </c>
      <c r="M58" s="93"/>
      <c r="N58" s="93"/>
      <c r="O58" s="93"/>
      <c r="P58" s="93">
        <v>0</v>
      </c>
      <c r="Q58" s="93"/>
      <c r="R58" s="93"/>
      <c r="S58" s="93">
        <f>S57*7.63/10.25</f>
        <v>7.0126575240958742</v>
      </c>
      <c r="T58" s="93">
        <f>T57*319.4/483.48</f>
        <v>169.71899362269593</v>
      </c>
      <c r="U58" s="93">
        <v>3.9028515863367719E-4</v>
      </c>
      <c r="V58" s="94"/>
      <c r="W58" s="94"/>
      <c r="X58" s="94"/>
      <c r="Y58" s="93"/>
      <c r="Z58" s="95">
        <f>Z57*37.95/86.6</f>
        <v>233.18442698957719</v>
      </c>
      <c r="AA58" s="97">
        <f>SUM(AB58:AI58)</f>
        <v>35.356154692235833</v>
      </c>
      <c r="AB58" s="98"/>
      <c r="AC58" s="93"/>
      <c r="AD58" s="93">
        <v>18.076477820039997</v>
      </c>
      <c r="AE58" s="101"/>
      <c r="AF58" s="101"/>
      <c r="AG58" s="101"/>
      <c r="AH58" s="144">
        <v>0.16649466165720572</v>
      </c>
      <c r="AI58" s="93">
        <v>17.113182210538625</v>
      </c>
      <c r="AJ58" s="95"/>
      <c r="AK58" s="99">
        <f>AK57*172.28/240.31</f>
        <v>459.99757944539402</v>
      </c>
      <c r="AL58" s="97"/>
      <c r="AM58" s="246">
        <f t="shared" si="10"/>
        <v>905.2702025591575</v>
      </c>
      <c r="AO58" s="247"/>
    </row>
    <row r="59" spans="1:41" ht="12.75" customHeight="1">
      <c r="A59" s="248" t="s">
        <v>167</v>
      </c>
      <c r="B59" s="249"/>
      <c r="C59" s="104">
        <f>SUM(D59:G59)</f>
        <v>0</v>
      </c>
      <c r="D59" s="105"/>
      <c r="E59" s="106"/>
      <c r="F59" s="107"/>
      <c r="G59" s="107"/>
      <c r="H59" s="108">
        <f>SUM(I59:K59)</f>
        <v>0</v>
      </c>
      <c r="I59" s="105"/>
      <c r="J59" s="109">
        <v>0</v>
      </c>
      <c r="K59" s="106">
        <v>0</v>
      </c>
      <c r="L59" s="108">
        <f>SUM(M59:Y59)</f>
        <v>90.841910411199763</v>
      </c>
      <c r="M59" s="106"/>
      <c r="N59" s="106"/>
      <c r="O59" s="106"/>
      <c r="P59" s="106"/>
      <c r="Q59" s="106"/>
      <c r="R59" s="106">
        <f>R57</f>
        <v>1.247004930562597</v>
      </c>
      <c r="S59" s="106">
        <f>S57*2.62/10.25</f>
        <v>2.4080160829791861</v>
      </c>
      <c r="T59" s="106">
        <f>T57*164.08/483.48</f>
        <v>87.186889397657978</v>
      </c>
      <c r="U59" s="106"/>
      <c r="V59" s="107"/>
      <c r="W59" s="107"/>
      <c r="X59" s="107"/>
      <c r="Y59" s="106"/>
      <c r="Z59" s="108">
        <f>Z57*48.65/86.6</f>
        <v>298.93076081799552</v>
      </c>
      <c r="AA59" s="110">
        <f>SUM(AB59:AI59)</f>
        <v>7.541555368675982</v>
      </c>
      <c r="AB59" s="111"/>
      <c r="AC59" s="106"/>
      <c r="AD59" s="106"/>
      <c r="AE59" s="106"/>
      <c r="AF59" s="106">
        <v>7.541555368675982</v>
      </c>
      <c r="AG59" s="106"/>
      <c r="AH59" s="220"/>
      <c r="AI59" s="106"/>
      <c r="AJ59" s="108"/>
      <c r="AK59" s="112">
        <f>AK57*68.03/240.31</f>
        <v>181.64404068766049</v>
      </c>
      <c r="AL59" s="110"/>
      <c r="AM59" s="250">
        <f t="shared" si="10"/>
        <v>578.95826728553175</v>
      </c>
      <c r="AO59" s="247"/>
    </row>
    <row r="60" spans="1:41" s="74" customFormat="1" ht="12.75" customHeight="1">
      <c r="A60" s="128" t="s">
        <v>168</v>
      </c>
      <c r="B60" s="129"/>
      <c r="C60" s="130">
        <f>SUM(D60:G60)</f>
        <v>0</v>
      </c>
      <c r="D60" s="251">
        <v>0</v>
      </c>
      <c r="E60" s="252"/>
      <c r="F60" s="253"/>
      <c r="G60" s="253"/>
      <c r="H60" s="134">
        <f>SUM(I60:K60)</f>
        <v>0</v>
      </c>
      <c r="I60" s="251"/>
      <c r="J60" s="254"/>
      <c r="K60" s="252"/>
      <c r="L60" s="134">
        <f>SUM(M60:Y60)</f>
        <v>175.46549158593075</v>
      </c>
      <c r="M60" s="252"/>
      <c r="N60" s="252"/>
      <c r="O60" s="252">
        <v>0</v>
      </c>
      <c r="P60" s="252">
        <v>0</v>
      </c>
      <c r="Q60" s="252"/>
      <c r="R60" s="252"/>
      <c r="S60" s="252">
        <v>0</v>
      </c>
      <c r="T60" s="252">
        <v>175.46549158593075</v>
      </c>
      <c r="U60" s="93"/>
      <c r="V60" s="253"/>
      <c r="W60" s="253"/>
      <c r="X60" s="253"/>
      <c r="Y60" s="252"/>
      <c r="Z60" s="134">
        <v>0</v>
      </c>
      <c r="AA60" s="136">
        <f>SUM(AB60:AI60)</f>
        <v>0</v>
      </c>
      <c r="AB60" s="255"/>
      <c r="AC60" s="252"/>
      <c r="AD60" s="252"/>
      <c r="AE60" s="252"/>
      <c r="AF60" s="252"/>
      <c r="AG60" s="252"/>
      <c r="AH60" s="136"/>
      <c r="AI60" s="252"/>
      <c r="AJ60" s="134"/>
      <c r="AK60" s="134">
        <v>47.988</v>
      </c>
      <c r="AL60" s="136"/>
      <c r="AM60" s="125">
        <f t="shared" si="10"/>
        <v>223.45349158593075</v>
      </c>
      <c r="AN60" s="18"/>
      <c r="AO60" s="73"/>
    </row>
    <row r="61" spans="1:41" s="74" customFormat="1" ht="12.75" customHeight="1" thickBot="1">
      <c r="A61" s="256" t="s">
        <v>169</v>
      </c>
      <c r="B61" s="103"/>
      <c r="C61" s="104">
        <f>SUM(D61:G61)</f>
        <v>0</v>
      </c>
      <c r="D61" s="105"/>
      <c r="E61" s="106"/>
      <c r="F61" s="107"/>
      <c r="G61" s="107"/>
      <c r="H61" s="108">
        <f>SUM(I61:K61)</f>
        <v>0</v>
      </c>
      <c r="I61" s="105"/>
      <c r="J61" s="109"/>
      <c r="K61" s="106"/>
      <c r="L61" s="108">
        <f>SUM(M61:Y61)</f>
        <v>27.249865733664667</v>
      </c>
      <c r="M61" s="106"/>
      <c r="N61" s="106"/>
      <c r="O61" s="106"/>
      <c r="P61" s="106"/>
      <c r="Q61" s="106"/>
      <c r="R61" s="106"/>
      <c r="S61" s="106"/>
      <c r="T61" s="236">
        <v>27.249865733664667</v>
      </c>
      <c r="U61" s="106"/>
      <c r="V61" s="107"/>
      <c r="W61" s="107"/>
      <c r="X61" s="107"/>
      <c r="Y61" s="106"/>
      <c r="Z61" s="108"/>
      <c r="AA61" s="110">
        <f>SUM(AB61:AI61)</f>
        <v>0</v>
      </c>
      <c r="AB61" s="111"/>
      <c r="AC61" s="106"/>
      <c r="AD61" s="106"/>
      <c r="AE61" s="106"/>
      <c r="AF61" s="106"/>
      <c r="AG61" s="106"/>
      <c r="AH61" s="220"/>
      <c r="AI61" s="106"/>
      <c r="AJ61" s="108"/>
      <c r="AK61" s="112"/>
      <c r="AL61" s="110"/>
      <c r="AM61" s="257">
        <f t="shared" si="10"/>
        <v>27.249865733664667</v>
      </c>
      <c r="AN61" s="18"/>
      <c r="AO61" s="73"/>
    </row>
    <row r="62" spans="1:41" s="74" customFormat="1" ht="12.75" customHeight="1" thickBot="1">
      <c r="A62" s="160" t="s">
        <v>170</v>
      </c>
      <c r="B62" s="161"/>
      <c r="C62" s="162">
        <f t="shared" ref="C62:AL62" si="23">C27-C28-C30</f>
        <v>-2.9554969188629343</v>
      </c>
      <c r="D62" s="163">
        <f t="shared" si="23"/>
        <v>0.18284784306936785</v>
      </c>
      <c r="E62" s="164">
        <f t="shared" si="23"/>
        <v>-4.0131297356440712</v>
      </c>
      <c r="F62" s="168">
        <f t="shared" si="23"/>
        <v>0</v>
      </c>
      <c r="G62" s="168">
        <f t="shared" si="23"/>
        <v>0.87478497371188713</v>
      </c>
      <c r="H62" s="165">
        <f t="shared" si="23"/>
        <v>1.9457250152907477</v>
      </c>
      <c r="I62" s="163">
        <f t="shared" si="23"/>
        <v>-0.45741265470919368</v>
      </c>
      <c r="J62" s="164">
        <f t="shared" si="23"/>
        <v>0</v>
      </c>
      <c r="K62" s="164">
        <f t="shared" si="23"/>
        <v>2.4031376700000067</v>
      </c>
      <c r="L62" s="165">
        <f t="shared" si="23"/>
        <v>5.5965062596596908</v>
      </c>
      <c r="M62" s="164">
        <f t="shared" si="23"/>
        <v>0</v>
      </c>
      <c r="N62" s="164">
        <f t="shared" si="23"/>
        <v>0</v>
      </c>
      <c r="O62" s="164">
        <f t="shared" si="23"/>
        <v>9.1821641780287564</v>
      </c>
      <c r="P62" s="164">
        <f t="shared" si="23"/>
        <v>15.370413414720019</v>
      </c>
      <c r="Q62" s="164">
        <f t="shared" si="23"/>
        <v>-6.7103906044801533</v>
      </c>
      <c r="R62" s="164">
        <f t="shared" si="23"/>
        <v>-15.098275306963814</v>
      </c>
      <c r="S62" s="164">
        <f t="shared" si="23"/>
        <v>6.5570336698137623</v>
      </c>
      <c r="T62" s="164">
        <f t="shared" si="23"/>
        <v>-4.4746269624060915</v>
      </c>
      <c r="U62" s="164">
        <f t="shared" si="23"/>
        <v>0.82532907951218704</v>
      </c>
      <c r="V62" s="168">
        <f t="shared" si="23"/>
        <v>-5.5141208563533439E-2</v>
      </c>
      <c r="W62" s="168">
        <f t="shared" si="23"/>
        <v>0</v>
      </c>
      <c r="X62" s="168">
        <f t="shared" si="23"/>
        <v>0</v>
      </c>
      <c r="Y62" s="164">
        <f t="shared" si="23"/>
        <v>0</v>
      </c>
      <c r="Z62" s="165">
        <f t="shared" si="23"/>
        <v>-27.064787097498538</v>
      </c>
      <c r="AA62" s="167">
        <f t="shared" si="23"/>
        <v>-9.9700943157868096</v>
      </c>
      <c r="AB62" s="258">
        <f t="shared" si="23"/>
        <v>0</v>
      </c>
      <c r="AC62" s="164">
        <f t="shared" si="23"/>
        <v>0</v>
      </c>
      <c r="AD62" s="164">
        <f t="shared" si="23"/>
        <v>-5.0033292701067751</v>
      </c>
      <c r="AE62" s="164">
        <f t="shared" si="23"/>
        <v>0</v>
      </c>
      <c r="AF62" s="164">
        <f t="shared" si="23"/>
        <v>0</v>
      </c>
      <c r="AG62" s="164">
        <f t="shared" si="23"/>
        <v>-4.9667650456800914</v>
      </c>
      <c r="AH62" s="167">
        <f t="shared" si="23"/>
        <v>0</v>
      </c>
      <c r="AI62" s="164">
        <f t="shared" si="23"/>
        <v>0</v>
      </c>
      <c r="AJ62" s="165">
        <f t="shared" si="23"/>
        <v>0</v>
      </c>
      <c r="AK62" s="165">
        <f t="shared" si="23"/>
        <v>9.5552919819401723</v>
      </c>
      <c r="AL62" s="167">
        <f t="shared" si="23"/>
        <v>0</v>
      </c>
      <c r="AM62" s="169">
        <f t="shared" si="10"/>
        <v>-22.892855075257671</v>
      </c>
      <c r="AN62" s="18"/>
      <c r="AO62" s="73"/>
    </row>
    <row r="63" spans="1:41" ht="12.75" customHeight="1">
      <c r="A63" s="259"/>
      <c r="B63" s="259"/>
      <c r="C63" s="259"/>
      <c r="D63" s="259"/>
      <c r="E63" s="259"/>
      <c r="F63" s="259"/>
      <c r="G63" s="259"/>
      <c r="H63" s="259"/>
      <c r="I63" s="259"/>
      <c r="J63" s="259"/>
      <c r="K63" s="259"/>
      <c r="L63" s="259"/>
      <c r="M63" s="259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</row>
    <row r="64" spans="1:41" s="74" customFormat="1" ht="15" customHeight="1">
      <c r="A64" s="145" t="s">
        <v>171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260"/>
      <c r="M64" s="122"/>
      <c r="P64" s="122"/>
      <c r="Q64" s="122"/>
      <c r="R64" s="122"/>
      <c r="S64" s="122"/>
      <c r="T64" s="122"/>
      <c r="U64" s="122"/>
      <c r="V64" s="114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O64" s="73"/>
    </row>
    <row r="65" spans="1:39" ht="12.75" customHeight="1">
      <c r="A65" s="261" t="s">
        <v>172</v>
      </c>
      <c r="B65" s="259"/>
      <c r="C65" s="259"/>
      <c r="D65" s="259"/>
      <c r="E65" s="259"/>
      <c r="F65" s="259"/>
      <c r="G65" s="259"/>
      <c r="H65" s="259"/>
      <c r="I65" s="259"/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59"/>
      <c r="AJ65" s="259"/>
      <c r="AK65" s="259"/>
      <c r="AL65" s="259"/>
      <c r="AM65" s="259"/>
    </row>
    <row r="66" spans="1:39" ht="12.75" customHeight="1">
      <c r="A66" s="262" t="s">
        <v>173</v>
      </c>
      <c r="B66" s="263"/>
      <c r="C66" s="259"/>
      <c r="D66" s="259"/>
      <c r="E66" s="259"/>
      <c r="F66" s="259"/>
      <c r="G66" s="259"/>
      <c r="H66" s="259"/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59"/>
      <c r="AA66" s="259"/>
      <c r="AB66" s="259"/>
      <c r="AC66" s="259"/>
      <c r="AD66" s="259"/>
      <c r="AE66" s="259"/>
      <c r="AF66" s="264"/>
      <c r="AG66" s="259"/>
      <c r="AH66" s="259"/>
      <c r="AI66" s="259"/>
      <c r="AJ66" s="259"/>
      <c r="AK66" s="259"/>
      <c r="AL66" s="259"/>
      <c r="AM66" s="259"/>
    </row>
    <row r="67" spans="1:39" ht="12.75" customHeight="1">
      <c r="A67" s="265" t="s">
        <v>174</v>
      </c>
      <c r="B67" s="261"/>
      <c r="C67" s="259"/>
      <c r="D67" s="259"/>
      <c r="E67" s="259"/>
      <c r="F67" s="259"/>
      <c r="G67" s="259"/>
      <c r="H67" s="259"/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259"/>
      <c r="U67" s="259"/>
      <c r="V67" s="259"/>
      <c r="W67" s="259"/>
      <c r="X67" s="259"/>
      <c r="Y67" s="259"/>
      <c r="Z67" s="259"/>
      <c r="AA67" s="259"/>
      <c r="AB67" s="259"/>
      <c r="AC67" s="259"/>
      <c r="AD67" s="259"/>
      <c r="AE67" s="259"/>
      <c r="AF67" s="259"/>
      <c r="AG67" s="259"/>
      <c r="AH67" s="259"/>
      <c r="AI67" s="259"/>
      <c r="AJ67" s="259"/>
      <c r="AK67" s="259"/>
      <c r="AL67" s="259"/>
      <c r="AM67" s="259"/>
    </row>
    <row r="68" spans="1:39" ht="12.75" customHeight="1">
      <c r="A68" s="266" t="s">
        <v>175</v>
      </c>
      <c r="B68" s="261"/>
      <c r="C68" s="259"/>
      <c r="D68" s="259"/>
      <c r="E68" s="259"/>
      <c r="F68" s="259"/>
      <c r="G68" s="259"/>
      <c r="H68" s="259"/>
      <c r="I68" s="259"/>
      <c r="J68" s="259"/>
      <c r="K68" s="259"/>
      <c r="L68" s="259"/>
      <c r="M68" s="259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  <c r="AA68" s="259"/>
      <c r="AB68" s="259"/>
      <c r="AC68" s="259"/>
      <c r="AD68" s="259"/>
      <c r="AE68" s="259"/>
      <c r="AF68" s="259"/>
      <c r="AG68" s="259"/>
      <c r="AH68" s="259"/>
      <c r="AI68" s="259"/>
      <c r="AJ68" s="259"/>
      <c r="AK68" s="259"/>
      <c r="AL68" s="259"/>
      <c r="AM68" s="259"/>
    </row>
    <row r="69" spans="1:39" ht="12.75" customHeight="1">
      <c r="A69" s="267" t="s">
        <v>176</v>
      </c>
      <c r="B69" s="268"/>
      <c r="C69" s="268"/>
      <c r="D69" s="268"/>
      <c r="E69" s="269"/>
      <c r="F69" s="18"/>
      <c r="G69" s="18"/>
      <c r="H69" s="74"/>
      <c r="I69" s="18"/>
      <c r="J69" s="18"/>
      <c r="K69" s="18"/>
      <c r="R69" s="270"/>
      <c r="S69" s="1"/>
      <c r="T69" s="270"/>
      <c r="U69" s="270"/>
      <c r="Y69" s="18"/>
      <c r="AA69" s="271"/>
      <c r="AL69" s="271"/>
    </row>
    <row r="70" spans="1:39" ht="12.75" customHeight="1">
      <c r="A70" s="267" t="s">
        <v>177</v>
      </c>
      <c r="B70" s="268"/>
      <c r="C70" s="268"/>
      <c r="D70" s="268"/>
      <c r="E70" s="269"/>
      <c r="F70" s="18"/>
      <c r="G70" s="18"/>
      <c r="H70" s="74"/>
      <c r="I70" s="18"/>
      <c r="J70" s="18"/>
      <c r="K70" s="18"/>
      <c r="R70" s="270"/>
      <c r="S70" s="1"/>
      <c r="T70" s="270"/>
      <c r="U70" s="270"/>
      <c r="Y70" s="18"/>
      <c r="AA70" s="271"/>
      <c r="AL70" s="271"/>
    </row>
  </sheetData>
  <pageMargins left="0.19685039370078741" right="0.19685039370078741" top="0.59055118110236227" bottom="0.78740157480314965" header="0.31496062992125984" footer="0.19685039370078741"/>
  <pageSetup paperSize="9" scale="44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dimension ref="B2:L41"/>
  <sheetViews>
    <sheetView zoomScaleNormal="100" workbookViewId="0">
      <selection activeCell="D5" sqref="D5:D16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272" t="s">
        <v>178</v>
      </c>
      <c r="C2" s="272"/>
      <c r="D2" s="273"/>
      <c r="E2" s="273"/>
      <c r="F2" s="273"/>
      <c r="G2" s="273"/>
      <c r="H2" s="273"/>
      <c r="I2" s="273"/>
      <c r="J2" s="273"/>
    </row>
    <row r="3" spans="2:12" ht="15.75" thickBot="1">
      <c r="B3" s="274" t="s">
        <v>179</v>
      </c>
      <c r="C3" s="274" t="s">
        <v>227</v>
      </c>
      <c r="D3" s="274" t="s">
        <v>180</v>
      </c>
      <c r="E3" s="274" t="s">
        <v>181</v>
      </c>
      <c r="F3" s="274" t="s">
        <v>182</v>
      </c>
      <c r="G3" s="274" t="s">
        <v>183</v>
      </c>
      <c r="H3" s="274" t="s">
        <v>184</v>
      </c>
      <c r="I3" s="274" t="s">
        <v>185</v>
      </c>
      <c r="J3" s="274" t="s">
        <v>186</v>
      </c>
    </row>
    <row r="4" spans="2:12">
      <c r="B4" s="276" t="s">
        <v>236</v>
      </c>
      <c r="C4" s="276"/>
      <c r="D4" s="275"/>
      <c r="E4" s="276"/>
      <c r="F4" s="276"/>
      <c r="G4" s="276"/>
      <c r="H4" s="276"/>
      <c r="I4" s="276"/>
      <c r="J4" s="276"/>
    </row>
    <row r="5" spans="2:12">
      <c r="B5" s="277" t="s">
        <v>187</v>
      </c>
      <c r="C5" s="278" t="str">
        <f>_xlfn.TEXTJOIN(",",TRUE,IF(LEFT(Regions!$C$3,1)&lt;&gt;"*",Regions!$C$3,""),IF(LEFT(Regions!$D$3,1)&lt;&gt;"*",Regions!$D$3,""))</f>
        <v>IE,National</v>
      </c>
      <c r="D5" s="278" t="s">
        <v>223</v>
      </c>
      <c r="E5" s="278" t="s">
        <v>224</v>
      </c>
      <c r="F5" s="277" t="s">
        <v>189</v>
      </c>
      <c r="G5" s="277"/>
      <c r="H5" s="277"/>
      <c r="I5" s="277"/>
      <c r="J5" s="277"/>
    </row>
    <row r="6" spans="2:12">
      <c r="B6" s="277" t="s">
        <v>187</v>
      </c>
      <c r="C6" s="278" t="str">
        <f>_xlfn.TEXTJOIN(",",TRUE,IF(LEFT(Regions!$C$3,1)&lt;&gt;"*",Regions!$C$3,""),IF(LEFT(Regions!$D$3,1)&lt;&gt;"*",Regions!$D$3,""))</f>
        <v>IE,National</v>
      </c>
      <c r="D6" s="278" t="s">
        <v>221</v>
      </c>
      <c r="E6" s="278" t="s">
        <v>222</v>
      </c>
      <c r="F6" s="277" t="s">
        <v>189</v>
      </c>
      <c r="G6" s="277"/>
      <c r="H6" s="277"/>
      <c r="I6" s="277"/>
      <c r="J6" s="277"/>
      <c r="L6" s="293"/>
    </row>
    <row r="7" spans="2:12">
      <c r="B7" s="277" t="s">
        <v>187</v>
      </c>
      <c r="C7" s="278" t="str">
        <f>_xlfn.TEXTJOIN(",",TRUE,IF(LEFT(Regions!$C$3,1)&lt;&gt;"*",Regions!$C$3,""),IF(LEFT(Regions!$D$3,1)&lt;&gt;"*",Regions!$D$3,""))</f>
        <v>IE,National</v>
      </c>
      <c r="D7" s="278" t="s">
        <v>288</v>
      </c>
      <c r="E7" s="278" t="s">
        <v>297</v>
      </c>
      <c r="F7" s="277" t="s">
        <v>189</v>
      </c>
      <c r="G7" s="277"/>
      <c r="H7" s="277"/>
      <c r="I7" s="277"/>
      <c r="J7" s="277"/>
    </row>
    <row r="8" spans="2:12">
      <c r="B8" s="277" t="s">
        <v>187</v>
      </c>
      <c r="C8" s="278" t="str">
        <f>_xlfn.TEXTJOIN(",",TRUE,IF(LEFT(Regions!$C$3,1)&lt;&gt;"*",Regions!$C$3,""),IF(LEFT(Regions!$D$3,1)&lt;&gt;"*",Regions!$D$3,""))</f>
        <v>IE,National</v>
      </c>
      <c r="D8" s="278" t="s">
        <v>289</v>
      </c>
      <c r="E8" s="278" t="s">
        <v>296</v>
      </c>
      <c r="F8" s="277" t="s">
        <v>189</v>
      </c>
      <c r="G8" s="277"/>
      <c r="H8" s="277"/>
      <c r="I8" s="277"/>
      <c r="J8" s="277"/>
    </row>
    <row r="9" spans="2:12">
      <c r="B9" s="277" t="s">
        <v>187</v>
      </c>
      <c r="C9" s="278" t="str">
        <f>_xlfn.TEXTJOIN(",",TRUE,IF(LEFT(Regions!$C$3,1)&lt;&gt;"*",Regions!$C$3,""),IF(LEFT(Regions!$D$3,1)&lt;&gt;"*",Regions!$D$3,""))</f>
        <v>IE,National</v>
      </c>
      <c r="D9" s="278" t="s">
        <v>290</v>
      </c>
      <c r="E9" s="278" t="s">
        <v>295</v>
      </c>
      <c r="F9" s="277" t="s">
        <v>189</v>
      </c>
      <c r="G9" s="277"/>
      <c r="H9" s="277"/>
      <c r="I9" s="277"/>
      <c r="J9" s="277"/>
    </row>
    <row r="10" spans="2:12">
      <c r="B10" s="277" t="s">
        <v>187</v>
      </c>
      <c r="C10" s="278" t="str">
        <f>_xlfn.TEXTJOIN(",",TRUE,IF(LEFT(Regions!$C$3,1)&lt;&gt;"*",Regions!$C$3,""),IF(LEFT(Regions!$D$3,1)&lt;&gt;"*",Regions!$D$3,""))</f>
        <v>IE,National</v>
      </c>
      <c r="D10" s="278" t="s">
        <v>293</v>
      </c>
      <c r="E10" s="278" t="s">
        <v>294</v>
      </c>
      <c r="F10" s="277" t="s">
        <v>189</v>
      </c>
      <c r="G10" s="277"/>
      <c r="H10" s="277"/>
      <c r="I10" s="277"/>
      <c r="J10" s="277"/>
    </row>
    <row r="11" spans="2:12">
      <c r="B11" s="277" t="s">
        <v>187</v>
      </c>
      <c r="C11" s="278" t="str">
        <f>_xlfn.TEXTJOIN(",",TRUE,IF(LEFT(Regions!$C$3,1)&lt;&gt;"*",Regions!$C$3,""),IF(LEFT(Regions!$D$3,1)&lt;&gt;"*",Regions!$D$3,""))</f>
        <v>IE,National</v>
      </c>
      <c r="D11" s="278" t="s">
        <v>291</v>
      </c>
      <c r="E11" s="278" t="s">
        <v>292</v>
      </c>
      <c r="F11" s="277" t="s">
        <v>189</v>
      </c>
      <c r="G11" s="277"/>
      <c r="H11" s="277"/>
      <c r="I11" s="277"/>
      <c r="J11" s="277"/>
    </row>
    <row r="12" spans="2:12">
      <c r="B12" s="277" t="s">
        <v>187</v>
      </c>
      <c r="C12" s="278" t="str">
        <f>_xlfn.TEXTJOIN(",",TRUE,IF(LEFT(Regions!$C$3,1)&lt;&gt;"*",Regions!$C$3,""),IF(LEFT(Regions!$D$3,1)&lt;&gt;"*",Regions!$D$3,""))</f>
        <v>IE,National</v>
      </c>
      <c r="D12" s="278" t="s">
        <v>226</v>
      </c>
      <c r="E12" s="278" t="s">
        <v>225</v>
      </c>
      <c r="F12" s="277" t="s">
        <v>189</v>
      </c>
      <c r="G12" s="277"/>
      <c r="H12" s="277"/>
      <c r="I12" s="277"/>
      <c r="J12" s="277"/>
    </row>
    <row r="13" spans="2:12">
      <c r="B13" s="277" t="s">
        <v>187</v>
      </c>
      <c r="C13" s="278" t="str">
        <f>_xlfn.TEXTJOIN(",",TRUE,IF(LEFT(Regions!$C$3,1)&lt;&gt;"*",Regions!$C$3,""),IF(LEFT(Regions!$D$3,1)&lt;&gt;"*",Regions!$D$3,""))</f>
        <v>IE,National</v>
      </c>
      <c r="D13" s="278" t="s">
        <v>229</v>
      </c>
      <c r="E13" s="278" t="s">
        <v>228</v>
      </c>
      <c r="F13" s="277" t="s">
        <v>189</v>
      </c>
      <c r="G13" s="277"/>
      <c r="H13" s="277"/>
      <c r="I13" s="277"/>
      <c r="J13" s="277"/>
    </row>
    <row r="14" spans="2:12">
      <c r="B14" s="277" t="s">
        <v>187</v>
      </c>
      <c r="C14" s="278" t="str">
        <f>_xlfn.TEXTJOIN(",",TRUE,IF(LEFT(Regions!$C$3,1)&lt;&gt;"*",Regions!$C$3,""),IF(LEFT(Regions!$D$3,1)&lt;&gt;"*",Regions!$D$3,""))</f>
        <v>IE,National</v>
      </c>
      <c r="D14" s="278" t="s">
        <v>234</v>
      </c>
      <c r="E14" s="278" t="s">
        <v>235</v>
      </c>
      <c r="F14" s="277" t="s">
        <v>189</v>
      </c>
      <c r="G14" s="277"/>
      <c r="H14" s="277"/>
      <c r="I14" s="277"/>
      <c r="J14" s="277"/>
    </row>
    <row r="15" spans="2:12">
      <c r="B15" s="277" t="s">
        <v>187</v>
      </c>
      <c r="C15" s="278" t="str">
        <f>_xlfn.TEXTJOIN(",",TRUE,IF(LEFT(Regions!$C$3,1)&lt;&gt;"*",Regions!$C$3,""),IF(LEFT(Regions!$D$3,1)&lt;&gt;"*",Regions!$D$3,""))</f>
        <v>IE,National</v>
      </c>
      <c r="D15" s="278" t="s">
        <v>230</v>
      </c>
      <c r="E15" s="278" t="s">
        <v>231</v>
      </c>
      <c r="F15" s="277" t="s">
        <v>189</v>
      </c>
      <c r="G15" s="277"/>
      <c r="H15" s="277"/>
      <c r="I15" s="277"/>
      <c r="J15" s="277"/>
    </row>
    <row r="16" spans="2:12">
      <c r="B16" s="277" t="s">
        <v>187</v>
      </c>
      <c r="C16" s="278" t="str">
        <f>_xlfn.TEXTJOIN(",",TRUE,IF(LEFT(Regions!$C$3,1)&lt;&gt;"*",Regions!$C$3,""),IF(LEFT(Regions!$D$3,1)&lt;&gt;"*",Regions!$D$3,""))</f>
        <v>IE,National</v>
      </c>
      <c r="D16" s="278" t="s">
        <v>232</v>
      </c>
      <c r="E16" s="278" t="s">
        <v>233</v>
      </c>
      <c r="F16" s="277" t="s">
        <v>189</v>
      </c>
      <c r="G16" s="277"/>
      <c r="H16" s="277"/>
      <c r="I16" s="277"/>
      <c r="J16" s="277"/>
    </row>
    <row r="17" spans="2:10">
      <c r="B17" s="276" t="s">
        <v>237</v>
      </c>
      <c r="C17" s="276"/>
      <c r="D17" s="275"/>
      <c r="E17" s="276"/>
      <c r="F17" s="276"/>
      <c r="G17" s="276"/>
      <c r="H17" s="276"/>
      <c r="I17" s="276"/>
      <c r="J17" s="276"/>
    </row>
    <row r="18" spans="2:10">
      <c r="B18" s="277" t="s">
        <v>238</v>
      </c>
      <c r="C18" s="278" t="str">
        <f>_xlfn.TEXTJOIN(",",TRUE,IF(LEFT(Regions!$C$3,1)&lt;&gt;"*",Regions!$C$3,""),IF(LEFT(Regions!$D$3,1)&lt;&gt;"*",Regions!$D$3,""))</f>
        <v>IE,National</v>
      </c>
      <c r="D18" s="278" t="s">
        <v>239</v>
      </c>
      <c r="E18" s="280" t="str">
        <f>IF(ISNUMBER(SEARCH("&amp;",'EB2018'!A32)),SUBSTITUTE('EB2018'!A32,"&amp;","and"), 'EB2018'!A32) &amp; " demand"</f>
        <v>Non-Energy Mining demand</v>
      </c>
      <c r="F18" s="277" t="s">
        <v>189</v>
      </c>
      <c r="G18" s="277"/>
      <c r="H18" s="277"/>
      <c r="I18" s="277"/>
      <c r="J18" s="277"/>
    </row>
    <row r="19" spans="2:10">
      <c r="B19" s="277" t="s">
        <v>238</v>
      </c>
      <c r="C19" s="278" t="str">
        <f>_xlfn.TEXTJOIN(",",TRUE,IF(LEFT(Regions!$C$3,1)&lt;&gt;"*",Regions!$C$3,""),IF(LEFT(Regions!$D$3,1)&lt;&gt;"*",Regions!$D$3,""))</f>
        <v>IE,National</v>
      </c>
      <c r="D19" s="278" t="s">
        <v>240</v>
      </c>
      <c r="E19" s="280" t="str">
        <f>IF(ISNUMBER(SEARCH("&amp;",'EB2018'!A33)),SUBSTITUTE('EB2018'!A33,"&amp;","and"), 'EB2018'!A33) &amp; " demand"</f>
        <v>Food and beverages demand</v>
      </c>
      <c r="F19" s="277" t="s">
        <v>189</v>
      </c>
      <c r="G19" s="277"/>
      <c r="H19" s="277"/>
      <c r="I19" s="277"/>
      <c r="J19" s="277"/>
    </row>
    <row r="20" spans="2:10">
      <c r="B20" s="277" t="s">
        <v>238</v>
      </c>
      <c r="C20" s="278" t="str">
        <f>_xlfn.TEXTJOIN(",",TRUE,IF(LEFT(Regions!$C$3,1)&lt;&gt;"*",Regions!$C$3,""),IF(LEFT(Regions!$D$3,1)&lt;&gt;"*",Regions!$D$3,""))</f>
        <v>IE,National</v>
      </c>
      <c r="D20" s="278" t="s">
        <v>241</v>
      </c>
      <c r="E20" s="280" t="str">
        <f>IF(ISNUMBER(SEARCH("&amp;",'EB2018'!A34)),SUBSTITUTE('EB2018'!A34,"&amp;","and"), 'EB2018'!A34) &amp; " demand"</f>
        <v>Textiles and textile products demand</v>
      </c>
      <c r="F20" s="277" t="s">
        <v>189</v>
      </c>
      <c r="G20" s="277"/>
      <c r="H20" s="277"/>
      <c r="I20" s="277"/>
      <c r="J20" s="277"/>
    </row>
    <row r="21" spans="2:10">
      <c r="B21" s="277" t="s">
        <v>238</v>
      </c>
      <c r="C21" s="278" t="str">
        <f>_xlfn.TEXTJOIN(",",TRUE,IF(LEFT(Regions!$C$3,1)&lt;&gt;"*",Regions!$C$3,""),IF(LEFT(Regions!$D$3,1)&lt;&gt;"*",Regions!$D$3,""))</f>
        <v>IE,National</v>
      </c>
      <c r="D21" s="278" t="s">
        <v>242</v>
      </c>
      <c r="E21" s="280" t="str">
        <f>IF(ISNUMBER(SEARCH("&amp;",'EB2018'!A35)),SUBSTITUTE('EB2018'!A35,"&amp;","and"), 'EB2018'!A35) &amp; " demand"</f>
        <v>Wood and wood products demand</v>
      </c>
      <c r="F21" s="277" t="s">
        <v>189</v>
      </c>
      <c r="G21" s="277"/>
      <c r="H21" s="277"/>
      <c r="I21" s="277"/>
      <c r="J21" s="277"/>
    </row>
    <row r="22" spans="2:10">
      <c r="B22" s="277" t="s">
        <v>238</v>
      </c>
      <c r="C22" s="278" t="str">
        <f>_xlfn.TEXTJOIN(",",TRUE,IF(LEFT(Regions!$C$3,1)&lt;&gt;"*",Regions!$C$3,""),IF(LEFT(Regions!$D$3,1)&lt;&gt;"*",Regions!$D$3,""))</f>
        <v>IE,National</v>
      </c>
      <c r="D22" s="278" t="s">
        <v>243</v>
      </c>
      <c r="E22" s="280" t="str">
        <f>IF(ISNUMBER(SEARCH("&amp;",'EB2018'!A36)),SUBSTITUTE('EB2018'!A36,"&amp;","and"), 'EB2018'!A36) &amp; " demand"</f>
        <v>Pulp, paper, publishing and printing demand</v>
      </c>
      <c r="F22" s="277" t="s">
        <v>189</v>
      </c>
      <c r="G22" s="277"/>
      <c r="H22" s="277"/>
      <c r="I22" s="277"/>
      <c r="J22" s="277"/>
    </row>
    <row r="23" spans="2:10">
      <c r="B23" s="277" t="s">
        <v>238</v>
      </c>
      <c r="C23" s="278" t="str">
        <f>_xlfn.TEXTJOIN(",",TRUE,IF(LEFT(Regions!$C$3,1)&lt;&gt;"*",Regions!$C$3,""),IF(LEFT(Regions!$D$3,1)&lt;&gt;"*",Regions!$D$3,""))</f>
        <v>IE,National</v>
      </c>
      <c r="D23" s="278" t="s">
        <v>244</v>
      </c>
      <c r="E23" s="280" t="str">
        <f>IF(ISNUMBER(SEARCH("&amp;",'EB2018'!A37)),SUBSTITUTE('EB2018'!A37,"&amp;","and"), 'EB2018'!A37) &amp; " demand"</f>
        <v>Chemicals and man-made fibres demand</v>
      </c>
      <c r="F23" s="277" t="s">
        <v>189</v>
      </c>
      <c r="G23" s="277"/>
      <c r="H23" s="277"/>
      <c r="I23" s="277"/>
      <c r="J23" s="277"/>
    </row>
    <row r="24" spans="2:10">
      <c r="B24" s="277" t="s">
        <v>238</v>
      </c>
      <c r="C24" s="278" t="str">
        <f>_xlfn.TEXTJOIN(",",TRUE,IF(LEFT(Regions!$C$3,1)&lt;&gt;"*",Regions!$C$3,""),IF(LEFT(Regions!$D$3,1)&lt;&gt;"*",Regions!$D$3,""))</f>
        <v>IE,National</v>
      </c>
      <c r="D24" s="278" t="s">
        <v>245</v>
      </c>
      <c r="E24" s="280" t="str">
        <f>IF(ISNUMBER(SEARCH("&amp;",'EB2018'!A38)),SUBSTITUTE('EB2018'!A38,"&amp;","and"), 'EB2018'!A38) &amp; " demand"</f>
        <v>Rubber and plastic products demand</v>
      </c>
      <c r="F24" s="277" t="s">
        <v>189</v>
      </c>
      <c r="G24" s="277"/>
      <c r="H24" s="277"/>
      <c r="I24" s="277"/>
      <c r="J24" s="277"/>
    </row>
    <row r="25" spans="2:10">
      <c r="B25" s="277" t="s">
        <v>238</v>
      </c>
      <c r="C25" s="278" t="str">
        <f>_xlfn.TEXTJOIN(",",TRUE,IF(LEFT(Regions!$C$3,1)&lt;&gt;"*",Regions!$C$3,""),IF(LEFT(Regions!$D$3,1)&lt;&gt;"*",Regions!$D$3,""))</f>
        <v>IE,National</v>
      </c>
      <c r="D25" s="278" t="s">
        <v>246</v>
      </c>
      <c r="E25" s="280" t="str">
        <f>IF(ISNUMBER(SEARCH("&amp;",'EB2018'!A39)),SUBSTITUTE('EB2018'!A39,"&amp;","and"), 'EB2018'!A39) &amp; " demand"</f>
        <v>Other non-metallic mineral products demand</v>
      </c>
      <c r="F25" s="277" t="s">
        <v>189</v>
      </c>
      <c r="G25" s="277"/>
      <c r="H25" s="277"/>
      <c r="I25" s="277"/>
      <c r="J25" s="277"/>
    </row>
    <row r="26" spans="2:10">
      <c r="B26" s="277" t="s">
        <v>238</v>
      </c>
      <c r="C26" s="278" t="str">
        <f>_xlfn.TEXTJOIN(",",TRUE,IF(LEFT(Regions!$C$3,1)&lt;&gt;"*",Regions!$C$3,""),IF(LEFT(Regions!$D$3,1)&lt;&gt;"*",Regions!$D$3,""))</f>
        <v>IE,National</v>
      </c>
      <c r="D26" s="278" t="s">
        <v>247</v>
      </c>
      <c r="E26" s="280" t="str">
        <f>IF(ISNUMBER(SEARCH("&amp;",'EB2018'!A40)),SUBSTITUTE('EB2018'!A40,"&amp;","and"), 'EB2018'!A40) &amp; " demand"</f>
        <v>Basic metals and fabricated metal products demand</v>
      </c>
      <c r="F26" s="277" t="s">
        <v>189</v>
      </c>
      <c r="G26" s="277"/>
      <c r="H26" s="277"/>
      <c r="I26" s="277"/>
      <c r="J26" s="277"/>
    </row>
    <row r="27" spans="2:10">
      <c r="B27" s="277" t="s">
        <v>238</v>
      </c>
      <c r="C27" s="278" t="str">
        <f>_xlfn.TEXTJOIN(",",TRUE,IF(LEFT(Regions!$C$3,1)&lt;&gt;"*",Regions!$C$3,""),IF(LEFT(Regions!$D$3,1)&lt;&gt;"*",Regions!$D$3,""))</f>
        <v>IE,National</v>
      </c>
      <c r="D27" s="278" t="s">
        <v>248</v>
      </c>
      <c r="E27" s="280" t="str">
        <f>IF(ISNUMBER(SEARCH("&amp;",'EB2018'!A41)),SUBSTITUTE('EB2018'!A41,"&amp;","and"), 'EB2018'!A41) &amp; " demand"</f>
        <v>Machinery and equipment n.e.c. demand</v>
      </c>
      <c r="F27" s="277" t="s">
        <v>189</v>
      </c>
      <c r="G27" s="277"/>
      <c r="H27" s="277"/>
      <c r="I27" s="277"/>
      <c r="J27" s="277"/>
    </row>
    <row r="28" spans="2:10">
      <c r="B28" s="277" t="s">
        <v>238</v>
      </c>
      <c r="C28" s="278" t="str">
        <f>_xlfn.TEXTJOIN(",",TRUE,IF(LEFT(Regions!$C$3,1)&lt;&gt;"*",Regions!$C$3,""),IF(LEFT(Regions!$D$3,1)&lt;&gt;"*",Regions!$D$3,""))</f>
        <v>IE,National</v>
      </c>
      <c r="D28" s="278" t="s">
        <v>249</v>
      </c>
      <c r="E28" s="280" t="str">
        <f>IF(ISNUMBER(SEARCH("&amp;",'EB2018'!A42)),SUBSTITUTE('EB2018'!A42,"&amp;","and"), 'EB2018'!A42) &amp; " demand"</f>
        <v>Electrical and optical equipment demand</v>
      </c>
      <c r="F28" s="277" t="s">
        <v>189</v>
      </c>
      <c r="G28" s="277"/>
      <c r="H28" s="277"/>
      <c r="I28" s="277"/>
      <c r="J28" s="277"/>
    </row>
    <row r="29" spans="2:10">
      <c r="B29" s="277" t="s">
        <v>238</v>
      </c>
      <c r="C29" s="278" t="str">
        <f>_xlfn.TEXTJOIN(",",TRUE,IF(LEFT(Regions!$C$3,1)&lt;&gt;"*",Regions!$C$3,""),IF(LEFT(Regions!$D$3,1)&lt;&gt;"*",Regions!$D$3,""))</f>
        <v>IE,National</v>
      </c>
      <c r="D29" s="278" t="s">
        <v>250</v>
      </c>
      <c r="E29" s="280" t="str">
        <f>IF(ISNUMBER(SEARCH("&amp;",'EB2018'!A43)),SUBSTITUTE('EB2018'!A43,"&amp;","and"), 'EB2018'!A43) &amp; " demand"</f>
        <v>Transport equipment manufacture demand</v>
      </c>
      <c r="F29" s="277" t="s">
        <v>189</v>
      </c>
      <c r="G29" s="277"/>
      <c r="H29" s="277"/>
      <c r="I29" s="277"/>
      <c r="J29" s="277"/>
    </row>
    <row r="30" spans="2:10">
      <c r="B30" s="277" t="s">
        <v>238</v>
      </c>
      <c r="C30" s="278" t="str">
        <f>_xlfn.TEXTJOIN(",",TRUE,IF(LEFT(Regions!$C$3,1)&lt;&gt;"*",Regions!$C$3,""),IF(LEFT(Regions!$D$3,1)&lt;&gt;"*",Regions!$D$3,""))</f>
        <v>IE,National</v>
      </c>
      <c r="D30" s="278" t="s">
        <v>251</v>
      </c>
      <c r="E30" s="280" t="str">
        <f>IF(ISNUMBER(SEARCH("&amp;",'EB2018'!A44)),SUBSTITUTE('EB2018'!A44,"&amp;","and"), 'EB2018'!A44) &amp; " demand"</f>
        <v>Other manufacturing demand</v>
      </c>
      <c r="F30" s="277" t="s">
        <v>189</v>
      </c>
      <c r="G30" s="277"/>
      <c r="H30" s="277"/>
      <c r="I30" s="277"/>
      <c r="J30" s="277"/>
    </row>
    <row r="31" spans="2:10">
      <c r="B31" s="279" t="s">
        <v>198</v>
      </c>
      <c r="C31" s="279"/>
      <c r="D31" s="279"/>
      <c r="E31" s="279"/>
      <c r="F31" s="279"/>
      <c r="G31" s="279"/>
      <c r="H31" s="279"/>
      <c r="I31" s="279"/>
      <c r="J31" s="279"/>
    </row>
    <row r="32" spans="2:10">
      <c r="B32" s="277" t="s">
        <v>199</v>
      </c>
      <c r="C32" s="278" t="str">
        <f>_xlfn.TEXTJOIN(",",TRUE,IF(LEFT(Regions!$C$3,1)&lt;&gt;"*",Regions!$C$3,""),IF(LEFT(Regions!$D$3,1)&lt;&gt;"*",Regions!$D$3,""))</f>
        <v>IE,National</v>
      </c>
      <c r="D32" s="278" t="s">
        <v>201</v>
      </c>
      <c r="E32" s="278" t="s">
        <v>202</v>
      </c>
      <c r="F32" s="277" t="s">
        <v>200</v>
      </c>
      <c r="G32" s="277"/>
      <c r="H32" s="277"/>
      <c r="I32" s="277"/>
      <c r="J32" s="277"/>
    </row>
    <row r="33" spans="2:10">
      <c r="B33" s="277" t="s">
        <v>199</v>
      </c>
      <c r="C33" s="278" t="str">
        <f>_xlfn.TEXTJOIN(",",TRUE,IF(LEFT(Regions!$C$3,1)&lt;&gt;"*",Regions!$C$3,""),IF(LEFT(Regions!$D$3,1)&lt;&gt;"*",Regions!$D$3,""))</f>
        <v>IE,National</v>
      </c>
      <c r="D33" s="278" t="s">
        <v>203</v>
      </c>
      <c r="E33" s="278" t="s">
        <v>204</v>
      </c>
      <c r="F33" s="277" t="s">
        <v>200</v>
      </c>
      <c r="G33" s="277"/>
      <c r="H33" s="277"/>
      <c r="I33" s="277"/>
      <c r="J33" s="277"/>
    </row>
    <row r="34" spans="2:10">
      <c r="B34" s="277" t="s">
        <v>199</v>
      </c>
      <c r="C34" s="278" t="str">
        <f>_xlfn.TEXTJOIN(",",TRUE,IF(LEFT(Regions!$C$3,1)&lt;&gt;"*",Regions!$C$3,""),IF(LEFT(Regions!$D$3,1)&lt;&gt;"*",Regions!$D$3,""))</f>
        <v>IE,National</v>
      </c>
      <c r="D34" s="278" t="s">
        <v>205</v>
      </c>
      <c r="E34" s="278" t="s">
        <v>206</v>
      </c>
      <c r="F34" s="277" t="s">
        <v>200</v>
      </c>
      <c r="G34" s="277"/>
      <c r="H34" s="277"/>
      <c r="I34" s="277"/>
      <c r="J34" s="277"/>
    </row>
    <row r="35" spans="2:10">
      <c r="B35" s="277" t="s">
        <v>199</v>
      </c>
      <c r="C35" s="278" t="str">
        <f>_xlfn.TEXTJOIN(",",TRUE,IF(LEFT(Regions!$C$3,1)&lt;&gt;"*",Regions!$C$3,""),IF(LEFT(Regions!$D$3,1)&lt;&gt;"*",Regions!$D$3,""))</f>
        <v>IE,National</v>
      </c>
      <c r="D35" s="278" t="s">
        <v>207</v>
      </c>
      <c r="E35" s="278" t="s">
        <v>208</v>
      </c>
      <c r="F35" s="277" t="s">
        <v>200</v>
      </c>
      <c r="G35" s="277"/>
      <c r="H35" s="277"/>
      <c r="I35" s="277"/>
      <c r="J35" s="277"/>
    </row>
    <row r="36" spans="2:10">
      <c r="B36" s="277" t="s">
        <v>199</v>
      </c>
      <c r="C36" s="278" t="str">
        <f>_xlfn.TEXTJOIN(",",TRUE,IF(LEFT(Regions!$C$3,1)&lt;&gt;"*",Regions!$C$3,""),IF(LEFT(Regions!$D$3,1)&lt;&gt;"*",Regions!$D$3,""))</f>
        <v>IE,National</v>
      </c>
      <c r="D36" s="278" t="s">
        <v>209</v>
      </c>
      <c r="E36" s="278" t="s">
        <v>210</v>
      </c>
      <c r="F36" s="277" t="s">
        <v>200</v>
      </c>
      <c r="G36" s="277"/>
      <c r="H36" s="277"/>
      <c r="I36" s="277"/>
      <c r="J36" s="277"/>
    </row>
    <row r="37" spans="2:10">
      <c r="B37" s="277" t="s">
        <v>199</v>
      </c>
      <c r="C37" s="278" t="str">
        <f>_xlfn.TEXTJOIN(",",TRUE,IF(LEFT(Regions!$C$3,1)&lt;&gt;"*",Regions!$C$3,""),IF(LEFT(Regions!$D$3,1)&lt;&gt;"*",Regions!$D$3,""))</f>
        <v>IE,National</v>
      </c>
      <c r="D37" s="278" t="s">
        <v>211</v>
      </c>
      <c r="E37" s="278" t="s">
        <v>212</v>
      </c>
      <c r="F37" s="277" t="s">
        <v>200</v>
      </c>
      <c r="G37" s="277"/>
      <c r="H37" s="277"/>
      <c r="I37" s="277"/>
      <c r="J37" s="277"/>
    </row>
    <row r="38" spans="2:10">
      <c r="B38" s="277" t="s">
        <v>199</v>
      </c>
      <c r="C38" s="278" t="str">
        <f>_xlfn.TEXTJOIN(",",TRUE,IF(LEFT(Regions!$C$3,1)&lt;&gt;"*",Regions!$C$3,""),IF(LEFT(Regions!$D$3,1)&lt;&gt;"*",Regions!$D$3,""))</f>
        <v>IE,National</v>
      </c>
      <c r="D38" s="278" t="s">
        <v>213</v>
      </c>
      <c r="E38" s="278" t="s">
        <v>214</v>
      </c>
      <c r="F38" s="277" t="s">
        <v>200</v>
      </c>
      <c r="G38" s="277"/>
      <c r="H38" s="277"/>
      <c r="I38" s="277"/>
      <c r="J38" s="277"/>
    </row>
    <row r="39" spans="2:10">
      <c r="B39" s="277" t="s">
        <v>199</v>
      </c>
      <c r="C39" s="278" t="str">
        <f>_xlfn.TEXTJOIN(",",TRUE,IF(LEFT(Regions!$C$3,1)&lt;&gt;"*",Regions!$C$3,""),IF(LEFT(Regions!$D$3,1)&lt;&gt;"*",Regions!$D$3,""))</f>
        <v>IE,National</v>
      </c>
      <c r="D39" s="278" t="s">
        <v>215</v>
      </c>
      <c r="E39" s="278" t="s">
        <v>216</v>
      </c>
      <c r="F39" s="277" t="s">
        <v>200</v>
      </c>
      <c r="G39" s="277"/>
      <c r="H39" s="277"/>
      <c r="I39" s="277"/>
      <c r="J39" s="277"/>
    </row>
    <row r="40" spans="2:10">
      <c r="B40" s="277" t="s">
        <v>199</v>
      </c>
      <c r="C40" s="278" t="str">
        <f>_xlfn.TEXTJOIN(",",TRUE,IF(LEFT(Regions!$C$3,1)&lt;&gt;"*",Regions!$C$3,""),IF(LEFT(Regions!$D$3,1)&lt;&gt;"*",Regions!$D$3,""))</f>
        <v>IE,National</v>
      </c>
      <c r="D40" s="278" t="s">
        <v>217</v>
      </c>
      <c r="E40" s="278" t="s">
        <v>218</v>
      </c>
      <c r="F40" s="277" t="s">
        <v>200</v>
      </c>
      <c r="G40" s="277"/>
      <c r="H40" s="277"/>
      <c r="I40" s="277"/>
      <c r="J40" s="277"/>
    </row>
    <row r="41" spans="2:10">
      <c r="B41" s="277" t="s">
        <v>199</v>
      </c>
      <c r="C41" s="278" t="str">
        <f>_xlfn.TEXTJOIN(",",TRUE,IF(LEFT(Regions!$C$3,1)&lt;&gt;"*",Regions!$C$3,""),IF(LEFT(Regions!$D$3,1)&lt;&gt;"*",Regions!$D$3,""))</f>
        <v>IE,National</v>
      </c>
      <c r="D41" s="278" t="s">
        <v>219</v>
      </c>
      <c r="E41" s="278" t="s">
        <v>220</v>
      </c>
      <c r="F41" s="277" t="s">
        <v>200</v>
      </c>
      <c r="G41" s="277"/>
      <c r="H41" s="277"/>
      <c r="I41" s="277"/>
      <c r="J41" s="27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dimension ref="B2:J30"/>
  <sheetViews>
    <sheetView zoomScaleNormal="100" workbookViewId="0">
      <selection activeCell="E25" sqref="E25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272" t="s">
        <v>252</v>
      </c>
      <c r="C2" s="272"/>
      <c r="D2" s="273"/>
      <c r="E2" s="273"/>
      <c r="F2" s="273"/>
      <c r="G2" s="273"/>
      <c r="H2" s="273"/>
      <c r="I2" s="273"/>
      <c r="J2" s="273"/>
    </row>
    <row r="3" spans="2:10" ht="15.75" thickBot="1">
      <c r="B3" s="274" t="s">
        <v>253</v>
      </c>
      <c r="C3" s="274" t="s">
        <v>227</v>
      </c>
      <c r="D3" s="274" t="s">
        <v>254</v>
      </c>
      <c r="E3" s="274" t="s">
        <v>255</v>
      </c>
      <c r="F3" s="274" t="s">
        <v>256</v>
      </c>
      <c r="G3" s="274" t="s">
        <v>257</v>
      </c>
      <c r="H3" s="274" t="s">
        <v>258</v>
      </c>
      <c r="I3" s="274" t="s">
        <v>259</v>
      </c>
      <c r="J3" s="274" t="s">
        <v>260</v>
      </c>
    </row>
    <row r="4" spans="2:10">
      <c r="B4" s="276" t="s">
        <v>265</v>
      </c>
      <c r="C4" s="276"/>
      <c r="D4" s="275"/>
      <c r="E4" s="276"/>
      <c r="F4" s="276"/>
      <c r="G4" s="276"/>
      <c r="H4" s="276"/>
      <c r="I4" s="276"/>
      <c r="J4" s="276"/>
    </row>
    <row r="5" spans="2:10">
      <c r="B5" s="278" t="s">
        <v>266</v>
      </c>
      <c r="C5" s="278" t="str">
        <f>_xlfn.TEXTJOIN(",",TRUE,IF(LEFT(Regions!$C$3,1)&lt;&gt;"*",Regions!$C$3,""),IF(LEFT(Regions!$D$3,1)&lt;&gt;"*",Regions!$D$3,""))</f>
        <v>IE,National</v>
      </c>
      <c r="D5" s="278" t="str">
        <f>_xlfn.CONCAT("I-DMD-",MID(Commodities!D18,2,3))</f>
        <v>I-DMD-NEM</v>
      </c>
      <c r="E5" s="278" t="str">
        <f>_xlfn.CONCAT(Commodities!E18," process")</f>
        <v>Non-Energy Mining demand process</v>
      </c>
      <c r="F5" s="281" t="s">
        <v>189</v>
      </c>
      <c r="G5" s="282" t="s">
        <v>264</v>
      </c>
      <c r="H5" s="282"/>
      <c r="I5" s="283"/>
      <c r="J5" s="282"/>
    </row>
    <row r="6" spans="2:10">
      <c r="B6" s="278" t="s">
        <v>266</v>
      </c>
      <c r="C6" s="278" t="str">
        <f>_xlfn.TEXTJOIN(",",TRUE,IF(LEFT(Regions!$C$3,1)&lt;&gt;"*",Regions!$C$3,""),IF(LEFT(Regions!$D$3,1)&lt;&gt;"*",Regions!$D$3,""))</f>
        <v>IE,National</v>
      </c>
      <c r="D6" s="278" t="str">
        <f>_xlfn.CONCAT("I-DMD-",MID(Commodities!D19,2,3))</f>
        <v>I-DMD-FAB</v>
      </c>
      <c r="E6" s="278" t="str">
        <f>_xlfn.CONCAT(Commodities!E19," process")</f>
        <v>Food and beverages demand process</v>
      </c>
      <c r="F6" s="281" t="s">
        <v>189</v>
      </c>
      <c r="G6" s="282" t="s">
        <v>264</v>
      </c>
      <c r="H6" s="283"/>
      <c r="I6" s="283"/>
      <c r="J6" s="282"/>
    </row>
    <row r="7" spans="2:10">
      <c r="B7" s="278" t="s">
        <v>266</v>
      </c>
      <c r="C7" s="278" t="str">
        <f>_xlfn.TEXTJOIN(",",TRUE,IF(LEFT(Regions!$C$3,1)&lt;&gt;"*",Regions!$C$3,""),IF(LEFT(Regions!$D$3,1)&lt;&gt;"*",Regions!$D$3,""))</f>
        <v>IE,National</v>
      </c>
      <c r="D7" s="278" t="str">
        <f>_xlfn.CONCAT("I-DMD-",MID(Commodities!D20,2,3))</f>
        <v>I-DMD-TAP</v>
      </c>
      <c r="E7" s="278" t="str">
        <f>_xlfn.CONCAT(Commodities!E20," process")</f>
        <v>Textiles and textile products demand process</v>
      </c>
      <c r="F7" s="281" t="s">
        <v>189</v>
      </c>
      <c r="G7" s="282" t="s">
        <v>264</v>
      </c>
      <c r="H7" s="283"/>
      <c r="I7" s="283"/>
      <c r="J7" s="282"/>
    </row>
    <row r="8" spans="2:10">
      <c r="B8" s="278" t="s">
        <v>266</v>
      </c>
      <c r="C8" s="278" t="str">
        <f>_xlfn.TEXTJOIN(",",TRUE,IF(LEFT(Regions!$C$3,1)&lt;&gt;"*",Regions!$C$3,""),IF(LEFT(Regions!$D$3,1)&lt;&gt;"*",Regions!$D$3,""))</f>
        <v>IE,National</v>
      </c>
      <c r="D8" s="278" t="str">
        <f>_xlfn.CONCAT("I-DMD-",MID(Commodities!D21,2,3))</f>
        <v>I-DMD-WAP</v>
      </c>
      <c r="E8" s="278" t="str">
        <f>_xlfn.CONCAT(Commodities!E21," process")</f>
        <v>Wood and wood products demand process</v>
      </c>
      <c r="F8" s="281" t="s">
        <v>189</v>
      </c>
      <c r="G8" s="282" t="s">
        <v>264</v>
      </c>
      <c r="H8" s="283"/>
      <c r="I8" s="283"/>
      <c r="J8" s="282"/>
    </row>
    <row r="9" spans="2:10">
      <c r="B9" s="278" t="s">
        <v>266</v>
      </c>
      <c r="C9" s="278" t="str">
        <f>_xlfn.TEXTJOIN(",",TRUE,IF(LEFT(Regions!$C$3,1)&lt;&gt;"*",Regions!$C$3,""),IF(LEFT(Regions!$D$3,1)&lt;&gt;"*",Regions!$D$3,""))</f>
        <v>IE,National</v>
      </c>
      <c r="D9" s="278" t="str">
        <f>_xlfn.CONCAT("I-DMD-",MID(Commodities!D22,2,3))</f>
        <v>I-DMD-PX4</v>
      </c>
      <c r="E9" s="278" t="str">
        <f>_xlfn.CONCAT(Commodities!E22," process")</f>
        <v>Pulp, paper, publishing and printing demand process</v>
      </c>
      <c r="F9" s="281" t="s">
        <v>189</v>
      </c>
      <c r="G9" s="282" t="s">
        <v>264</v>
      </c>
      <c r="H9" s="283"/>
      <c r="I9" s="283"/>
      <c r="J9" s="282"/>
    </row>
    <row r="10" spans="2:10">
      <c r="B10" s="278" t="s">
        <v>266</v>
      </c>
      <c r="C10" s="278" t="str">
        <f>_xlfn.TEXTJOIN(",",TRUE,IF(LEFT(Regions!$C$3,1)&lt;&gt;"*",Regions!$C$3,""),IF(LEFT(Regions!$D$3,1)&lt;&gt;"*",Regions!$D$3,""))</f>
        <v>IE,National</v>
      </c>
      <c r="D10" s="278" t="str">
        <f>_xlfn.CONCAT("I-DMD-",MID(Commodities!D23,2,3))</f>
        <v>I-DMD-CAF</v>
      </c>
      <c r="E10" s="278" t="str">
        <f>_xlfn.CONCAT(Commodities!E23," process")</f>
        <v>Chemicals and man-made fibres demand process</v>
      </c>
      <c r="F10" s="281" t="s">
        <v>189</v>
      </c>
      <c r="G10" s="282" t="s">
        <v>264</v>
      </c>
      <c r="H10" s="283"/>
      <c r="I10" s="283"/>
      <c r="J10" s="282"/>
    </row>
    <row r="11" spans="2:10">
      <c r="B11" s="278" t="s">
        <v>266</v>
      </c>
      <c r="C11" s="278" t="str">
        <f>_xlfn.TEXTJOIN(",",TRUE,IF(LEFT(Regions!$C$3,1)&lt;&gt;"*",Regions!$C$3,""),IF(LEFT(Regions!$D$3,1)&lt;&gt;"*",Regions!$D$3,""))</f>
        <v>IE,National</v>
      </c>
      <c r="D11" s="278" t="str">
        <f>_xlfn.CONCAT("I-DMD-",MID(Commodities!D24,2,3))</f>
        <v>I-DMD-RAP</v>
      </c>
      <c r="E11" s="278" t="str">
        <f>_xlfn.CONCAT(Commodities!E24," process")</f>
        <v>Rubber and plastic products demand process</v>
      </c>
      <c r="F11" s="281" t="s">
        <v>189</v>
      </c>
      <c r="G11" s="282" t="s">
        <v>264</v>
      </c>
      <c r="H11" s="283"/>
      <c r="I11" s="283"/>
      <c r="J11" s="282"/>
    </row>
    <row r="12" spans="2:10">
      <c r="B12" s="278" t="s">
        <v>266</v>
      </c>
      <c r="C12" s="278" t="str">
        <f>_xlfn.TEXTJOIN(",",TRUE,IF(LEFT(Regions!$C$3,1)&lt;&gt;"*",Regions!$C$3,""),IF(LEFT(Regions!$D$3,1)&lt;&gt;"*",Regions!$D$3,""))</f>
        <v>IE,National</v>
      </c>
      <c r="D12" s="278" t="str">
        <f>_xlfn.CONCAT("I-DMD-",MID(Commodities!D25,2,3))</f>
        <v>I-DMD-ONM</v>
      </c>
      <c r="E12" s="278" t="str">
        <f>_xlfn.CONCAT(Commodities!E25," process")</f>
        <v>Other non-metallic mineral products demand process</v>
      </c>
      <c r="F12" s="281" t="s">
        <v>189</v>
      </c>
      <c r="G12" s="282" t="s">
        <v>264</v>
      </c>
      <c r="H12" s="283"/>
      <c r="I12" s="283"/>
      <c r="J12" s="282"/>
    </row>
    <row r="13" spans="2:10">
      <c r="B13" s="278" t="s">
        <v>266</v>
      </c>
      <c r="C13" s="278" t="str">
        <f>_xlfn.TEXTJOIN(",",TRUE,IF(LEFT(Regions!$C$3,1)&lt;&gt;"*",Regions!$C$3,""),IF(LEFT(Regions!$D$3,1)&lt;&gt;"*",Regions!$D$3,""))</f>
        <v>IE,National</v>
      </c>
      <c r="D13" s="278" t="str">
        <f>_xlfn.CONCAT("I-DMD-",MID(Commodities!D26,2,3))</f>
        <v>I-DMD-MAP</v>
      </c>
      <c r="E13" s="278" t="str">
        <f>_xlfn.CONCAT(Commodities!E26," process")</f>
        <v>Basic metals and fabricated metal products demand process</v>
      </c>
      <c r="F13" s="281" t="s">
        <v>189</v>
      </c>
      <c r="G13" s="282" t="s">
        <v>264</v>
      </c>
      <c r="H13" s="283"/>
      <c r="I13" s="283"/>
      <c r="J13" s="282"/>
    </row>
    <row r="14" spans="2:10">
      <c r="B14" s="278" t="s">
        <v>266</v>
      </c>
      <c r="C14" s="278" t="str">
        <f>_xlfn.TEXTJOIN(",",TRUE,IF(LEFT(Regions!$C$3,1)&lt;&gt;"*",Regions!$C$3,""),IF(LEFT(Regions!$D$3,1)&lt;&gt;"*",Regions!$D$3,""))</f>
        <v>IE,National</v>
      </c>
      <c r="D14" s="278" t="str">
        <f>_xlfn.CONCAT("I-DMD-",MID(Commodities!D27,2,3))</f>
        <v>I-DMD-MAE</v>
      </c>
      <c r="E14" s="278" t="str">
        <f>_xlfn.CONCAT(Commodities!E27," process")</f>
        <v>Machinery and equipment n.e.c. demand process</v>
      </c>
      <c r="F14" s="281" t="s">
        <v>189</v>
      </c>
      <c r="G14" s="282" t="s">
        <v>264</v>
      </c>
      <c r="H14" s="283"/>
      <c r="I14" s="283"/>
      <c r="J14" s="282"/>
    </row>
    <row r="15" spans="2:10">
      <c r="B15" s="278" t="s">
        <v>266</v>
      </c>
      <c r="C15" s="278" t="str">
        <f>_xlfn.TEXTJOIN(",",TRUE,IF(LEFT(Regions!$C$3,1)&lt;&gt;"*",Regions!$C$3,""),IF(LEFT(Regions!$D$3,1)&lt;&gt;"*",Regions!$D$3,""))</f>
        <v>IE,National</v>
      </c>
      <c r="D15" s="278" t="str">
        <f>_xlfn.CONCAT("I-DMD-",MID(Commodities!D28,2,3))</f>
        <v>I-DMD-EOE</v>
      </c>
      <c r="E15" s="278" t="str">
        <f>_xlfn.CONCAT(Commodities!E28," process")</f>
        <v>Electrical and optical equipment demand process</v>
      </c>
      <c r="F15" s="281" t="s">
        <v>189</v>
      </c>
      <c r="G15" s="282" t="s">
        <v>264</v>
      </c>
      <c r="H15" s="282"/>
      <c r="I15" s="282"/>
      <c r="J15" s="282"/>
    </row>
    <row r="16" spans="2:10">
      <c r="B16" s="278" t="s">
        <v>266</v>
      </c>
      <c r="C16" s="278" t="str">
        <f>_xlfn.TEXTJOIN(",",TRUE,IF(LEFT(Regions!$C$3,1)&lt;&gt;"*",Regions!$C$3,""),IF(LEFT(Regions!$D$3,1)&lt;&gt;"*",Regions!$D$3,""))</f>
        <v>IE,National</v>
      </c>
      <c r="D16" s="278" t="str">
        <f>_xlfn.CONCAT("I-DMD-",MID(Commodities!D29,2,3))</f>
        <v>I-DMD-TEM</v>
      </c>
      <c r="E16" s="278" t="str">
        <f>_xlfn.CONCAT(Commodities!E29," process")</f>
        <v>Transport equipment manufacture demand process</v>
      </c>
      <c r="F16" s="284" t="s">
        <v>189</v>
      </c>
      <c r="G16" s="282" t="s">
        <v>264</v>
      </c>
      <c r="H16" s="283"/>
      <c r="I16" s="283"/>
      <c r="J16" s="284"/>
    </row>
    <row r="17" spans="2:10">
      <c r="B17" s="278" t="s">
        <v>266</v>
      </c>
      <c r="C17" s="278" t="str">
        <f>_xlfn.TEXTJOIN(",",TRUE,IF(LEFT(Regions!$C$3,1)&lt;&gt;"*",Regions!$C$3,""),IF(LEFT(Regions!$D$3,1)&lt;&gt;"*",Regions!$D$3,""))</f>
        <v>IE,National</v>
      </c>
      <c r="D17" s="278" t="str">
        <f>_xlfn.CONCAT("I-DMD-",MID(Commodities!D30,2,3))</f>
        <v>I-DMD-OMA</v>
      </c>
      <c r="E17" s="278" t="str">
        <f>_xlfn.CONCAT(Commodities!E30," process")</f>
        <v>Other manufacturing demand process</v>
      </c>
      <c r="F17" s="281" t="s">
        <v>189</v>
      </c>
      <c r="G17" s="282" t="s">
        <v>264</v>
      </c>
      <c r="H17" s="283"/>
      <c r="I17" s="283"/>
      <c r="J17" s="284"/>
    </row>
    <row r="18" spans="2:10">
      <c r="B18" s="276" t="s">
        <v>263</v>
      </c>
      <c r="C18" s="276"/>
      <c r="D18" s="275"/>
      <c r="E18" s="276"/>
      <c r="F18" s="276"/>
      <c r="G18" s="276"/>
      <c r="H18" s="276"/>
      <c r="I18" s="276"/>
      <c r="J18" s="276"/>
    </row>
    <row r="19" spans="2:10">
      <c r="B19" s="278" t="s">
        <v>262</v>
      </c>
      <c r="C19" s="278" t="str">
        <f>_xlfn.TEXTJOIN(",",TRUE,IF(LEFT(Regions!$C$3,1)&lt;&gt;"*",Regions!$C$3,""),IF(LEFT(Regions!$D$3,1)&lt;&gt;"*",Regions!$D$3,""))</f>
        <v>IE,National</v>
      </c>
      <c r="D19" s="278" t="str">
        <f>_xlfn.CONCAT("FT-",Commodities!D5)</f>
        <v>FT-INDCOA</v>
      </c>
      <c r="E19" s="278" t="str">
        <f>_xlfn.CONCAT("Fuel Tech - ",Commodities!E5)</f>
        <v>Fuel Tech - Coal (IND)</v>
      </c>
      <c r="F19" s="286" t="s">
        <v>189</v>
      </c>
      <c r="G19" s="282" t="s">
        <v>264</v>
      </c>
      <c r="H19" s="284"/>
      <c r="I19" s="285"/>
      <c r="J19" s="284"/>
    </row>
    <row r="20" spans="2:10">
      <c r="B20" s="278" t="s">
        <v>262</v>
      </c>
      <c r="C20" s="278" t="str">
        <f>_xlfn.TEXTJOIN(",",TRUE,IF(LEFT(Regions!$C$3,1)&lt;&gt;"*",Regions!$C$3,""),IF(LEFT(Regions!$D$3,1)&lt;&gt;"*",Regions!$D$3,""))</f>
        <v>IE,National</v>
      </c>
      <c r="D20" s="278" t="str">
        <f>_xlfn.CONCAT("FT-",Commodities!D6)</f>
        <v>FT-INDPEA</v>
      </c>
      <c r="E20" s="278" t="str">
        <f>_xlfn.CONCAT("Fuel Tech - ",Commodities!E6)</f>
        <v xml:space="preserve">Fuel Tech - Peat (IND) </v>
      </c>
      <c r="F20" s="287" t="s">
        <v>189</v>
      </c>
      <c r="G20" s="282" t="s">
        <v>264</v>
      </c>
      <c r="H20" s="284"/>
      <c r="I20" s="288"/>
      <c r="J20" s="288"/>
    </row>
    <row r="21" spans="2:10">
      <c r="B21" s="278" t="s">
        <v>262</v>
      </c>
      <c r="C21" s="278" t="str">
        <f>_xlfn.TEXTJOIN(",",TRUE,IF(LEFT(Regions!$C$3,1)&lt;&gt;"*",Regions!$C$3,""),IF(LEFT(Regions!$D$3,1)&lt;&gt;"*",Regions!$D$3,""))</f>
        <v>IE,National</v>
      </c>
      <c r="D21" s="278" t="str">
        <f>_xlfn.CONCAT("FT-",Commodities!D7)</f>
        <v>FT-INDKER</v>
      </c>
      <c r="E21" s="278" t="str">
        <f>_xlfn.CONCAT("Fuel Tech - ",Commodities!E7)</f>
        <v>Fuel Tech - Kerosene (IND)</v>
      </c>
      <c r="F21" s="287" t="s">
        <v>189</v>
      </c>
      <c r="G21" s="282" t="s">
        <v>264</v>
      </c>
      <c r="H21" s="284"/>
      <c r="I21" s="288"/>
      <c r="J21" s="288"/>
    </row>
    <row r="22" spans="2:10">
      <c r="B22" s="278" t="s">
        <v>262</v>
      </c>
      <c r="C22" s="278" t="str">
        <f>_xlfn.TEXTJOIN(",",TRUE,IF(LEFT(Regions!$C$3,1)&lt;&gt;"*",Regions!$C$3,""),IF(LEFT(Regions!$D$3,1)&lt;&gt;"*",Regions!$D$3,""))</f>
        <v>IE,National</v>
      </c>
      <c r="D22" s="278" t="str">
        <f>_xlfn.CONCAT("FT-",Commodities!D8)</f>
        <v>FT-INDHFO</v>
      </c>
      <c r="E22" s="278" t="str">
        <f>_xlfn.CONCAT("Fuel Tech - ",Commodities!E8)</f>
        <v>Fuel Tech - Heavy Fuel Oil (IND)</v>
      </c>
      <c r="F22" s="287" t="s">
        <v>189</v>
      </c>
      <c r="G22" s="282" t="s">
        <v>264</v>
      </c>
      <c r="H22" s="284"/>
      <c r="I22" s="288"/>
      <c r="J22" s="288"/>
    </row>
    <row r="23" spans="2:10">
      <c r="B23" s="278" t="s">
        <v>262</v>
      </c>
      <c r="C23" s="278" t="str">
        <f>_xlfn.TEXTJOIN(",",TRUE,IF(LEFT(Regions!$C$3,1)&lt;&gt;"*",Regions!$C$3,""),IF(LEFT(Regions!$D$3,1)&lt;&gt;"*",Regions!$D$3,""))</f>
        <v>IE,National</v>
      </c>
      <c r="D23" s="278" t="str">
        <f>_xlfn.CONCAT("FT-",Commodities!D9)</f>
        <v>FT-INDLPG</v>
      </c>
      <c r="E23" s="278" t="str">
        <f>_xlfn.CONCAT("Fuel Tech - ",Commodities!E9)</f>
        <v>Fuel Tech - Liquified Petroleum Gas (IND)</v>
      </c>
      <c r="F23" s="287" t="s">
        <v>189</v>
      </c>
      <c r="G23" s="282" t="s">
        <v>264</v>
      </c>
      <c r="H23" s="284"/>
      <c r="I23" s="288"/>
      <c r="J23" s="288"/>
    </row>
    <row r="24" spans="2:10">
      <c r="B24" s="278" t="s">
        <v>262</v>
      </c>
      <c r="C24" s="278" t="str">
        <f>_xlfn.TEXTJOIN(",",TRUE,IF(LEFT(Regions!$C$3,1)&lt;&gt;"*",Regions!$C$3,""),IF(LEFT(Regions!$D$3,1)&lt;&gt;"*",Regions!$D$3,""))</f>
        <v>IE,National</v>
      </c>
      <c r="D24" s="278" t="str">
        <f>_xlfn.CONCAT("FT-",Commodities!D10)</f>
        <v>FT-INDDST</v>
      </c>
      <c r="E24" s="278" t="str">
        <f>_xlfn.CONCAT("Fuel Tech - ",Commodities!E10)</f>
        <v>Fuel Tech - Diesel (IND)</v>
      </c>
      <c r="F24" s="287" t="s">
        <v>189</v>
      </c>
      <c r="G24" s="282" t="s">
        <v>264</v>
      </c>
      <c r="H24" s="284"/>
      <c r="I24" s="288"/>
      <c r="J24" s="288"/>
    </row>
    <row r="25" spans="2:10">
      <c r="B25" s="278" t="s">
        <v>262</v>
      </c>
      <c r="C25" s="278" t="str">
        <f>_xlfn.TEXTJOIN(",",TRUE,IF(LEFT(Regions!$C$3,1)&lt;&gt;"*",Regions!$C$3,""),IF(LEFT(Regions!$D$3,1)&lt;&gt;"*",Regions!$D$3,""))</f>
        <v>IE,National</v>
      </c>
      <c r="D25" s="278" t="str">
        <f>_xlfn.CONCAT("FT-",Commodities!D11)</f>
        <v>FT-INDCOK</v>
      </c>
      <c r="E25" s="278" t="str">
        <f>_xlfn.CONCAT("Fuel Tech - ",Commodities!E11)</f>
        <v>Fuel Tech - Petroleum Coke (IND)</v>
      </c>
      <c r="F25" s="287" t="s">
        <v>189</v>
      </c>
      <c r="G25" s="282" t="s">
        <v>264</v>
      </c>
      <c r="H25" s="284"/>
      <c r="I25" s="288"/>
      <c r="J25" s="288"/>
    </row>
    <row r="26" spans="2:10">
      <c r="B26" s="278" t="s">
        <v>262</v>
      </c>
      <c r="C26" s="278" t="str">
        <f>_xlfn.TEXTJOIN(",",TRUE,IF(LEFT(Regions!$C$3,1)&lt;&gt;"*",Regions!$C$3,""),IF(LEFT(Regions!$D$3,1)&lt;&gt;"*",Regions!$D$3,""))</f>
        <v>IE,National</v>
      </c>
      <c r="D26" s="278" t="str">
        <f>_xlfn.CONCAT("FT-",Commodities!D12)</f>
        <v>FT-INDGAS</v>
      </c>
      <c r="E26" s="278" t="str">
        <f>_xlfn.CONCAT("Fuel Tech - ",Commodities!E12)</f>
        <v>Fuel Tech - Natural Gas (IND)</v>
      </c>
      <c r="F26" s="287" t="s">
        <v>189</v>
      </c>
      <c r="G26" s="282" t="s">
        <v>264</v>
      </c>
      <c r="H26" s="284"/>
      <c r="I26" s="288"/>
      <c r="J26" s="288"/>
    </row>
    <row r="27" spans="2:10">
      <c r="B27" s="278" t="s">
        <v>262</v>
      </c>
      <c r="C27" s="278" t="str">
        <f>_xlfn.TEXTJOIN(",",TRUE,IF(LEFT(Regions!$C$3,1)&lt;&gt;"*",Regions!$C$3,""),IF(LEFT(Regions!$D$3,1)&lt;&gt;"*",Regions!$D$3,""))</f>
        <v>IE,National</v>
      </c>
      <c r="D27" s="278" t="str">
        <f>_xlfn.CONCAT("FT-",Commodities!D13)</f>
        <v>FT-INDELC</v>
      </c>
      <c r="E27" s="278" t="str">
        <f>_xlfn.CONCAT("Fuel Tech - ",Commodities!E13)</f>
        <v>Fuel Tech - Electricity (IND)</v>
      </c>
      <c r="F27" s="287" t="s">
        <v>189</v>
      </c>
      <c r="G27" s="282" t="s">
        <v>264</v>
      </c>
      <c r="H27" s="288" t="s">
        <v>261</v>
      </c>
      <c r="I27" s="288"/>
      <c r="J27" s="288"/>
    </row>
    <row r="28" spans="2:10">
      <c r="B28" s="278" t="s">
        <v>262</v>
      </c>
      <c r="C28" s="278" t="str">
        <f>_xlfn.TEXTJOIN(",",TRUE,IF(LEFT(Regions!$C$3,1)&lt;&gt;"*",Regions!$C$3,""),IF(LEFT(Regions!$D$3,1)&lt;&gt;"*",Regions!$D$3,""))</f>
        <v>IE,National</v>
      </c>
      <c r="D28" s="278" t="str">
        <f>_xlfn.CONCAT("FT-",Commodities!D14)</f>
        <v>FT-INDBGS</v>
      </c>
      <c r="E28" s="278" t="str">
        <f>_xlfn.CONCAT("Fuel Tech - ",Commodities!E14)</f>
        <v>Fuel Tech - Biogas (IND)</v>
      </c>
      <c r="F28" s="287" t="s">
        <v>189</v>
      </c>
      <c r="G28" s="282" t="s">
        <v>264</v>
      </c>
      <c r="H28" s="288"/>
      <c r="I28" s="288"/>
      <c r="J28" s="288"/>
    </row>
    <row r="29" spans="2:10">
      <c r="B29" s="278" t="s">
        <v>262</v>
      </c>
      <c r="C29" s="278" t="str">
        <f>_xlfn.TEXTJOIN(",",TRUE,IF(LEFT(Regions!$C$3,1)&lt;&gt;"*",Regions!$C$3,""),IF(LEFT(Regions!$D$3,1)&lt;&gt;"*",Regions!$D$3,""))</f>
        <v>IE,National</v>
      </c>
      <c r="D29" s="278" t="str">
        <f>_xlfn.CONCAT("FT-",Commodities!D15)</f>
        <v>FT-INDBRW</v>
      </c>
      <c r="E29" s="278" t="str">
        <f>_xlfn.CONCAT("Fuel Tech - ",Commodities!E15)</f>
        <v>Fuel Tech - Biomass and renewable waste (IND)</v>
      </c>
      <c r="F29" s="287" t="s">
        <v>189</v>
      </c>
      <c r="G29" s="282" t="s">
        <v>264</v>
      </c>
      <c r="H29" s="288"/>
      <c r="I29" s="288"/>
      <c r="J29" s="288"/>
    </row>
    <row r="30" spans="2:10">
      <c r="B30" s="278" t="s">
        <v>262</v>
      </c>
      <c r="C30" s="278" t="str">
        <f>_xlfn.TEXTJOIN(",",TRUE,IF(LEFT(Regions!$C$3,1)&lt;&gt;"*",Regions!$C$3,""),IF(LEFT(Regions!$D$3,1)&lt;&gt;"*",Regions!$D$3,""))</f>
        <v>IE,National</v>
      </c>
      <c r="D30" s="278" t="str">
        <f>_xlfn.CONCAT("FT-",Commodities!D16)</f>
        <v>FT-INDNRW</v>
      </c>
      <c r="E30" s="278" t="str">
        <f>_xlfn.CONCAT("Fuel Tech - ",Commodities!E16)</f>
        <v>Fuel Tech - Non-renewable waste (IND)</v>
      </c>
      <c r="F30" s="287" t="s">
        <v>189</v>
      </c>
      <c r="G30" s="282" t="s">
        <v>264</v>
      </c>
      <c r="H30" s="288"/>
      <c r="I30" s="288"/>
      <c r="J30" s="28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dimension ref="B2:H17"/>
  <sheetViews>
    <sheetView workbookViewId="0">
      <selection activeCell="D28" sqref="D28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296"/>
      <c r="D2" s="296"/>
      <c r="E2" s="296"/>
      <c r="F2" s="272" t="s">
        <v>270</v>
      </c>
      <c r="G2" s="296"/>
      <c r="H2" s="296"/>
    </row>
    <row r="3" spans="2:8" ht="15.75" thickBot="1">
      <c r="B3" s="274" t="s">
        <v>227</v>
      </c>
      <c r="C3" s="274" t="s">
        <v>254</v>
      </c>
      <c r="D3" s="274" t="s">
        <v>284</v>
      </c>
      <c r="E3" s="274" t="s">
        <v>271</v>
      </c>
      <c r="F3" s="274" t="s">
        <v>272</v>
      </c>
      <c r="G3" s="274" t="s">
        <v>273</v>
      </c>
      <c r="H3" s="274" t="s">
        <v>281</v>
      </c>
    </row>
    <row r="4" spans="2:8">
      <c r="B4" s="276" t="s">
        <v>282</v>
      </c>
      <c r="C4" s="276" t="s">
        <v>286</v>
      </c>
      <c r="D4" s="276" t="s">
        <v>285</v>
      </c>
      <c r="E4" s="276" t="s">
        <v>274</v>
      </c>
      <c r="F4" s="276" t="s">
        <v>275</v>
      </c>
      <c r="G4" s="276" t="s">
        <v>276</v>
      </c>
      <c r="H4" s="276" t="s">
        <v>277</v>
      </c>
    </row>
    <row r="5" spans="2:8">
      <c r="B5" s="276" t="s">
        <v>278</v>
      </c>
      <c r="C5" s="276"/>
      <c r="D5" s="276"/>
      <c r="E5" s="276"/>
      <c r="F5" s="276"/>
      <c r="G5" s="276"/>
      <c r="H5" s="276" t="s">
        <v>279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292" t="str">
        <f>Processes!D19</f>
        <v>FT-INDCOA</v>
      </c>
      <c r="D6" s="292" t="str">
        <f>Processes!E19</f>
        <v>Fuel Tech - Coal (IND)</v>
      </c>
      <c r="E6" s="293" t="s">
        <v>188</v>
      </c>
      <c r="F6" s="292" t="str">
        <f>Commodities!D5</f>
        <v>INDCOA</v>
      </c>
      <c r="G6" s="297">
        <v>1</v>
      </c>
      <c r="H6" s="297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292" t="str">
        <f>Processes!D20</f>
        <v>FT-INDPEA</v>
      </c>
      <c r="D7" s="292" t="str">
        <f>Processes!E20</f>
        <v xml:space="preserve">Fuel Tech - Peat (IND) </v>
      </c>
      <c r="E7" s="293" t="s">
        <v>190</v>
      </c>
      <c r="F7" s="292" t="str">
        <f>Commodities!D6</f>
        <v>INDPEA</v>
      </c>
      <c r="G7" s="297">
        <v>1</v>
      </c>
      <c r="H7" s="297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292" t="str">
        <f>Processes!D21</f>
        <v>FT-INDKER</v>
      </c>
      <c r="D8" s="292" t="str">
        <f>Processes!E21</f>
        <v>Fuel Tech - Kerosene (IND)</v>
      </c>
      <c r="E8" s="293" t="s">
        <v>191</v>
      </c>
      <c r="F8" s="292" t="str">
        <f>Commodities!D7</f>
        <v>INDKER</v>
      </c>
      <c r="G8" s="297">
        <v>1</v>
      </c>
      <c r="H8" s="297">
        <v>50</v>
      </c>
    </row>
    <row r="9" spans="2:8">
      <c r="B9" t="str">
        <f>_xlfn.TEXTJOIN(",",TRUE,IF(LEFT(Regions!$C$3,1)&lt;&gt;"*",Regions!$C$3,""),IF(LEFT(Regions!$D$3,1)&lt;&gt;"*",Regions!$D$3,""))</f>
        <v>IE,National</v>
      </c>
      <c r="C9" s="292" t="str">
        <f>Processes!D22</f>
        <v>FT-INDHFO</v>
      </c>
      <c r="D9" s="292" t="str">
        <f>Processes!E22</f>
        <v>Fuel Tech - Heavy Fuel Oil (IND)</v>
      </c>
      <c r="E9" s="293" t="s">
        <v>192</v>
      </c>
      <c r="F9" s="292" t="str">
        <f>Commodities!D8</f>
        <v>INDHFO</v>
      </c>
      <c r="G9" s="297">
        <v>1</v>
      </c>
      <c r="H9" s="297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292" t="str">
        <f>Processes!D23</f>
        <v>FT-INDLPG</v>
      </c>
      <c r="D10" s="292" t="str">
        <f>Processes!E23</f>
        <v>Fuel Tech - Liquified Petroleum Gas (IND)</v>
      </c>
      <c r="E10" s="293" t="s">
        <v>194</v>
      </c>
      <c r="F10" s="292" t="str">
        <f>Commodities!D9</f>
        <v>INDLPG</v>
      </c>
      <c r="G10" s="297">
        <v>1</v>
      </c>
      <c r="H10" s="297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292" t="str">
        <f>Processes!D24</f>
        <v>FT-INDDST</v>
      </c>
      <c r="D11" s="292" t="str">
        <f>Processes!E24</f>
        <v>Fuel Tech - Diesel (IND)</v>
      </c>
      <c r="E11" s="293" t="s">
        <v>193</v>
      </c>
      <c r="F11" s="292" t="str">
        <f>Commodities!D10</f>
        <v>INDDST</v>
      </c>
      <c r="G11" s="297">
        <v>1</v>
      </c>
      <c r="H11" s="297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292" t="str">
        <f>Processes!D25</f>
        <v>FT-INDCOK</v>
      </c>
      <c r="D12" s="292" t="str">
        <f>Processes!E25</f>
        <v>Fuel Tech - Petroleum Coke (IND)</v>
      </c>
      <c r="E12" s="293" t="s">
        <v>195</v>
      </c>
      <c r="F12" s="292" t="str">
        <f>Commodities!D11</f>
        <v>INDCOK</v>
      </c>
      <c r="G12" s="297">
        <v>1</v>
      </c>
      <c r="H12" s="297">
        <v>50</v>
      </c>
    </row>
    <row r="13" spans="2:8">
      <c r="B13" t="str">
        <f>_xlfn.TEXTJOIN(",",TRUE,IF(LEFT(Regions!$C$3,1)&lt;&gt;"*",Regions!$C$3,""),IF(LEFT(Regions!$D$3,1)&lt;&gt;"*",Regions!$D$3,""))</f>
        <v>IE,National</v>
      </c>
      <c r="C13" s="292" t="str">
        <f>Processes!D26</f>
        <v>FT-INDGAS</v>
      </c>
      <c r="D13" s="292" t="str">
        <f>Processes!E26</f>
        <v>Fuel Tech - Natural Gas (IND)</v>
      </c>
      <c r="E13" s="293" t="s">
        <v>196</v>
      </c>
      <c r="F13" s="292" t="str">
        <f>Commodities!D12</f>
        <v>INDGAS</v>
      </c>
      <c r="G13" s="297">
        <v>1</v>
      </c>
      <c r="H13" s="297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292" t="str">
        <f>Processes!D27</f>
        <v>FT-INDELC</v>
      </c>
      <c r="D14" s="292" t="str">
        <f>Processes!E27</f>
        <v>Fuel Tech - Electricity (IND)</v>
      </c>
      <c r="E14" s="293" t="s">
        <v>283</v>
      </c>
      <c r="F14" s="292" t="str">
        <f>Commodities!D13</f>
        <v>INDELC</v>
      </c>
      <c r="G14" s="297">
        <v>1</v>
      </c>
      <c r="H14" s="297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292" t="str">
        <f>Processes!D28</f>
        <v>FT-INDBGS</v>
      </c>
      <c r="D15" s="292" t="str">
        <f>Processes!E28</f>
        <v>Fuel Tech - Biogas (IND)</v>
      </c>
      <c r="E15" s="293" t="s">
        <v>280</v>
      </c>
      <c r="F15" s="292" t="str">
        <f>Commodities!D14</f>
        <v>INDBGS</v>
      </c>
      <c r="G15" s="297">
        <v>1</v>
      </c>
      <c r="H15" s="297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292" t="str">
        <f>Processes!D29</f>
        <v>FT-INDBRW</v>
      </c>
      <c r="D16" s="292" t="str">
        <f>Processes!E29</f>
        <v>Fuel Tech - Biomass and renewable waste (IND)</v>
      </c>
      <c r="E16" s="299" t="s">
        <v>287</v>
      </c>
      <c r="F16" s="292" t="str">
        <f>Commodities!D15</f>
        <v>INDBRW</v>
      </c>
      <c r="G16" s="297">
        <v>1</v>
      </c>
      <c r="H16" s="297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292" t="str">
        <f>Processes!D30</f>
        <v>FT-INDNRW</v>
      </c>
      <c r="D17" s="292" t="str">
        <f>Processes!E30</f>
        <v>Fuel Tech - Non-renewable waste (IND)</v>
      </c>
      <c r="E17" s="299" t="s">
        <v>197</v>
      </c>
      <c r="F17" s="292" t="str">
        <f>Commodities!D16</f>
        <v>INDNRW</v>
      </c>
      <c r="G17" s="297">
        <v>1</v>
      </c>
      <c r="H17" s="297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dimension ref="B2:Y102"/>
  <sheetViews>
    <sheetView tabSelected="1" zoomScaleNormal="100" workbookViewId="0">
      <selection activeCell="N8" sqref="N8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296"/>
      <c r="D2" s="296"/>
      <c r="E2" s="296"/>
      <c r="F2" s="272" t="s">
        <v>270</v>
      </c>
      <c r="G2" s="296"/>
      <c r="H2" s="296"/>
    </row>
    <row r="3" spans="2:25" ht="15.75" thickBot="1">
      <c r="B3" s="274" t="s">
        <v>227</v>
      </c>
      <c r="C3" s="274" t="s">
        <v>254</v>
      </c>
      <c r="D3" s="274" t="s">
        <v>284</v>
      </c>
      <c r="E3" s="274" t="s">
        <v>271</v>
      </c>
      <c r="F3" s="274" t="s">
        <v>272</v>
      </c>
      <c r="G3" s="274" t="s">
        <v>273</v>
      </c>
      <c r="H3" s="274" t="s">
        <v>281</v>
      </c>
      <c r="I3" s="274" t="s">
        <v>300</v>
      </c>
      <c r="J3" s="274" t="s">
        <v>301</v>
      </c>
    </row>
    <row r="4" spans="2:25">
      <c r="B4" s="276" t="s">
        <v>282</v>
      </c>
      <c r="C4" s="276" t="s">
        <v>286</v>
      </c>
      <c r="D4" s="276" t="s">
        <v>285</v>
      </c>
      <c r="E4" s="276" t="s">
        <v>274</v>
      </c>
      <c r="F4" s="276" t="s">
        <v>275</v>
      </c>
      <c r="G4" s="276" t="s">
        <v>276</v>
      </c>
      <c r="H4" s="276" t="s">
        <v>277</v>
      </c>
      <c r="I4" s="276" t="s">
        <v>298</v>
      </c>
      <c r="J4" s="276" t="s">
        <v>298</v>
      </c>
    </row>
    <row r="5" spans="2:25">
      <c r="B5" s="276" t="s">
        <v>278</v>
      </c>
      <c r="C5" s="276"/>
      <c r="D5" s="276"/>
      <c r="E5" s="276"/>
      <c r="F5" s="276"/>
      <c r="G5" s="276"/>
      <c r="H5" s="276" t="s">
        <v>279</v>
      </c>
      <c r="I5" s="276"/>
      <c r="J5" s="276" t="s">
        <v>299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292" t="str">
        <f>Processes!D5</f>
        <v>I-DMD-NEM</v>
      </c>
      <c r="D6" s="292" t="str">
        <f>Processes!E5</f>
        <v>Non-Energy Mining demand process</v>
      </c>
      <c r="E6" s="293"/>
      <c r="F6" s="292" t="str">
        <f>Commodities!D18</f>
        <v>INEM</v>
      </c>
      <c r="G6" s="297">
        <v>1</v>
      </c>
      <c r="H6" s="297">
        <v>50</v>
      </c>
      <c r="J6" s="297"/>
      <c r="M6" s="300"/>
      <c r="N6" s="300"/>
      <c r="O6" s="300"/>
      <c r="P6" s="300"/>
      <c r="Q6" s="300"/>
      <c r="R6" s="300"/>
      <c r="S6" s="300"/>
      <c r="T6" s="300"/>
      <c r="U6" s="300"/>
      <c r="V6" s="300"/>
      <c r="W6" s="300"/>
      <c r="X6" s="300"/>
      <c r="Y6" s="300"/>
    </row>
    <row r="7" spans="2:25">
      <c r="C7" s="292"/>
      <c r="D7" s="292"/>
      <c r="E7" s="293" t="str">
        <f>Commodities!$D$7</f>
        <v>INDKER</v>
      </c>
      <c r="F7" s="292"/>
      <c r="G7" s="297"/>
      <c r="H7" s="297"/>
      <c r="I7">
        <f>ROUNDUP('EB2018'!$P$32/'EB2018'!$AM$32,5)</f>
        <v>2.6269999999999998E-2</v>
      </c>
      <c r="J7" s="297">
        <v>5</v>
      </c>
      <c r="M7" s="300"/>
      <c r="N7" s="300"/>
      <c r="O7" s="300"/>
      <c r="P7" s="300"/>
      <c r="Q7" s="300"/>
      <c r="R7" s="300"/>
      <c r="S7" s="300"/>
      <c r="T7" s="300"/>
      <c r="U7" s="300"/>
      <c r="V7" s="300"/>
      <c r="W7" s="300"/>
      <c r="X7" s="300"/>
      <c r="Y7" s="300"/>
    </row>
    <row r="8" spans="2:25">
      <c r="C8" s="292"/>
      <c r="D8" s="292"/>
      <c r="E8" s="293" t="str">
        <f>Commodities!$D$8</f>
        <v>INDHFO</v>
      </c>
      <c r="F8" s="292"/>
      <c r="G8" s="297"/>
      <c r="H8" s="297"/>
      <c r="I8">
        <f>ROUNDUP('EB2018'!$R$32/'EB2018'!$AM$32,5)</f>
        <v>7.8499999999999993E-3</v>
      </c>
      <c r="J8" s="297">
        <v>5</v>
      </c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/>
      <c r="Y8" s="300"/>
    </row>
    <row r="9" spans="2:25">
      <c r="C9" s="292"/>
      <c r="D9" s="292"/>
      <c r="E9" s="293" t="str">
        <f>Commodities!$D$9</f>
        <v>INDLPG</v>
      </c>
      <c r="F9" s="292"/>
      <c r="G9" s="297"/>
      <c r="H9" s="297"/>
      <c r="I9">
        <f>ROUNDUP('EB2018'!$S$32/'EB2018'!$AM$32,5)</f>
        <v>1.9E-3</v>
      </c>
      <c r="J9" s="297">
        <v>5</v>
      </c>
      <c r="M9" s="300"/>
      <c r="N9" s="300"/>
      <c r="O9" s="300"/>
      <c r="P9" s="300"/>
      <c r="Q9" s="300"/>
      <c r="R9" s="300"/>
      <c r="S9" s="300"/>
      <c r="T9" s="300"/>
      <c r="U9" s="300"/>
      <c r="V9" s="300"/>
      <c r="W9" s="300"/>
      <c r="X9" s="300"/>
      <c r="Y9" s="300"/>
    </row>
    <row r="10" spans="2:25">
      <c r="C10" s="292"/>
      <c r="D10" s="292"/>
      <c r="E10" s="293" t="str">
        <f>Commodities!$D$10</f>
        <v>INDDST</v>
      </c>
      <c r="F10" s="292"/>
      <c r="G10" s="297"/>
      <c r="H10" s="297"/>
      <c r="I10">
        <f>ROUNDUP('EB2018'!$T$32/'EB2018'!$AM$32,5)</f>
        <v>0.25978000000000001</v>
      </c>
      <c r="J10" s="297">
        <v>5</v>
      </c>
      <c r="M10" s="300"/>
      <c r="N10" s="300"/>
      <c r="O10" s="300"/>
      <c r="P10" s="300"/>
      <c r="Q10" s="300"/>
      <c r="R10" s="300"/>
      <c r="S10" s="300"/>
      <c r="T10" s="300"/>
      <c r="U10" s="300"/>
      <c r="V10" s="300"/>
      <c r="W10" s="300"/>
      <c r="X10" s="300"/>
      <c r="Y10" s="300"/>
    </row>
    <row r="11" spans="2:25">
      <c r="C11" s="292"/>
      <c r="D11" s="292"/>
      <c r="E11" s="293" t="str">
        <f>Commodities!$D$12</f>
        <v>INDGAS</v>
      </c>
      <c r="F11" s="292"/>
      <c r="G11" s="297"/>
      <c r="H11" s="297"/>
      <c r="I11">
        <f>ROUNDUP('EB2018'!$Z$32/'EB2018'!$AM$32,5)</f>
        <v>0.11123999999999999</v>
      </c>
      <c r="J11" s="297">
        <v>5</v>
      </c>
      <c r="M11" s="300"/>
      <c r="N11" s="300"/>
      <c r="O11" s="300"/>
      <c r="P11" s="300"/>
      <c r="Q11" s="300"/>
      <c r="R11" s="300"/>
      <c r="S11" s="300"/>
      <c r="T11" s="300"/>
      <c r="U11" s="300"/>
      <c r="V11" s="300"/>
      <c r="W11" s="300"/>
      <c r="X11" s="300"/>
      <c r="Y11" s="300"/>
    </row>
    <row r="12" spans="2:25">
      <c r="B12" s="301"/>
      <c r="C12" s="294"/>
      <c r="D12" s="294"/>
      <c r="E12" s="295" t="str">
        <f>Commodities!$D$13</f>
        <v>INDELC</v>
      </c>
      <c r="F12" s="294"/>
      <c r="G12" s="298"/>
      <c r="H12" s="298"/>
      <c r="I12" s="301">
        <f>ROUNDUP('EB2018'!$AK$32/'EB2018'!$AM$32,5)</f>
        <v>0.59298999999999991</v>
      </c>
      <c r="J12" s="298">
        <v>5</v>
      </c>
      <c r="M12" s="300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300"/>
    </row>
    <row r="13" spans="2:25">
      <c r="B13" t="str">
        <f>_xlfn.TEXTJOIN(",",TRUE,IF(LEFT(Regions!$C$3,1)&lt;&gt;"*",Regions!$C$3,""),IF(LEFT(Regions!$D$3,1)&lt;&gt;"*",Regions!$D$3,""))</f>
        <v>IE,National</v>
      </c>
      <c r="C13" s="292" t="str">
        <f>Processes!D6</f>
        <v>I-DMD-FAB</v>
      </c>
      <c r="D13" s="292" t="str">
        <f>Processes!E6</f>
        <v>Food and beverages demand process</v>
      </c>
      <c r="E13" s="293" t="str">
        <f>Commodities!$D$5</f>
        <v>INDCOA</v>
      </c>
      <c r="F13" s="292" t="str">
        <f>Commodities!D19</f>
        <v>IFAB</v>
      </c>
      <c r="G13" s="297">
        <v>1</v>
      </c>
      <c r="H13" s="297">
        <v>50</v>
      </c>
      <c r="I13">
        <f>ROUNDUP('EB2018'!$C$33/'EB2018'!$AM$33,5)</f>
        <v>3.7500000000000006E-2</v>
      </c>
      <c r="J13" s="297">
        <v>5</v>
      </c>
    </row>
    <row r="14" spans="2:25">
      <c r="C14" s="292"/>
      <c r="D14" s="292"/>
      <c r="E14" s="293" t="str">
        <f>Commodities!$D$6</f>
        <v>INDPEA</v>
      </c>
      <c r="F14" s="292"/>
      <c r="G14" s="297"/>
      <c r="H14" s="297"/>
      <c r="I14">
        <f>ROUNDUP('EB2018'!$H$33/'EB2018'!$AM$33,5)</f>
        <v>1.6900000000000001E-3</v>
      </c>
      <c r="J14" s="297">
        <v>5</v>
      </c>
    </row>
    <row r="15" spans="2:25">
      <c r="C15" s="292"/>
      <c r="D15" s="292"/>
      <c r="E15" s="293" t="str">
        <f>Commodities!$D$7</f>
        <v>INDKER</v>
      </c>
      <c r="F15" s="292"/>
      <c r="G15" s="297"/>
      <c r="H15" s="297"/>
      <c r="I15">
        <f>ROUNDUP('EB2018'!$P$33/'EB2018'!$AM$33,5)</f>
        <v>0.11269999999999999</v>
      </c>
      <c r="J15" s="297">
        <v>5</v>
      </c>
      <c r="L15" s="300"/>
    </row>
    <row r="16" spans="2:25">
      <c r="C16" s="292"/>
      <c r="D16" s="292"/>
      <c r="E16" s="293" t="str">
        <f>Commodities!$D$8</f>
        <v>INDHFO</v>
      </c>
      <c r="F16" s="292"/>
      <c r="G16" s="297"/>
      <c r="H16" s="297"/>
      <c r="I16">
        <f>ROUNDUP('EB2018'!$R$33/'EB2018'!$AM$33,5)</f>
        <v>3.3670000000000005E-2</v>
      </c>
      <c r="J16" s="297">
        <v>5</v>
      </c>
    </row>
    <row r="17" spans="2:10">
      <c r="C17" s="292"/>
      <c r="D17" s="292"/>
      <c r="E17" s="293" t="str">
        <f>Commodities!$D$9</f>
        <v>INDLPG</v>
      </c>
      <c r="F17" s="292"/>
      <c r="G17" s="297"/>
      <c r="H17" s="297"/>
      <c r="I17">
        <f>ROUNDUP('EB2018'!$S$33/'EB2018'!$AM$33,5)</f>
        <v>7.306E-2</v>
      </c>
      <c r="J17" s="297">
        <v>5</v>
      </c>
    </row>
    <row r="18" spans="2:10">
      <c r="C18" s="292"/>
      <c r="D18" s="292"/>
      <c r="E18" s="293" t="str">
        <f>Commodities!$D$10</f>
        <v>INDDST</v>
      </c>
      <c r="F18" s="292"/>
      <c r="G18" s="297"/>
      <c r="H18" s="297"/>
      <c r="I18">
        <f>ROUNDUP('EB2018'!$T$33/'EB2018'!$AM$33,5)</f>
        <v>5.6940000000000004E-2</v>
      </c>
      <c r="J18" s="297">
        <v>5</v>
      </c>
    </row>
    <row r="19" spans="2:10">
      <c r="C19" s="292"/>
      <c r="D19" s="292"/>
      <c r="E19" s="293" t="str">
        <f>Commodities!$D$12</f>
        <v>INDGAS</v>
      </c>
      <c r="F19" s="292"/>
      <c r="G19" s="297"/>
      <c r="H19" s="297"/>
      <c r="I19">
        <f>ROUNDUP('EB2018'!$Z$33/'EB2018'!$AM$33,5)</f>
        <v>0.22541</v>
      </c>
      <c r="J19" s="297">
        <v>5</v>
      </c>
    </row>
    <row r="20" spans="2:10">
      <c r="C20" s="292"/>
      <c r="D20" s="292"/>
      <c r="E20" s="293" t="str">
        <f>Commodities!$D$13</f>
        <v>INDELC</v>
      </c>
      <c r="F20" s="292"/>
      <c r="G20" s="297"/>
      <c r="H20" s="297"/>
      <c r="I20">
        <f>ROUNDUP('EB2018'!$AK$33/'EB2018'!$AM$33,5)</f>
        <v>0.40627000000000002</v>
      </c>
      <c r="J20" s="297">
        <v>5</v>
      </c>
    </row>
    <row r="21" spans="2:10">
      <c r="C21" s="292"/>
      <c r="D21" s="292"/>
      <c r="E21" s="293" t="str">
        <f>Commodities!$D$14</f>
        <v>INDBGS</v>
      </c>
      <c r="F21" s="292"/>
      <c r="G21" s="297"/>
      <c r="H21" s="297"/>
      <c r="I21">
        <f>ROUNDUP('EB2018'!$AF$33/'EB2018'!$AM$33,5)</f>
        <v>4.5299999999999993E-3</v>
      </c>
      <c r="J21" s="297">
        <v>5</v>
      </c>
    </row>
    <row r="22" spans="2:10">
      <c r="B22" s="301"/>
      <c r="C22" s="294"/>
      <c r="D22" s="294"/>
      <c r="E22" s="295" t="str">
        <f>Commodities!$D$15</f>
        <v>INDBRW</v>
      </c>
      <c r="F22" s="294"/>
      <c r="G22" s="298"/>
      <c r="H22" s="298"/>
      <c r="I22" s="301">
        <f>ROUNDUP('EB2018'!$AD$33/'EB2018'!$AM$33,5)</f>
        <v>4.8290000000000007E-2</v>
      </c>
      <c r="J22" s="298">
        <v>5</v>
      </c>
    </row>
    <row r="23" spans="2:10">
      <c r="B23" t="str">
        <f>_xlfn.TEXTJOIN(",",TRUE,IF(LEFT(Regions!$C$3,1)&lt;&gt;"*",Regions!$C$3,""),IF(LEFT(Regions!$D$3,1)&lt;&gt;"*",Regions!$D$3,""))</f>
        <v>IE,National</v>
      </c>
      <c r="C23" s="292" t="str">
        <f>Processes!D7</f>
        <v>I-DMD-TAP</v>
      </c>
      <c r="D23" s="292" t="str">
        <f>Processes!E7</f>
        <v>Textiles and textile products demand process</v>
      </c>
      <c r="E23" s="293"/>
      <c r="F23" s="292" t="str">
        <f>Commodities!D20</f>
        <v>ITAP</v>
      </c>
      <c r="G23" s="297">
        <v>1</v>
      </c>
      <c r="H23" s="297">
        <v>50</v>
      </c>
      <c r="J23" s="297"/>
    </row>
    <row r="24" spans="2:10">
      <c r="C24" s="292"/>
      <c r="D24" s="292"/>
      <c r="E24" s="293" t="str">
        <f>Commodities!$D$7</f>
        <v>INDKER</v>
      </c>
      <c r="F24" s="292"/>
      <c r="G24" s="297"/>
      <c r="H24" s="297"/>
      <c r="I24">
        <f>ROUNDUP('EB2018'!$P$34/'EB2018'!$AM$34,5)</f>
        <v>7.8289999999999998E-2</v>
      </c>
      <c r="J24" s="297">
        <v>5</v>
      </c>
    </row>
    <row r="25" spans="2:10">
      <c r="C25" s="292"/>
      <c r="D25" s="292"/>
      <c r="E25" s="293" t="str">
        <f>Commodities!$D$8</f>
        <v>INDHFO</v>
      </c>
      <c r="F25" s="292"/>
      <c r="G25" s="297"/>
      <c r="H25" s="297"/>
      <c r="I25">
        <f>ROUNDUP('EB2018'!$R$34/'EB2018'!$AM$34,5)</f>
        <v>2.3390000000000001E-2</v>
      </c>
      <c r="J25" s="297">
        <v>5</v>
      </c>
    </row>
    <row r="26" spans="2:10">
      <c r="C26" s="292"/>
      <c r="D26" s="292"/>
      <c r="E26" s="293" t="str">
        <f>Commodities!$D$9</f>
        <v>INDLPG</v>
      </c>
      <c r="F26" s="292"/>
      <c r="G26" s="297"/>
      <c r="H26" s="297"/>
      <c r="I26">
        <f>ROUNDUP('EB2018'!$S$34/'EB2018'!$AM$34,5)</f>
        <v>3.5400000000000002E-3</v>
      </c>
      <c r="J26" s="297">
        <v>5</v>
      </c>
    </row>
    <row r="27" spans="2:10">
      <c r="C27" s="292"/>
      <c r="D27" s="292"/>
      <c r="E27" s="293" t="str">
        <f>Commodities!$D$10</f>
        <v>INDDST</v>
      </c>
      <c r="F27" s="292"/>
      <c r="G27" s="297"/>
      <c r="H27" s="297"/>
      <c r="I27">
        <f>ROUNDUP('EB2018'!$T$34/'EB2018'!$AM$34,5)</f>
        <v>5.4490000000000004E-2</v>
      </c>
      <c r="J27" s="297">
        <v>5</v>
      </c>
    </row>
    <row r="28" spans="2:10">
      <c r="C28" s="292"/>
      <c r="D28" s="292"/>
      <c r="E28" s="293" t="str">
        <f>Commodities!$D$12</f>
        <v>INDGAS</v>
      </c>
      <c r="F28" s="292"/>
      <c r="G28" s="297"/>
      <c r="H28" s="297"/>
      <c r="I28">
        <f>ROUNDUP('EB2018'!$Z$34/'EB2018'!$AM$34,5)</f>
        <v>7.7109999999999998E-2</v>
      </c>
      <c r="J28" s="297">
        <v>5</v>
      </c>
    </row>
    <row r="29" spans="2:10">
      <c r="B29" s="301"/>
      <c r="C29" s="294"/>
      <c r="D29" s="294"/>
      <c r="E29" s="295" t="str">
        <f>Commodities!$D$13</f>
        <v>INDELC</v>
      </c>
      <c r="F29" s="294"/>
      <c r="G29" s="298"/>
      <c r="H29" s="298"/>
      <c r="I29" s="301">
        <f>ROUNDUP('EB2018'!$AK$34/'EB2018'!$AM$34,5)</f>
        <v>0.76319999999999999</v>
      </c>
      <c r="J29" s="298">
        <v>5</v>
      </c>
    </row>
    <row r="30" spans="2:10">
      <c r="B30" t="str">
        <f>_xlfn.TEXTJOIN(",",TRUE,IF(LEFT(Regions!$C$3,1)&lt;&gt;"*",Regions!$C$3,""),IF(LEFT(Regions!$D$3,1)&lt;&gt;"*",Regions!$D$3,""))</f>
        <v>IE,National</v>
      </c>
      <c r="C30" s="292" t="str">
        <f>Processes!D8</f>
        <v>I-DMD-WAP</v>
      </c>
      <c r="D30" s="292" t="str">
        <f>Processes!E8</f>
        <v>Wood and wood products demand process</v>
      </c>
      <c r="E30" s="293"/>
      <c r="F30" s="292" t="str">
        <f>Commodities!D21</f>
        <v>IWAP</v>
      </c>
      <c r="G30" s="297">
        <v>1</v>
      </c>
      <c r="H30" s="297">
        <v>50</v>
      </c>
      <c r="J30" s="297"/>
    </row>
    <row r="31" spans="2:10">
      <c r="C31" s="292"/>
      <c r="D31" s="292"/>
      <c r="E31" s="293" t="str">
        <f>Commodities!$D$7</f>
        <v>INDKER</v>
      </c>
      <c r="F31" s="292"/>
      <c r="G31" s="297"/>
      <c r="H31" s="297"/>
      <c r="I31">
        <f>ROUNDUP('EB2018'!$P$35/'EB2018'!$AM$35,5)</f>
        <v>2.49E-3</v>
      </c>
      <c r="J31" s="297">
        <v>5</v>
      </c>
    </row>
    <row r="32" spans="2:10">
      <c r="C32" s="292"/>
      <c r="D32" s="292"/>
      <c r="E32" s="293" t="str">
        <f>Commodities!$D$8</f>
        <v>INDHFO</v>
      </c>
      <c r="F32" s="292"/>
      <c r="G32" s="297"/>
      <c r="H32" s="297"/>
      <c r="I32">
        <f>ROUNDUP('EB2018'!$R$35/'EB2018'!$AM$35,5)</f>
        <v>7.5000000000000002E-4</v>
      </c>
      <c r="J32" s="297">
        <v>5</v>
      </c>
    </row>
    <row r="33" spans="2:10">
      <c r="C33" s="292"/>
      <c r="D33" s="292"/>
      <c r="E33" s="293" t="str">
        <f>Commodities!$D$9</f>
        <v>INDLPG</v>
      </c>
      <c r="F33" s="292"/>
      <c r="G33" s="297"/>
      <c r="H33" s="297"/>
      <c r="I33">
        <f>ROUNDUP('EB2018'!$S$35/'EB2018'!$AM$35,5)</f>
        <v>1.67E-3</v>
      </c>
      <c r="J33" s="297">
        <v>5</v>
      </c>
    </row>
    <row r="34" spans="2:10">
      <c r="C34" s="292"/>
      <c r="D34" s="292"/>
      <c r="E34" s="293" t="str">
        <f>Commodities!$D$10</f>
        <v>INDDST</v>
      </c>
      <c r="F34" s="292"/>
      <c r="G34" s="297"/>
      <c r="H34" s="297"/>
      <c r="I34">
        <f>ROUNDUP('EB2018'!$T$35/'EB2018'!$AM$35,5)</f>
        <v>1.0449999999999999E-2</v>
      </c>
      <c r="J34" s="297">
        <v>5</v>
      </c>
    </row>
    <row r="35" spans="2:10">
      <c r="C35" s="292"/>
      <c r="D35" s="292"/>
      <c r="E35" s="293" t="str">
        <f>Commodities!$D$12</f>
        <v>INDGAS</v>
      </c>
      <c r="F35" s="292"/>
      <c r="G35" s="297"/>
      <c r="H35" s="297"/>
      <c r="I35">
        <f>ROUNDUP('EB2018'!$Z$35/'EB2018'!$AM$35,5)</f>
        <v>1.24E-2</v>
      </c>
      <c r="J35" s="297">
        <v>5</v>
      </c>
    </row>
    <row r="36" spans="2:10">
      <c r="C36" s="292"/>
      <c r="D36" s="292"/>
      <c r="E36" s="293" t="str">
        <f>Commodities!$D$13</f>
        <v>INDELC</v>
      </c>
      <c r="F36" s="292"/>
      <c r="G36" s="297"/>
      <c r="H36" s="297"/>
      <c r="I36">
        <f>ROUNDUP('EB2018'!$AK$35/'EB2018'!$AM$35,5)</f>
        <v>0.23107</v>
      </c>
      <c r="J36" s="297">
        <v>5</v>
      </c>
    </row>
    <row r="37" spans="2:10">
      <c r="B37" s="301"/>
      <c r="C37" s="294"/>
      <c r="D37" s="294"/>
      <c r="E37" s="295" t="str">
        <f>Commodities!$D$15</f>
        <v>INDBRW</v>
      </c>
      <c r="F37" s="294"/>
      <c r="G37" s="298"/>
      <c r="H37" s="298"/>
      <c r="I37" s="301">
        <f>ROUNDUP('EB2018'!$AD$35/'EB2018'!$AM$35,5)</f>
        <v>0.74120999999999992</v>
      </c>
      <c r="J37" s="298">
        <v>5</v>
      </c>
    </row>
    <row r="38" spans="2:10">
      <c r="B38" t="str">
        <f>_xlfn.TEXTJOIN(",",TRUE,IF(LEFT(Regions!$C$3,1)&lt;&gt;"*",Regions!$C$3,""),IF(LEFT(Regions!$D$3,1)&lt;&gt;"*",Regions!$D$3,""))</f>
        <v>IE,National</v>
      </c>
      <c r="C38" s="292" t="str">
        <f>Processes!D9</f>
        <v>I-DMD-PX4</v>
      </c>
      <c r="D38" s="292" t="str">
        <f>Processes!E9</f>
        <v>Pulp, paper, publishing and printing demand process</v>
      </c>
      <c r="E38" s="293"/>
      <c r="F38" s="292" t="str">
        <f>Commodities!D22</f>
        <v>IPX4</v>
      </c>
      <c r="G38" s="297">
        <v>1</v>
      </c>
      <c r="H38" s="297">
        <v>50</v>
      </c>
      <c r="J38" s="297"/>
    </row>
    <row r="39" spans="2:10">
      <c r="C39" s="292"/>
      <c r="D39" s="292"/>
      <c r="E39" s="293" t="str">
        <f>Commodities!$D$7</f>
        <v>INDKER</v>
      </c>
      <c r="F39" s="292"/>
      <c r="G39" s="297"/>
      <c r="H39" s="297"/>
      <c r="I39">
        <f>ROUNDUP('EB2018'!$P$36/'EB2018'!$AM$36,5)</f>
        <v>3.5310000000000001E-2</v>
      </c>
      <c r="J39" s="297">
        <v>5</v>
      </c>
    </row>
    <row r="40" spans="2:10">
      <c r="C40" s="292"/>
      <c r="D40" s="292"/>
      <c r="E40" s="293" t="str">
        <f>Commodities!$D$8</f>
        <v>INDHFO</v>
      </c>
      <c r="F40" s="292"/>
      <c r="G40" s="297"/>
      <c r="H40" s="297"/>
      <c r="I40">
        <f>ROUNDUP('EB2018'!$R$36/'EB2018'!$AM$36,5)</f>
        <v>1.055E-2</v>
      </c>
      <c r="J40" s="297">
        <v>5</v>
      </c>
    </row>
    <row r="41" spans="2:10">
      <c r="C41" s="292"/>
      <c r="D41" s="292"/>
      <c r="E41" s="293" t="str">
        <f>Commodities!$D$9</f>
        <v>INDLPG</v>
      </c>
      <c r="F41" s="292"/>
      <c r="G41" s="297"/>
      <c r="H41" s="297"/>
      <c r="I41">
        <f>ROUNDUP('EB2018'!$S$36/'EB2018'!$AM$36,5)</f>
        <v>9.7400000000000004E-3</v>
      </c>
      <c r="J41" s="297">
        <v>5</v>
      </c>
    </row>
    <row r="42" spans="2:10">
      <c r="C42" s="292"/>
      <c r="D42" s="292"/>
      <c r="E42" s="293" t="str">
        <f>Commodities!$D$10</f>
        <v>INDDST</v>
      </c>
      <c r="F42" s="292"/>
      <c r="G42" s="297"/>
      <c r="H42" s="297"/>
      <c r="I42">
        <f>ROUNDUP('EB2018'!$T$36/'EB2018'!$AM$36,5)</f>
        <v>4.6730000000000001E-2</v>
      </c>
      <c r="J42" s="297">
        <v>5</v>
      </c>
    </row>
    <row r="43" spans="2:10">
      <c r="C43" s="292"/>
      <c r="D43" s="292"/>
      <c r="E43" s="293" t="str">
        <f>Commodities!$D$12</f>
        <v>INDGAS</v>
      </c>
      <c r="F43" s="292"/>
      <c r="G43" s="297"/>
      <c r="H43" s="297"/>
      <c r="I43">
        <f>ROUNDUP('EB2018'!$Z$36/'EB2018'!$AM$36,5)</f>
        <v>0.12549000000000002</v>
      </c>
      <c r="J43" s="297">
        <v>5</v>
      </c>
    </row>
    <row r="44" spans="2:10">
      <c r="B44" s="301"/>
      <c r="C44" s="294"/>
      <c r="D44" s="294"/>
      <c r="E44" s="295" t="str">
        <f>Commodities!$D$13</f>
        <v>INDELC</v>
      </c>
      <c r="F44" s="294"/>
      <c r="G44" s="298"/>
      <c r="H44" s="298"/>
      <c r="I44" s="301">
        <f>ROUNDUP('EB2018'!$AK$36/'EB2018'!$AM$36,5)</f>
        <v>0.77218999999999993</v>
      </c>
      <c r="J44" s="298">
        <v>5</v>
      </c>
    </row>
    <row r="45" spans="2:10">
      <c r="B45" t="str">
        <f>_xlfn.TEXTJOIN(",",TRUE,IF(LEFT(Regions!$C$3,1)&lt;&gt;"*",Regions!$C$3,""),IF(LEFT(Regions!$D$3,1)&lt;&gt;"*",Regions!$D$3,""))</f>
        <v>IE,National</v>
      </c>
      <c r="C45" s="292" t="str">
        <f>Processes!D10</f>
        <v>I-DMD-CAF</v>
      </c>
      <c r="D45" s="292" t="str">
        <f>Processes!E10</f>
        <v>Chemicals and man-made fibres demand process</v>
      </c>
      <c r="E45" s="293"/>
      <c r="F45" s="292" t="str">
        <f>Commodities!D23</f>
        <v>ICAF</v>
      </c>
      <c r="G45" s="297">
        <v>1</v>
      </c>
      <c r="H45" s="297">
        <v>50</v>
      </c>
      <c r="J45" s="297"/>
    </row>
    <row r="46" spans="2:10">
      <c r="C46" s="292"/>
      <c r="D46" s="292"/>
      <c r="E46" s="293" t="str">
        <f>Commodities!$D$7</f>
        <v>INDKER</v>
      </c>
      <c r="F46" s="292"/>
      <c r="G46" s="297"/>
      <c r="H46" s="297"/>
      <c r="I46">
        <f>ROUNDUP('EB2018'!$P$37/'EB2018'!$AM$37,5)</f>
        <v>4.9400000000000006E-2</v>
      </c>
      <c r="J46" s="297">
        <v>5</v>
      </c>
    </row>
    <row r="47" spans="2:10">
      <c r="C47" s="292"/>
      <c r="D47" s="292"/>
      <c r="E47" s="293" t="str">
        <f>Commodities!$D$8</f>
        <v>INDHFO</v>
      </c>
      <c r="F47" s="292"/>
      <c r="G47" s="297"/>
      <c r="H47" s="297"/>
      <c r="I47">
        <f>ROUNDUP('EB2018'!$R$37/'EB2018'!$AM$37,5)</f>
        <v>1.4759999999999999E-2</v>
      </c>
      <c r="J47" s="297">
        <v>5</v>
      </c>
    </row>
    <row r="48" spans="2:10">
      <c r="C48" s="292"/>
      <c r="D48" s="292"/>
      <c r="E48" s="293" t="str">
        <f>Commodities!$D$9</f>
        <v>INDLPG</v>
      </c>
      <c r="F48" s="292"/>
      <c r="G48" s="297"/>
      <c r="H48" s="297"/>
      <c r="I48">
        <f>ROUNDUP('EB2018'!$S$37/'EB2018'!$AM$37,5)</f>
        <v>1.221E-2</v>
      </c>
      <c r="J48" s="297">
        <v>5</v>
      </c>
    </row>
    <row r="49" spans="2:10">
      <c r="C49" s="292"/>
      <c r="D49" s="292"/>
      <c r="E49" s="293" t="str">
        <f>Commodities!$D$10</f>
        <v>INDDST</v>
      </c>
      <c r="F49" s="292"/>
      <c r="G49" s="297"/>
      <c r="H49" s="297"/>
      <c r="I49">
        <f>ROUNDUP('EB2018'!$T$37/'EB2018'!$AM$37,5)</f>
        <v>2.9440000000000001E-2</v>
      </c>
      <c r="J49" s="297">
        <v>5</v>
      </c>
    </row>
    <row r="50" spans="2:10">
      <c r="C50" s="292"/>
      <c r="D50" s="292"/>
      <c r="E50" s="293" t="str">
        <f>Commodities!$D$12</f>
        <v>INDGAS</v>
      </c>
      <c r="F50" s="292"/>
      <c r="G50" s="297"/>
      <c r="H50" s="297"/>
      <c r="I50">
        <f>ROUNDUP('EB2018'!$Z$37/'EB2018'!$AM$37,5)</f>
        <v>0.25642999999999999</v>
      </c>
      <c r="J50" s="297">
        <v>5</v>
      </c>
    </row>
    <row r="51" spans="2:10">
      <c r="B51" s="301"/>
      <c r="C51" s="294"/>
      <c r="D51" s="294"/>
      <c r="E51" s="295" t="str">
        <f>Commodities!$D$13</f>
        <v>INDELC</v>
      </c>
      <c r="F51" s="294"/>
      <c r="G51" s="298"/>
      <c r="H51" s="298"/>
      <c r="I51" s="301">
        <f>ROUNDUP('EB2018'!$AK$37/'EB2018'!$AM$37,5)</f>
        <v>0.63778999999999997</v>
      </c>
      <c r="J51" s="298">
        <v>5</v>
      </c>
    </row>
    <row r="52" spans="2:10">
      <c r="B52" t="str">
        <f>_xlfn.TEXTJOIN(",",TRUE,IF(LEFT(Regions!$C$3,1)&lt;&gt;"*",Regions!$C$3,""),IF(LEFT(Regions!$D$3,1)&lt;&gt;"*",Regions!$D$3,""))</f>
        <v>IE,National</v>
      </c>
      <c r="C52" s="292" t="str">
        <f>Processes!D11</f>
        <v>I-DMD-RAP</v>
      </c>
      <c r="D52" s="292" t="str">
        <f>Processes!E11</f>
        <v>Rubber and plastic products demand process</v>
      </c>
      <c r="E52" s="293"/>
      <c r="F52" s="292" t="str">
        <f>Commodities!D24</f>
        <v>IRAP</v>
      </c>
      <c r="G52" s="297">
        <v>1</v>
      </c>
      <c r="H52" s="297">
        <v>50</v>
      </c>
      <c r="J52" s="297"/>
    </row>
    <row r="53" spans="2:10">
      <c r="C53" s="292"/>
      <c r="D53" s="292"/>
      <c r="E53" s="293" t="str">
        <f>Commodities!$D$7</f>
        <v>INDKER</v>
      </c>
      <c r="F53" s="292"/>
      <c r="G53" s="297"/>
      <c r="H53" s="297"/>
      <c r="I53">
        <f>ROUNDUP('EB2018'!$P$38/'EB2018'!$AM$38,5)</f>
        <v>1.5200000000000001E-3</v>
      </c>
      <c r="J53" s="297">
        <v>5</v>
      </c>
    </row>
    <row r="54" spans="2:10">
      <c r="C54" s="292"/>
      <c r="D54" s="292"/>
      <c r="E54" s="293" t="str">
        <f>Commodities!$D$8</f>
        <v>INDHFO</v>
      </c>
      <c r="F54" s="292"/>
      <c r="G54" s="297"/>
      <c r="H54" s="297"/>
      <c r="I54">
        <f>ROUNDUP('EB2018'!$R$38/'EB2018'!$AM$38,5)</f>
        <v>4.6000000000000001E-4</v>
      </c>
      <c r="J54" s="297">
        <v>5</v>
      </c>
    </row>
    <row r="55" spans="2:10">
      <c r="C55" s="292"/>
      <c r="D55" s="292"/>
      <c r="E55" s="293" t="str">
        <f>Commodities!$D$9</f>
        <v>INDLPG</v>
      </c>
      <c r="F55" s="292"/>
      <c r="G55" s="297"/>
      <c r="H55" s="297"/>
      <c r="I55">
        <f>ROUNDUP('EB2018'!$S$38/'EB2018'!$AM$38,5)</f>
        <v>0.11617999999999999</v>
      </c>
      <c r="J55" s="297">
        <v>5</v>
      </c>
    </row>
    <row r="56" spans="2:10">
      <c r="C56" s="292"/>
      <c r="D56" s="292"/>
      <c r="E56" s="293" t="str">
        <f>Commodities!$D$10</f>
        <v>INDDST</v>
      </c>
      <c r="F56" s="292"/>
      <c r="G56" s="297"/>
      <c r="H56" s="297"/>
      <c r="I56">
        <f>ROUNDUP('EB2018'!$T$38/'EB2018'!$AM$38,5)</f>
        <v>6.1630000000000004E-2</v>
      </c>
      <c r="J56" s="297">
        <v>5</v>
      </c>
    </row>
    <row r="57" spans="2:10">
      <c r="C57" s="292"/>
      <c r="D57" s="292"/>
      <c r="E57" s="293" t="str">
        <f>Commodities!$D$12</f>
        <v>INDGAS</v>
      </c>
      <c r="F57" s="292"/>
      <c r="G57" s="297"/>
      <c r="H57" s="297"/>
      <c r="I57">
        <f>ROUNDUP('EB2018'!$Z$38/'EB2018'!$AM$38,5)</f>
        <v>8.4620000000000001E-2</v>
      </c>
      <c r="J57" s="297">
        <v>5</v>
      </c>
    </row>
    <row r="58" spans="2:10">
      <c r="B58" s="301"/>
      <c r="C58" s="294"/>
      <c r="D58" s="294"/>
      <c r="E58" s="295" t="str">
        <f>Commodities!$D$13</f>
        <v>INDELC</v>
      </c>
      <c r="F58" s="294"/>
      <c r="G58" s="298"/>
      <c r="H58" s="298"/>
      <c r="I58" s="301">
        <f>ROUNDUP('EB2018'!$AK$38/'EB2018'!$AM$38,5)</f>
        <v>0.73563000000000001</v>
      </c>
      <c r="J58" s="298">
        <v>5</v>
      </c>
    </row>
    <row r="59" spans="2:10">
      <c r="B59" t="str">
        <f>_xlfn.TEXTJOIN(",",TRUE,IF(LEFT(Regions!$C$3,1)&lt;&gt;"*",Regions!$C$3,""),IF(LEFT(Regions!$D$3,1)&lt;&gt;"*",Regions!$D$3,""))</f>
        <v>IE,National</v>
      </c>
      <c r="C59" s="292" t="str">
        <f>Processes!D12</f>
        <v>I-DMD-ONM</v>
      </c>
      <c r="D59" s="292" t="str">
        <f>Processes!E12</f>
        <v>Other non-metallic mineral products demand process</v>
      </c>
      <c r="E59" s="293" t="str">
        <f>Commodities!$D$5</f>
        <v>INDCOA</v>
      </c>
      <c r="F59" s="292" t="str">
        <f>Commodities!D25</f>
        <v>IONM</v>
      </c>
      <c r="G59" s="297">
        <v>1</v>
      </c>
      <c r="H59" s="297">
        <v>50</v>
      </c>
      <c r="I59">
        <f>ROUNDUP('EB2018'!$C$39/'EB2018'!$AM$39,5)</f>
        <v>0.19079000000000002</v>
      </c>
      <c r="J59" s="297">
        <v>5</v>
      </c>
    </row>
    <row r="60" spans="2:10">
      <c r="C60" s="292"/>
      <c r="D60" s="292"/>
      <c r="E60" s="293" t="str">
        <f>Commodities!$D$7</f>
        <v>INDKER</v>
      </c>
      <c r="F60" s="292"/>
      <c r="G60" s="297"/>
      <c r="H60" s="297"/>
      <c r="I60">
        <f>ROUNDUP('EB2018'!$P$39/'EB2018'!$AM$39,5)</f>
        <v>1.967E-2</v>
      </c>
      <c r="J60" s="297">
        <v>5</v>
      </c>
    </row>
    <row r="61" spans="2:10">
      <c r="C61" s="292"/>
      <c r="D61" s="292"/>
      <c r="E61" s="293" t="str">
        <f>Commodities!$D$8</f>
        <v>INDHFO</v>
      </c>
      <c r="F61" s="292"/>
      <c r="G61" s="297"/>
      <c r="H61" s="297"/>
      <c r="I61">
        <f>ROUNDUP('EB2018'!$R$39/'EB2018'!$AM$39,5)</f>
        <v>5.8799999999999998E-3</v>
      </c>
      <c r="J61" s="297">
        <v>5</v>
      </c>
    </row>
    <row r="62" spans="2:10">
      <c r="C62" s="292"/>
      <c r="D62" s="292"/>
      <c r="E62" s="293" t="str">
        <f>Commodities!$D$9</f>
        <v>INDLPG</v>
      </c>
      <c r="F62" s="292"/>
      <c r="G62" s="297"/>
      <c r="H62" s="297"/>
      <c r="I62">
        <f>ROUNDUP('EB2018'!$S$39/'EB2018'!$AM$39,5)</f>
        <v>3.2300000000000002E-3</v>
      </c>
      <c r="J62" s="297">
        <v>5</v>
      </c>
    </row>
    <row r="63" spans="2:10">
      <c r="C63" s="292"/>
      <c r="D63" s="292"/>
      <c r="E63" s="293" t="str">
        <f>Commodities!$D$10</f>
        <v>INDDST</v>
      </c>
      <c r="F63" s="292"/>
      <c r="G63" s="297"/>
      <c r="H63" s="297"/>
      <c r="I63">
        <f>ROUNDUP('EB2018'!$T$39/'EB2018'!$AM$39,5)</f>
        <v>8.5809999999999997E-2</v>
      </c>
      <c r="J63" s="297">
        <v>5</v>
      </c>
    </row>
    <row r="64" spans="2:10">
      <c r="C64" s="292"/>
      <c r="D64" s="292"/>
      <c r="E64" s="293" t="str">
        <f>Commodities!$D$11</f>
        <v>INDCOK</v>
      </c>
      <c r="F64" s="292"/>
      <c r="G64" s="297"/>
      <c r="H64" s="297"/>
      <c r="I64">
        <f>ROUNDUP('EB2018'!$U$39/'EB2018'!$AM$39,5)</f>
        <v>0.30974000000000002</v>
      </c>
      <c r="J64" s="297">
        <v>5</v>
      </c>
    </row>
    <row r="65" spans="2:10">
      <c r="C65" s="292"/>
      <c r="D65" s="292"/>
      <c r="E65" s="293" t="str">
        <f>Commodities!$D$12</f>
        <v>INDGAS</v>
      </c>
      <c r="F65" s="292"/>
      <c r="G65" s="297"/>
      <c r="H65" s="297"/>
      <c r="I65">
        <f>ROUNDUP('EB2018'!$Z$39/'EB2018'!$AM$39,5)</f>
        <v>3.9310000000000005E-2</v>
      </c>
      <c r="J65" s="297">
        <v>5</v>
      </c>
    </row>
    <row r="66" spans="2:10">
      <c r="C66" s="292"/>
      <c r="D66" s="292"/>
      <c r="E66" s="293" t="str">
        <f>Commodities!$D$13</f>
        <v>INDELC</v>
      </c>
      <c r="F66" s="292"/>
      <c r="G66" s="297"/>
      <c r="H66" s="297"/>
      <c r="I66">
        <f>ROUNDUP('EB2018'!$AK$39/'EB2018'!$AM$39,5)</f>
        <v>0.13129000000000002</v>
      </c>
      <c r="J66" s="297">
        <v>5</v>
      </c>
    </row>
    <row r="67" spans="2:10">
      <c r="C67" s="292"/>
      <c r="D67" s="292"/>
      <c r="E67" s="293" t="str">
        <f>Commodities!$D$15</f>
        <v>INDBRW</v>
      </c>
      <c r="F67" s="292"/>
      <c r="G67" s="297"/>
      <c r="H67" s="297"/>
      <c r="I67">
        <f>ROUNDUP('EB2018'!$AD$39/'EB2018'!$AM$39,5)</f>
        <v>9.4210000000000002E-2</v>
      </c>
      <c r="J67" s="297">
        <v>5</v>
      </c>
    </row>
    <row r="68" spans="2:10">
      <c r="B68" s="301"/>
      <c r="C68" s="294"/>
      <c r="D68" s="294"/>
      <c r="E68" s="295" t="str">
        <f>Commodities!$D$16</f>
        <v>INDNRW</v>
      </c>
      <c r="F68" s="294"/>
      <c r="G68" s="298"/>
      <c r="H68" s="298"/>
      <c r="I68" s="301">
        <f>ROUNDUP('EB2018'!$AJ$39/'EB2018'!$AM$39,5)</f>
        <v>0.12011999999999999</v>
      </c>
      <c r="J68" s="298">
        <v>5</v>
      </c>
    </row>
    <row r="69" spans="2:10">
      <c r="B69" t="str">
        <f>_xlfn.TEXTJOIN(",",TRUE,IF(LEFT(Regions!$C$3,1)&lt;&gt;"*",Regions!$C$3,""),IF(LEFT(Regions!$D$3,1)&lt;&gt;"*",Regions!$D$3,""))</f>
        <v>IE,National</v>
      </c>
      <c r="C69" s="292" t="str">
        <f>Processes!D13</f>
        <v>I-DMD-MAP</v>
      </c>
      <c r="D69" s="292" t="str">
        <f>Processes!E13</f>
        <v>Basic metals and fabricated metal products demand process</v>
      </c>
      <c r="E69" s="293"/>
      <c r="F69" s="292" t="str">
        <f>Commodities!D26</f>
        <v>IMAP</v>
      </c>
      <c r="G69" s="297">
        <v>1</v>
      </c>
      <c r="H69" s="297">
        <v>50</v>
      </c>
      <c r="J69" s="297"/>
    </row>
    <row r="70" spans="2:10">
      <c r="C70" s="292"/>
      <c r="D70" s="292"/>
      <c r="E70" s="293" t="str">
        <f>Commodities!$D$8</f>
        <v>INDHFO</v>
      </c>
      <c r="F70" s="292"/>
      <c r="G70" s="297"/>
      <c r="H70" s="297"/>
      <c r="I70">
        <f>ROUNDUP('EB2018'!$R$40/'EB2018'!$AM$40,5)</f>
        <v>2.0700000000000002E-3</v>
      </c>
      <c r="J70" s="297">
        <v>5</v>
      </c>
    </row>
    <row r="71" spans="2:10">
      <c r="C71" s="292"/>
      <c r="D71" s="292"/>
      <c r="E71" s="293" t="str">
        <f>Commodities!$D$9</f>
        <v>INDLPG</v>
      </c>
      <c r="F71" s="292"/>
      <c r="G71" s="297"/>
      <c r="H71" s="297"/>
      <c r="I71">
        <f>ROUNDUP('EB2018'!$S$40/'EB2018'!$AM$40,5)</f>
        <v>1.197E-2</v>
      </c>
      <c r="J71" s="297">
        <v>5</v>
      </c>
    </row>
    <row r="72" spans="2:10">
      <c r="C72" s="292"/>
      <c r="D72" s="292"/>
      <c r="E72" s="293" t="str">
        <f>Commodities!$D$10</f>
        <v>INDDST</v>
      </c>
      <c r="F72" s="292"/>
      <c r="G72" s="297"/>
      <c r="H72" s="297"/>
      <c r="I72">
        <f>ROUNDUP('EB2018'!$T$40/'EB2018'!$AM$40,5)</f>
        <v>4.96E-3</v>
      </c>
      <c r="J72" s="297">
        <v>5</v>
      </c>
    </row>
    <row r="73" spans="2:10">
      <c r="C73" s="292"/>
      <c r="D73" s="292"/>
      <c r="E73" s="293" t="str">
        <f>Commodities!$D$12</f>
        <v>INDGAS</v>
      </c>
      <c r="F73" s="292"/>
      <c r="G73" s="297"/>
      <c r="H73" s="297"/>
      <c r="I73">
        <f>ROUNDUP('EB2018'!$Z$40/'EB2018'!$AM$40,5)</f>
        <v>0.84009999999999996</v>
      </c>
      <c r="J73" s="297">
        <v>5</v>
      </c>
    </row>
    <row r="74" spans="2:10">
      <c r="B74" s="301"/>
      <c r="C74" s="294"/>
      <c r="D74" s="294"/>
      <c r="E74" s="295" t="str">
        <f>Commodities!$D$13</f>
        <v>INDELC</v>
      </c>
      <c r="F74" s="294"/>
      <c r="G74" s="298"/>
      <c r="H74" s="298"/>
      <c r="I74" s="301">
        <f>ROUNDUP('EB2018'!$AK$40/'EB2018'!$AM$40,5)</f>
        <v>0.14092000000000002</v>
      </c>
      <c r="J74" s="298">
        <v>5</v>
      </c>
    </row>
    <row r="75" spans="2:10">
      <c r="B75" t="str">
        <f>_xlfn.TEXTJOIN(",",TRUE,IF(LEFT(Regions!$C$3,1)&lt;&gt;"*",Regions!$C$3,""),IF(LEFT(Regions!$D$3,1)&lt;&gt;"*",Regions!$D$3,""))</f>
        <v>IE,National</v>
      </c>
      <c r="C75" s="292" t="str">
        <f>Processes!D14</f>
        <v>I-DMD-MAE</v>
      </c>
      <c r="D75" s="292" t="str">
        <f>Processes!E14</f>
        <v>Machinery and equipment n.e.c. demand process</v>
      </c>
      <c r="E75" s="293"/>
      <c r="F75" s="292" t="str">
        <f>Commodities!D27</f>
        <v>IMAE</v>
      </c>
      <c r="G75" s="297">
        <v>1</v>
      </c>
      <c r="H75" s="297">
        <v>50</v>
      </c>
      <c r="J75" s="297"/>
    </row>
    <row r="76" spans="2:10">
      <c r="C76" s="292"/>
      <c r="D76" s="292"/>
      <c r="E76" s="293" t="str">
        <f>Commodities!$D$7</f>
        <v>INDKER</v>
      </c>
      <c r="F76" s="292"/>
      <c r="G76" s="297"/>
      <c r="H76" s="297"/>
      <c r="I76">
        <f>ROUNDUP('EB2018'!$P$41/'EB2018'!$AM$41,5)</f>
        <v>1.306E-2</v>
      </c>
      <c r="J76" s="297">
        <v>5</v>
      </c>
    </row>
    <row r="77" spans="2:10">
      <c r="C77" s="292"/>
      <c r="D77" s="292"/>
      <c r="E77" s="293" t="str">
        <f>Commodities!$D$8</f>
        <v>INDHFO</v>
      </c>
      <c r="F77" s="292"/>
      <c r="G77" s="297"/>
      <c r="H77" s="297"/>
      <c r="I77">
        <f>ROUNDUP('EB2018'!$R$41/'EB2018'!$AM$41,5)</f>
        <v>3.9099999999999994E-3</v>
      </c>
      <c r="J77" s="297">
        <v>5</v>
      </c>
    </row>
    <row r="78" spans="2:10">
      <c r="C78" s="292"/>
      <c r="D78" s="292"/>
      <c r="E78" s="293" t="str">
        <f>Commodities!$D$9</f>
        <v>INDLPG</v>
      </c>
      <c r="F78" s="292"/>
      <c r="G78" s="297"/>
      <c r="H78" s="297"/>
      <c r="I78">
        <f>ROUNDUP('EB2018'!$S$41/'EB2018'!$AM$41,5)</f>
        <v>6.9449999999999998E-2</v>
      </c>
      <c r="J78" s="297">
        <v>5</v>
      </c>
    </row>
    <row r="79" spans="2:10">
      <c r="C79" s="292"/>
      <c r="D79" s="292"/>
      <c r="E79" s="293" t="str">
        <f>Commodities!$D$10</f>
        <v>INDDST</v>
      </c>
      <c r="F79" s="292"/>
      <c r="G79" s="297"/>
      <c r="H79" s="297"/>
      <c r="I79">
        <f>ROUNDUP('EB2018'!$T$41/'EB2018'!$AM$41,5)</f>
        <v>7.4529999999999999E-2</v>
      </c>
      <c r="J79" s="297">
        <v>5</v>
      </c>
    </row>
    <row r="80" spans="2:10">
      <c r="C80" s="292"/>
      <c r="D80" s="292"/>
      <c r="E80" s="293" t="str">
        <f>Commodities!$D$12</f>
        <v>INDGAS</v>
      </c>
      <c r="F80" s="292"/>
      <c r="G80" s="297"/>
      <c r="H80" s="297"/>
      <c r="I80">
        <f>ROUNDUP('EB2018'!$Z$41/'EB2018'!$AM$41,5)</f>
        <v>0.16364000000000001</v>
      </c>
      <c r="J80" s="297">
        <v>5</v>
      </c>
    </row>
    <row r="81" spans="2:10">
      <c r="B81" s="301"/>
      <c r="C81" s="294"/>
      <c r="D81" s="294"/>
      <c r="E81" s="295" t="str">
        <f>Commodities!$D$13</f>
        <v>INDELC</v>
      </c>
      <c r="F81" s="294"/>
      <c r="G81" s="298"/>
      <c r="H81" s="298"/>
      <c r="I81" s="301">
        <f>ROUNDUP('EB2018'!$AK$41/'EB2018'!$AM$41,5)</f>
        <v>0.67544999999999999</v>
      </c>
      <c r="J81" s="298">
        <v>5</v>
      </c>
    </row>
    <row r="82" spans="2:10">
      <c r="B82" t="str">
        <f>_xlfn.TEXTJOIN(",",TRUE,IF(LEFT(Regions!$C$3,1)&lt;&gt;"*",Regions!$C$3,""),IF(LEFT(Regions!$D$3,1)&lt;&gt;"*",Regions!$D$3,""))</f>
        <v>IE,National</v>
      </c>
      <c r="C82" s="292" t="str">
        <f>Processes!D15</f>
        <v>I-DMD-EOE</v>
      </c>
      <c r="D82" s="292" t="str">
        <f>Processes!E15</f>
        <v>Electrical and optical equipment demand process</v>
      </c>
      <c r="E82" s="293"/>
      <c r="F82" s="292" t="str">
        <f>Commodities!D28</f>
        <v>IEOE</v>
      </c>
      <c r="G82" s="297">
        <v>1</v>
      </c>
      <c r="H82" s="297">
        <v>50</v>
      </c>
      <c r="J82" s="297"/>
    </row>
    <row r="83" spans="2:10">
      <c r="C83" s="292"/>
      <c r="D83" s="292"/>
      <c r="E83" s="293" t="str">
        <f>Commodities!$D$7</f>
        <v>INDKER</v>
      </c>
      <c r="F83" s="292"/>
      <c r="G83" s="297"/>
      <c r="H83" s="297"/>
      <c r="I83">
        <f>ROUNDUP('EB2018'!$P$42/'EB2018'!$AM$42,5)</f>
        <v>1.32E-3</v>
      </c>
      <c r="J83" s="297">
        <v>5</v>
      </c>
    </row>
    <row r="84" spans="2:10">
      <c r="C84" s="292"/>
      <c r="D84" s="292"/>
      <c r="E84" s="293" t="str">
        <f>Commodities!$D$8</f>
        <v>INDHFO</v>
      </c>
      <c r="F84" s="292"/>
      <c r="G84" s="297"/>
      <c r="H84" s="297"/>
      <c r="I84">
        <f>ROUNDUP('EB2018'!$R$42/'EB2018'!$AM$42,5)</f>
        <v>4.0000000000000002E-4</v>
      </c>
      <c r="J84" s="297">
        <v>5</v>
      </c>
    </row>
    <row r="85" spans="2:10">
      <c r="C85" s="292"/>
      <c r="D85" s="292"/>
      <c r="E85" s="293" t="str">
        <f>Commodities!$D$9</f>
        <v>INDLPG</v>
      </c>
      <c r="F85" s="292"/>
      <c r="G85" s="297"/>
      <c r="H85" s="297"/>
      <c r="I85">
        <f>ROUNDUP('EB2018'!$S$42/'EB2018'!$AM$42,5)</f>
        <v>0.14901</v>
      </c>
      <c r="J85" s="297">
        <v>5</v>
      </c>
    </row>
    <row r="86" spans="2:10">
      <c r="C86" s="292"/>
      <c r="D86" s="292"/>
      <c r="E86" s="293" t="str">
        <f>Commodities!$D$10</f>
        <v>INDDST</v>
      </c>
      <c r="F86" s="292"/>
      <c r="G86" s="297"/>
      <c r="H86" s="297"/>
      <c r="I86">
        <f>ROUNDUP('EB2018'!$T$42/'EB2018'!$AM$42,5)</f>
        <v>5.2099999999999994E-3</v>
      </c>
      <c r="J86" s="297">
        <v>5</v>
      </c>
    </row>
    <row r="87" spans="2:10">
      <c r="C87" s="292"/>
      <c r="D87" s="292"/>
      <c r="E87" s="293" t="str">
        <f>Commodities!$D$12</f>
        <v>INDGAS</v>
      </c>
      <c r="F87" s="292"/>
      <c r="G87" s="297"/>
      <c r="H87" s="297"/>
      <c r="I87">
        <f>ROUNDUP('EB2018'!$Z$42/'EB2018'!$AM$42,5)</f>
        <v>0.44691000000000003</v>
      </c>
      <c r="J87" s="297">
        <v>5</v>
      </c>
    </row>
    <row r="88" spans="2:10">
      <c r="B88" s="301"/>
      <c r="C88" s="294"/>
      <c r="D88" s="294"/>
      <c r="E88" s="295" t="str">
        <f>Commodities!$D$13</f>
        <v>INDELC</v>
      </c>
      <c r="F88" s="294"/>
      <c r="G88" s="298"/>
      <c r="H88" s="298"/>
      <c r="I88" s="301">
        <f>ROUNDUP('EB2018'!$AK$42/'EB2018'!$AM$42,5)</f>
        <v>0.39718999999999999</v>
      </c>
      <c r="J88" s="298">
        <v>5</v>
      </c>
    </row>
    <row r="89" spans="2:10">
      <c r="B89" t="str">
        <f>_xlfn.TEXTJOIN(",",TRUE,IF(LEFT(Regions!$C$3,1)&lt;&gt;"*",Regions!$C$3,""),IF(LEFT(Regions!$D$3,1)&lt;&gt;"*",Regions!$D$3,""))</f>
        <v>IE,National</v>
      </c>
      <c r="C89" s="292" t="str">
        <f>Processes!D16</f>
        <v>I-DMD-TEM</v>
      </c>
      <c r="D89" s="292" t="str">
        <f>Processes!E16</f>
        <v>Transport equipment manufacture demand process</v>
      </c>
      <c r="E89" s="293"/>
      <c r="F89" s="292" t="str">
        <f>Commodities!D29</f>
        <v>ITEM</v>
      </c>
      <c r="G89" s="297">
        <v>1</v>
      </c>
      <c r="H89" s="297">
        <v>50</v>
      </c>
      <c r="J89" s="297"/>
    </row>
    <row r="90" spans="2:10">
      <c r="C90" s="292"/>
      <c r="D90" s="292"/>
      <c r="E90" s="293" t="str">
        <f>Commodities!$D$7</f>
        <v>INDKER</v>
      </c>
      <c r="F90" s="292"/>
      <c r="G90" s="297"/>
      <c r="H90" s="297"/>
      <c r="I90">
        <f>ROUNDUP('EB2018'!$P$43/'EB2018'!$AM$43,5)</f>
        <v>1.1169999999999999E-2</v>
      </c>
      <c r="J90" s="297">
        <v>5</v>
      </c>
    </row>
    <row r="91" spans="2:10">
      <c r="C91" s="292"/>
      <c r="D91" s="292"/>
      <c r="E91" s="293" t="str">
        <f>Commodities!$D$8</f>
        <v>INDHFO</v>
      </c>
      <c r="F91" s="292"/>
      <c r="G91" s="297"/>
      <c r="H91" s="297"/>
      <c r="I91">
        <f>ROUNDUP('EB2018'!$R$43/'EB2018'!$AM$43,5)</f>
        <v>3.3400000000000001E-3</v>
      </c>
      <c r="J91" s="297">
        <v>5</v>
      </c>
    </row>
    <row r="92" spans="2:10">
      <c r="C92" s="292"/>
      <c r="D92" s="292"/>
      <c r="E92" s="293" t="str">
        <f>Commodities!$D$9</f>
        <v>INDLPG</v>
      </c>
      <c r="F92" s="292"/>
      <c r="G92" s="297"/>
      <c r="H92" s="297"/>
      <c r="I92">
        <f>ROUNDUP('EB2018'!$S$43/'EB2018'!$AM$43,5)</f>
        <v>0.14630000000000001</v>
      </c>
      <c r="J92" s="297">
        <v>5</v>
      </c>
    </row>
    <row r="93" spans="2:10">
      <c r="C93" s="292"/>
      <c r="D93" s="292"/>
      <c r="E93" s="293" t="str">
        <f>Commodities!$D$10</f>
        <v>INDDST</v>
      </c>
      <c r="F93" s="292"/>
      <c r="G93" s="297"/>
      <c r="H93" s="297"/>
      <c r="I93">
        <f>ROUNDUP('EB2018'!$T$43/'EB2018'!$AM$43,5)</f>
        <v>2.598E-2</v>
      </c>
      <c r="J93" s="297">
        <v>5</v>
      </c>
    </row>
    <row r="94" spans="2:10">
      <c r="C94" s="292"/>
      <c r="D94" s="292"/>
      <c r="E94" s="293" t="str">
        <f>Commodities!$D$12</f>
        <v>INDGAS</v>
      </c>
      <c r="F94" s="292"/>
      <c r="G94" s="297"/>
      <c r="H94" s="297"/>
      <c r="I94">
        <f>ROUNDUP('EB2018'!$Z$43/'EB2018'!$AM$43,5)</f>
        <v>7.3539999999999994E-2</v>
      </c>
      <c r="J94" s="297">
        <v>5</v>
      </c>
    </row>
    <row r="95" spans="2:10">
      <c r="B95" s="301"/>
      <c r="C95" s="294"/>
      <c r="D95" s="294"/>
      <c r="E95" s="295" t="str">
        <f>Commodities!$D$13</f>
        <v>INDELC</v>
      </c>
      <c r="F95" s="294"/>
      <c r="G95" s="298"/>
      <c r="H95" s="298"/>
      <c r="I95" s="301">
        <f>ROUNDUP('EB2018'!$AK$43/'EB2018'!$AM$43,5)</f>
        <v>0.73969999999999991</v>
      </c>
      <c r="J95" s="298">
        <v>5</v>
      </c>
    </row>
    <row r="96" spans="2:10">
      <c r="B96" t="str">
        <f>_xlfn.TEXTJOIN(",",TRUE,IF(LEFT(Regions!$C$3,1)&lt;&gt;"*",Regions!$C$3,""),IF(LEFT(Regions!$D$3,1)&lt;&gt;"*",Regions!$D$3,""))</f>
        <v>IE,National</v>
      </c>
      <c r="C96" s="292" t="str">
        <f>Processes!D17</f>
        <v>I-DMD-OMA</v>
      </c>
      <c r="D96" s="292" t="str">
        <f>Processes!E17</f>
        <v>Other manufacturing demand process</v>
      </c>
      <c r="E96" s="293"/>
      <c r="F96" s="292" t="str">
        <f>Commodities!D30</f>
        <v>IOMA</v>
      </c>
      <c r="G96" s="297">
        <v>1</v>
      </c>
      <c r="H96" s="297">
        <v>50</v>
      </c>
      <c r="J96" s="297"/>
    </row>
    <row r="97" spans="2:10">
      <c r="E97" s="293" t="str">
        <f>Commodities!$D$7</f>
        <v>INDKER</v>
      </c>
      <c r="I97">
        <f>ROUNDUP('EB2018'!$P$44/'EB2018'!$AM$44,5)</f>
        <v>7.2259999999999991E-2</v>
      </c>
      <c r="J97">
        <v>5</v>
      </c>
    </row>
    <row r="98" spans="2:10">
      <c r="E98" s="293" t="str">
        <f>Commodities!$D$8</f>
        <v>INDHFO</v>
      </c>
      <c r="I98">
        <f>ROUNDUP('EB2018'!$R$44/'EB2018'!$AM$44,5)</f>
        <v>2.1589999999999998E-2</v>
      </c>
      <c r="J98">
        <v>5</v>
      </c>
    </row>
    <row r="99" spans="2:10">
      <c r="E99" s="293" t="str">
        <f>Commodities!$D$9</f>
        <v>INDLPG</v>
      </c>
      <c r="I99">
        <f>ROUNDUP('EB2018'!$S$44/'EB2018'!$AM$44,5)</f>
        <v>0.16167000000000001</v>
      </c>
      <c r="J99">
        <v>5</v>
      </c>
    </row>
    <row r="100" spans="2:10">
      <c r="E100" s="293" t="str">
        <f>Commodities!$D$10</f>
        <v>INDDST</v>
      </c>
      <c r="I100">
        <f>ROUNDUP('EB2018'!$T$44/'EB2018'!$AM$44,5)</f>
        <v>3.3420000000000005E-2</v>
      </c>
      <c r="J100">
        <v>5</v>
      </c>
    </row>
    <row r="101" spans="2:10">
      <c r="E101" s="293" t="str">
        <f>Commodities!$D$12</f>
        <v>INDGAS</v>
      </c>
      <c r="I101">
        <f>ROUNDUP('EB2018'!$Z$44/'EB2018'!$AM$44,5)</f>
        <v>4.9580000000000006E-2</v>
      </c>
      <c r="J101">
        <v>5</v>
      </c>
    </row>
    <row r="102" spans="2:10">
      <c r="B102" s="301"/>
      <c r="C102" s="301"/>
      <c r="D102" s="301"/>
      <c r="E102" s="295" t="str">
        <f>Commodities!$D$13</f>
        <v>INDELC</v>
      </c>
      <c r="F102" s="301"/>
      <c r="G102" s="301"/>
      <c r="H102" s="301"/>
      <c r="I102" s="301">
        <f>ROUNDUP('EB2018'!$AK$44/'EB2018'!$AM$44,5)</f>
        <v>0.66149999999999998</v>
      </c>
      <c r="J102" s="30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dimension ref="B2:D16"/>
  <sheetViews>
    <sheetView workbookViewId="0">
      <selection activeCell="F28" sqref="F28"/>
    </sheetView>
  </sheetViews>
  <sheetFormatPr defaultRowHeight="15"/>
  <cols>
    <col min="2" max="2" width="26.42578125" bestFit="1" customWidth="1"/>
  </cols>
  <sheetData>
    <row r="2" spans="2:4">
      <c r="B2" s="272" t="s">
        <v>267</v>
      </c>
      <c r="C2" s="272"/>
      <c r="D2" s="273"/>
    </row>
    <row r="3" spans="2:4" ht="15.75" thickBot="1">
      <c r="B3" s="274" t="s">
        <v>180</v>
      </c>
      <c r="C3" s="274" t="str">
        <f>Regions!C3</f>
        <v>IE</v>
      </c>
      <c r="D3" s="274" t="str">
        <f>Regions!D3</f>
        <v>National</v>
      </c>
    </row>
    <row r="4" spans="2:4">
      <c r="B4" t="str">
        <f>Commodities!D18</f>
        <v>INEM</v>
      </c>
      <c r="C4" s="289">
        <f>'EB2018'!AM32*Conversions!$B$2</f>
        <v>4.7617412851702294</v>
      </c>
      <c r="D4" s="289">
        <f>C4</f>
        <v>4.7617412851702294</v>
      </c>
    </row>
    <row r="5" spans="2:4">
      <c r="B5" t="str">
        <f>Commodities!D19</f>
        <v>IFAB</v>
      </c>
      <c r="C5" s="289">
        <f>'EB2018'!AM33*Conversions!$B$2</f>
        <v>20.661699714695462</v>
      </c>
      <c r="D5" s="289">
        <f t="shared" ref="D5:D16" si="0">C5</f>
        <v>20.661699714695462</v>
      </c>
    </row>
    <row r="6" spans="2:4">
      <c r="B6" t="str">
        <f>Commodities!D20</f>
        <v>ITAP</v>
      </c>
      <c r="C6" s="289">
        <f>'EB2018'!AM34*Conversions!$B$2</f>
        <v>0.65822316983235751</v>
      </c>
      <c r="D6" s="289">
        <f t="shared" si="0"/>
        <v>0.65822316983235751</v>
      </c>
    </row>
    <row r="7" spans="2:4">
      <c r="B7" t="str">
        <f>Commodities!D21</f>
        <v>IWAP</v>
      </c>
      <c r="C7" s="289">
        <f>'EB2018'!AM35*Conversions!$B$2</f>
        <v>7.3077483223982531</v>
      </c>
      <c r="D7" s="289">
        <f t="shared" si="0"/>
        <v>7.3077483223982531</v>
      </c>
    </row>
    <row r="8" spans="2:4">
      <c r="B8" t="str">
        <f>Commodities!D22</f>
        <v>IPX4</v>
      </c>
      <c r="C8" s="289">
        <f>'EB2018'!AM36*Conversions!$B$2</f>
        <v>1.1934457933722169</v>
      </c>
      <c r="D8" s="289">
        <f t="shared" si="0"/>
        <v>1.1934457933722169</v>
      </c>
    </row>
    <row r="9" spans="2:4">
      <c r="B9" t="str">
        <f>Commodities!D23</f>
        <v>ICAF</v>
      </c>
      <c r="C9" s="289">
        <f>'EB2018'!AM37*Conversions!$B$2</f>
        <v>11.214260833166902</v>
      </c>
      <c r="D9" s="289">
        <f t="shared" si="0"/>
        <v>11.214260833166902</v>
      </c>
    </row>
    <row r="10" spans="2:4">
      <c r="B10" t="str">
        <f>Commodities!D24</f>
        <v>IRAP</v>
      </c>
      <c r="C10" s="289">
        <f>'EB2018'!AM38*Conversions!$B$2</f>
        <v>2.3508165311810147</v>
      </c>
      <c r="D10" s="289">
        <f t="shared" si="0"/>
        <v>2.3508165311810147</v>
      </c>
    </row>
    <row r="11" spans="2:4">
      <c r="B11" t="str">
        <f>Commodities!D25</f>
        <v>IONM</v>
      </c>
      <c r="C11" s="289">
        <f>'EB2018'!AM39*Conversions!$B$2</f>
        <v>19.074264568601439</v>
      </c>
      <c r="D11" s="289">
        <f t="shared" si="0"/>
        <v>19.074264568601439</v>
      </c>
    </row>
    <row r="12" spans="2:4">
      <c r="B12" t="str">
        <f>Commodities!D26</f>
        <v>IMAP</v>
      </c>
      <c r="C12" s="289">
        <f>'EB2018'!AM40*Conversions!$B$2</f>
        <v>21.045951751894258</v>
      </c>
      <c r="D12" s="289">
        <f t="shared" si="0"/>
        <v>21.045951751894258</v>
      </c>
    </row>
    <row r="13" spans="2:4">
      <c r="B13" t="str">
        <f>Commodities!D27</f>
        <v>IMAE</v>
      </c>
      <c r="C13" s="289">
        <f>'EB2018'!AM41*Conversions!$B$2</f>
        <v>1.4853180662205616</v>
      </c>
      <c r="D13" s="289">
        <f t="shared" si="0"/>
        <v>1.4853180662205616</v>
      </c>
    </row>
    <row r="14" spans="2:4">
      <c r="B14" t="str">
        <f>Commodities!D28</f>
        <v>IEOE</v>
      </c>
      <c r="C14" s="289">
        <f>'EB2018'!AM42*Conversions!$B$2</f>
        <v>12.237664953062803</v>
      </c>
      <c r="D14" s="289">
        <f t="shared" si="0"/>
        <v>12.237664953062803</v>
      </c>
    </row>
    <row r="15" spans="2:4">
      <c r="B15" t="str">
        <f>Commodities!D29</f>
        <v>ITEM</v>
      </c>
      <c r="C15" s="289">
        <f>'EB2018'!AM43*Conversions!$B$2</f>
        <v>1.1240687136841196</v>
      </c>
      <c r="D15" s="289">
        <f t="shared" si="0"/>
        <v>1.1240687136841196</v>
      </c>
    </row>
    <row r="16" spans="2:4">
      <c r="B16" t="str">
        <f>Commodities!D30</f>
        <v>IOMA</v>
      </c>
      <c r="C16" s="289">
        <f>'EB2018'!AM44*Conversions!$B$2</f>
        <v>5.7797245324108548</v>
      </c>
      <c r="D16" s="289">
        <f t="shared" si="0"/>
        <v>5.7797245324108548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291"/>
  </cols>
  <sheetData>
    <row r="1" spans="1:3">
      <c r="A1" s="290" t="s">
        <v>268</v>
      </c>
    </row>
    <row r="2" spans="1:3">
      <c r="A2" s="291" t="s">
        <v>269</v>
      </c>
      <c r="B2" s="291">
        <v>4.1868000000000002E-2</v>
      </c>
      <c r="C2" s="29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2021-01-18T03:41:43Z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124630153179168</vt:r8>
  </property>
</Properties>
</file>