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"/>
    </mc:Choice>
  </mc:AlternateContent>
  <xr:revisionPtr revIDLastSave="0" documentId="13_ncr:1_{12DB8402-91E0-4764-80CE-5AFA8F869189}" xr6:coauthVersionLast="46" xr6:coauthVersionMax="46" xr10:uidLastSave="{00000000-0000-0000-0000-000000000000}"/>
  <bookViews>
    <workbookView xWindow="4320" yWindow="4215" windowWidth="21600" windowHeight="11385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6" i="61" l="1"/>
  <c r="J105" i="61"/>
  <c r="J104" i="61"/>
  <c r="J103" i="61"/>
  <c r="G103" i="61"/>
  <c r="F7" i="53"/>
  <c r="C17" i="49"/>
  <c r="F9" i="62"/>
  <c r="F8" i="62"/>
  <c r="F7" i="62"/>
  <c r="E6" i="49" s="1"/>
  <c r="F12" i="75"/>
  <c r="N6" i="79"/>
  <c r="N11" i="79"/>
  <c r="N10" i="79"/>
  <c r="N9" i="79"/>
  <c r="N8" i="79"/>
  <c r="N7" i="79"/>
  <c r="N7" i="57"/>
  <c r="N15" i="57"/>
  <c r="N14" i="57"/>
  <c r="N13" i="57"/>
  <c r="N12" i="57"/>
  <c r="N11" i="57"/>
  <c r="N10" i="57"/>
  <c r="N9" i="57"/>
  <c r="N8" i="57"/>
  <c r="N6" i="57"/>
  <c r="S7" i="53"/>
  <c r="S6" i="53"/>
  <c r="S21" i="53"/>
  <c r="S20" i="53"/>
  <c r="S19" i="53"/>
  <c r="S18" i="53"/>
  <c r="S17" i="53"/>
  <c r="S16" i="53"/>
  <c r="S15" i="53"/>
  <c r="S14" i="53"/>
  <c r="S13" i="53"/>
  <c r="S45" i="53"/>
  <c r="S44" i="53"/>
  <c r="S43" i="53"/>
  <c r="S42" i="53"/>
  <c r="S41" i="53"/>
  <c r="S40" i="53"/>
  <c r="S39" i="53"/>
  <c r="S38" i="53"/>
  <c r="S37" i="53"/>
  <c r="S36" i="53"/>
  <c r="S35" i="53"/>
  <c r="S34" i="53"/>
  <c r="S33" i="53"/>
  <c r="S32" i="53"/>
  <c r="S31" i="53"/>
  <c r="S30" i="53"/>
  <c r="S29" i="53"/>
  <c r="S28" i="53"/>
  <c r="S27" i="53"/>
  <c r="S26" i="53"/>
  <c r="S25" i="53"/>
  <c r="S24" i="53"/>
  <c r="S23" i="53"/>
  <c r="S22" i="53"/>
  <c r="S12" i="53"/>
  <c r="S11" i="53"/>
  <c r="S10" i="53"/>
  <c r="S9" i="53"/>
  <c r="S8" i="53"/>
  <c r="N7" i="11"/>
  <c r="N6" i="11"/>
  <c r="N7" i="82"/>
  <c r="N10" i="80"/>
  <c r="N9" i="80"/>
  <c r="N8" i="80"/>
  <c r="N7" i="80"/>
  <c r="N6" i="80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C12" i="49"/>
  <c r="B12" i="49"/>
  <c r="C43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65" i="63"/>
  <c r="D21" i="62" s="1"/>
  <c r="K19" i="62" s="1"/>
  <c r="B21" i="62" s="1"/>
  <c r="J18" i="62"/>
  <c r="J17" i="62"/>
  <c r="C63" i="63"/>
  <c r="D19" i="62" s="1"/>
  <c r="K17" i="62" s="1"/>
  <c r="B19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D35" i="29" l="1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F5" i="82" s="1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0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4" i="63"/>
  <c r="C62" i="63"/>
  <c r="C61" i="63"/>
  <c r="C60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D5" i="62" l="1"/>
  <c r="K5" i="62" s="1"/>
  <c r="D23" i="29"/>
  <c r="D15" i="62"/>
  <c r="K13" i="62" s="1"/>
  <c r="B15" i="62" s="1"/>
  <c r="D31" i="29"/>
  <c r="D6" i="62"/>
  <c r="K6" i="62" s="1"/>
  <c r="B6" i="62" s="1"/>
  <c r="D24" i="29"/>
  <c r="D16" i="62"/>
  <c r="K14" i="62" s="1"/>
  <c r="B16" i="62" s="1"/>
  <c r="D32" i="29"/>
  <c r="D17" i="62"/>
  <c r="K15" i="62" s="1"/>
  <c r="B17" i="62" s="1"/>
  <c r="D33" i="29"/>
  <c r="D7" i="62"/>
  <c r="K7" i="62" s="1"/>
  <c r="B7" i="62" s="1"/>
  <c r="D25" i="29"/>
  <c r="D18" i="62"/>
  <c r="K16" i="62" s="1"/>
  <c r="B18" i="62" s="1"/>
  <c r="D34" i="29"/>
  <c r="D11" i="62"/>
  <c r="K9" i="62" s="1"/>
  <c r="B11" i="62" s="1"/>
  <c r="D27" i="29"/>
  <c r="D20" i="62"/>
  <c r="K18" i="62" s="1"/>
  <c r="B20" i="62" s="1"/>
  <c r="D36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B7" i="82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M15" i="57" s="1"/>
  <c r="B82" i="61"/>
  <c r="W14" i="57" s="1"/>
  <c r="AB14" i="57" s="1"/>
  <c r="M14" i="57" s="1"/>
  <c r="B81" i="61"/>
  <c r="W13" i="57" s="1"/>
  <c r="AB13" i="57" s="1"/>
  <c r="M13" i="57" s="1"/>
  <c r="B80" i="61"/>
  <c r="W12" i="57" s="1"/>
  <c r="AB12" i="57" s="1"/>
  <c r="M12" i="57" s="1"/>
  <c r="B78" i="61"/>
  <c r="W10" i="57" s="1"/>
  <c r="AB10" i="57" s="1"/>
  <c r="M10" i="57" s="1"/>
  <c r="B77" i="61"/>
  <c r="W9" i="57" s="1"/>
  <c r="AB9" i="57" s="1"/>
  <c r="M9" i="57" s="1"/>
  <c r="B76" i="61"/>
  <c r="W8" i="57" s="1"/>
  <c r="AB8" i="57" s="1"/>
  <c r="M8" i="57" s="1"/>
  <c r="B75" i="61"/>
  <c r="W7" i="57" s="1"/>
  <c r="AB7" i="57" s="1"/>
  <c r="M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AB7" i="80" l="1"/>
  <c r="O7" i="80"/>
  <c r="C7" i="80" s="1"/>
  <c r="L6" i="80"/>
  <c r="B6" i="80" s="1"/>
  <c r="AB8" i="80"/>
  <c r="O8" i="80"/>
  <c r="C8" i="80" s="1"/>
  <c r="AB9" i="80"/>
  <c r="O9" i="80"/>
  <c r="C9" i="80" s="1"/>
  <c r="AB10" i="80"/>
  <c r="O10" i="80"/>
  <c r="C10" i="80" s="1"/>
  <c r="J9" i="79"/>
  <c r="H9" i="79"/>
  <c r="H7" i="79"/>
  <c r="J7" i="79"/>
  <c r="J10" i="79"/>
  <c r="H10" i="79"/>
  <c r="J8" i="79"/>
  <c r="H8" i="79"/>
  <c r="J11" i="79"/>
  <c r="H11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P7" i="79"/>
  <c r="D7" i="79"/>
  <c r="E7" i="79"/>
  <c r="AA15" i="57"/>
  <c r="E15" i="57" s="1"/>
  <c r="O15" i="57"/>
  <c r="C15" i="57" s="1"/>
  <c r="B7" i="79"/>
  <c r="Q10" i="79"/>
  <c r="R10" i="79"/>
  <c r="L10" i="79"/>
  <c r="E10" i="79"/>
  <c r="O10" i="79"/>
  <c r="C10" i="79" s="1"/>
  <c r="P10" i="79"/>
  <c r="AA12" i="57"/>
  <c r="E12" i="57" s="1"/>
  <c r="O12" i="57"/>
  <c r="C12" i="57" s="1"/>
  <c r="L11" i="57"/>
  <c r="B11" i="57" s="1"/>
  <c r="Q9" i="79"/>
  <c r="D9" i="79"/>
  <c r="L9" i="79"/>
  <c r="R9" i="79"/>
  <c r="O9" i="79"/>
  <c r="C9" i="79" s="1"/>
  <c r="P9" i="79"/>
  <c r="B9" i="79"/>
  <c r="E9" i="79"/>
  <c r="L8" i="79"/>
  <c r="Q8" i="79"/>
  <c r="R8" i="79"/>
  <c r="B8" i="79"/>
  <c r="O8" i="79"/>
  <c r="C8" i="79" s="1"/>
  <c r="E8" i="79"/>
  <c r="D8" i="79"/>
  <c r="P8" i="79"/>
  <c r="AA8" i="57"/>
  <c r="E8" i="57" s="1"/>
  <c r="O8" i="57"/>
  <c r="C8" i="57" s="1"/>
  <c r="AA9" i="57"/>
  <c r="B9" i="57" s="1"/>
  <c r="O9" i="57"/>
  <c r="C9" i="57" s="1"/>
  <c r="R11" i="79"/>
  <c r="L11" i="79"/>
  <c r="Q11" i="79"/>
  <c r="P11" i="79"/>
  <c r="D11" i="79"/>
  <c r="O11" i="79"/>
  <c r="C11" i="79" s="1"/>
  <c r="B11" i="79"/>
  <c r="AA10" i="57"/>
  <c r="B10" i="57" s="1"/>
  <c r="O10" i="57"/>
  <c r="C10" i="57" s="1"/>
  <c r="E11" i="79"/>
  <c r="R6" i="79"/>
  <c r="Q6" i="79"/>
  <c r="O6" i="79"/>
  <c r="C6" i="79" s="1"/>
  <c r="P6" i="79"/>
  <c r="D6" i="79"/>
  <c r="L6" i="57"/>
  <c r="B6" i="57" s="1"/>
  <c r="AA7" i="57"/>
  <c r="E7" i="57" s="1"/>
  <c r="O7" i="57"/>
  <c r="C7" i="57" s="1"/>
  <c r="M105" i="61"/>
  <c r="N105" i="61" s="1"/>
  <c r="N107" i="61" s="1"/>
  <c r="N108" i="61" s="1"/>
  <c r="G82" i="61"/>
  <c r="G80" i="61"/>
  <c r="E8" i="80" l="1"/>
  <c r="M8" i="80"/>
  <c r="B8" i="80"/>
  <c r="E9" i="80"/>
  <c r="M9" i="80"/>
  <c r="B9" i="80"/>
  <c r="E10" i="80"/>
  <c r="M10" i="80"/>
  <c r="B10" i="80"/>
  <c r="E7" i="80"/>
  <c r="B19" i="80" s="1"/>
  <c r="M7" i="80"/>
  <c r="B7" i="80"/>
  <c r="B6" i="79"/>
  <c r="B12" i="57"/>
  <c r="E10" i="57"/>
  <c r="B14" i="57"/>
  <c r="B15" i="57"/>
  <c r="E9" i="57"/>
  <c r="B8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AD10" i="53"/>
  <c r="R10" i="53" s="1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R32" i="53" s="1"/>
  <c r="AD12" i="53"/>
  <c r="R12" i="53" s="1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K30" i="53" l="1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55" i="75"/>
  <c r="F93" i="61" s="1"/>
  <c r="I93" i="61" s="1"/>
  <c r="G93" i="61" s="1"/>
  <c r="G8" i="79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86" i="75" l="1"/>
  <c r="K35" i="61"/>
  <c r="L13" i="53"/>
  <c r="J55" i="61"/>
  <c r="K55" i="61" s="1"/>
  <c r="L33" i="53"/>
  <c r="F97" i="61"/>
  <c r="K80" i="61"/>
  <c r="F84" i="61"/>
  <c r="G96" i="61"/>
  <c r="G11" i="79" s="1"/>
  <c r="J93" i="61"/>
  <c r="F8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F69" i="61" s="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AD8" i="79" l="1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R29" i="53" s="1"/>
  <c r="AD9" i="53"/>
  <c r="R9" i="53" s="1"/>
  <c r="D61" i="61"/>
  <c r="AD39" i="53" s="1"/>
  <c r="R39" i="53" s="1"/>
  <c r="AD19" i="53"/>
  <c r="R19" i="53" s="1"/>
  <c r="D60" i="61"/>
  <c r="AD38" i="53" s="1"/>
  <c r="R38" i="53" s="1"/>
  <c r="AD18" i="53"/>
  <c r="R18" i="53" s="1"/>
  <c r="F18" i="53" l="1"/>
  <c r="F38" i="53"/>
  <c r="F19" i="53"/>
  <c r="F9" i="53"/>
  <c r="F39" i="53"/>
  <c r="F29" i="53"/>
  <c r="D18" i="53"/>
  <c r="D38" i="53"/>
  <c r="D29" i="53"/>
  <c r="D9" i="53"/>
  <c r="Q18" i="53"/>
  <c r="V18" i="53"/>
  <c r="B18" i="53"/>
  <c r="W18" i="53"/>
  <c r="K18" i="53"/>
  <c r="U18" i="53"/>
  <c r="V9" i="53"/>
  <c r="K9" i="53"/>
  <c r="B9" i="53"/>
  <c r="U9" i="53"/>
  <c r="Q9" i="53"/>
  <c r="W9" i="53"/>
  <c r="K19" i="53"/>
  <c r="W19" i="53"/>
  <c r="V19" i="53"/>
  <c r="U19" i="53"/>
  <c r="B19" i="53"/>
  <c r="Q19" i="53"/>
  <c r="Q39" i="53"/>
  <c r="W39" i="53"/>
  <c r="V39" i="53"/>
  <c r="U39" i="53"/>
  <c r="B39" i="53"/>
  <c r="B38" i="53"/>
  <c r="Q38" i="53"/>
  <c r="W38" i="53"/>
  <c r="V38" i="53"/>
  <c r="U38" i="53"/>
  <c r="B29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R45" i="53" s="1"/>
  <c r="D66" i="61"/>
  <c r="AD44" i="53" s="1"/>
  <c r="R44" i="53" s="1"/>
  <c r="C67" i="61"/>
  <c r="AC45" i="53" s="1"/>
  <c r="C47" i="61"/>
  <c r="C66" i="61"/>
  <c r="F44" i="53" l="1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R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G25" i="53" l="1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R24" i="53" s="1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AC27" i="53" l="1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R16" i="53" s="1"/>
  <c r="AD13" i="53"/>
  <c r="R13" i="53" s="1"/>
  <c r="E49" i="61"/>
  <c r="AE27" i="53" s="1"/>
  <c r="D49" i="61"/>
  <c r="AD27" i="53" s="1"/>
  <c r="R27" i="53" s="1"/>
  <c r="D29" i="61"/>
  <c r="AD7" i="53" s="1"/>
  <c r="E44" i="61"/>
  <c r="AE22" i="53" s="1"/>
  <c r="D44" i="61"/>
  <c r="AD22" i="53" s="1"/>
  <c r="R22" i="53" s="1"/>
  <c r="E43" i="61"/>
  <c r="AE21" i="53" s="1"/>
  <c r="D43" i="61"/>
  <c r="AD21" i="53" s="1"/>
  <c r="R21" i="53" s="1"/>
  <c r="E42" i="61"/>
  <c r="AE20" i="53" s="1"/>
  <c r="D42" i="61"/>
  <c r="AD20" i="53" s="1"/>
  <c r="R20" i="53" s="1"/>
  <c r="E39" i="61"/>
  <c r="AE17" i="53" s="1"/>
  <c r="D39" i="61"/>
  <c r="AD17" i="53" s="1"/>
  <c r="R17" i="53" s="1"/>
  <c r="E38" i="61"/>
  <c r="AE16" i="53" s="1"/>
  <c r="E36" i="61"/>
  <c r="AE14" i="53" s="1"/>
  <c r="E30" i="61"/>
  <c r="E29" i="61"/>
  <c r="AE7" i="53" s="1"/>
  <c r="D36" i="61"/>
  <c r="AD14" i="53" s="1"/>
  <c r="R14" i="53" s="1"/>
  <c r="D33" i="61"/>
  <c r="AD11" i="53" s="1"/>
  <c r="R11" i="53" s="1"/>
  <c r="D30" i="61"/>
  <c r="C33" i="61"/>
  <c r="C31" i="61"/>
  <c r="C30" i="61"/>
  <c r="J7" i="53" l="1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R28" i="53" s="1"/>
  <c r="AD8" i="53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K8" i="53" l="1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R31" i="53" s="1"/>
  <c r="AE42" i="53"/>
  <c r="AE36" i="53"/>
  <c r="AD36" i="53"/>
  <c r="R36" i="53" s="1"/>
  <c r="K28" i="53"/>
  <c r="AD42" i="53"/>
  <c r="R42" i="53" s="1"/>
  <c r="AE40" i="53"/>
  <c r="AD33" i="53"/>
  <c r="R33" i="53" s="1"/>
  <c r="AE37" i="53"/>
  <c r="AE41" i="53"/>
  <c r="AD40" i="53"/>
  <c r="R40" i="53" s="1"/>
  <c r="AD34" i="53"/>
  <c r="R34" i="53" s="1"/>
  <c r="AD41" i="53"/>
  <c r="R41" i="53" s="1"/>
  <c r="AD37" i="53"/>
  <c r="R37" i="53" s="1"/>
  <c r="D20" i="61"/>
  <c r="D19" i="61"/>
  <c r="D18" i="61"/>
  <c r="D16" i="61"/>
  <c r="D17" i="61"/>
  <c r="AH16" i="53" l="1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H12" i="49" l="1"/>
  <c r="G12" i="49"/>
  <c r="F12" i="49"/>
  <c r="E12" i="49"/>
  <c r="D12" i="49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O3" i="53"/>
  <c r="N3" i="53"/>
  <c r="M3" i="53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92" i="61"/>
  <c r="G7" i="79" s="1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J96" i="6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0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1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3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PJ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FF3BB28B-863F-46D5-8B1B-68936285FB4A}">
      <text>
        <r>
          <rPr>
            <sz val="9"/>
            <color indexed="81"/>
            <rFont val="Tahoma"/>
            <family val="2"/>
          </rPr>
          <t>PJ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charset val="1"/>
          </rPr>
          <t>E4SMA:</t>
        </r>
        <r>
          <rPr>
            <sz val="9"/>
            <color indexed="81"/>
            <rFont val="Tahoma"/>
            <charset val="1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<sst xmlns="http://schemas.openxmlformats.org/spreadsheetml/2006/main" count="1346" uniqueCount="608">
  <si>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</si>
  <si>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</si>
  <si>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</si>
  <si>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</si>
  <si>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</si>
  <si>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</si>
  <si>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</si>
  <si>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</si>
  <si>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</si>
  <si>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</si>
  <si>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</si>
  <si>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</si>
  <si>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</si>
  <si>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</si>
  <si>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</si>
  <si>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</si>
  <si>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</si>
  <si>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</si>
  <si>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</si>
  <si>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</si>
  <si>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</si>
  <si>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</si>
  <si>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</si>
  <si>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</si>
  <si>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</si>
  <si>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</si>
  <si>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</si>
  <si>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AF~FX~0</t>
  </si>
  <si>
    <t>DEM</t>
  </si>
  <si>
    <t>DMD</t>
  </si>
  <si>
    <t>Life</t>
  </si>
  <si>
    <t>AF~FX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</si>
  <si>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</si>
  <si>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</si>
  <si>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</si>
  <si>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</si>
  <si>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</si>
  <si>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</si>
  <si>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</si>
  <si>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</si>
  <si>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</si>
  <si>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</si>
  <si>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</si>
  <si>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</si>
  <si>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</si>
  <si>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</si>
  <si>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</si>
  <si>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</si>
  <si>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</si>
  <si>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</si>
  <si>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</si>
  <si>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</si>
  <si>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</si>
  <si>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</si>
  <si>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</si>
  <si>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</si>
  <si>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</si>
  <si>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</si>
  <si>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</si>
  <si>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</si>
  <si>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</si>
  <si>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</si>
  <si>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</si>
  <si>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</si>
  <si>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</si>
  <si>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</si>
  <si>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</si>
  <si>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</si>
  <si>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</si>
  <si>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Mm2-y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</si>
  <si>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</si>
  <si>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</si>
  <si>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</si>
  <si>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</si>
  <si>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</si>
  <si>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</si>
  <si>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</si>
  <si>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</si>
  <si>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</si>
  <si>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</si>
  <si>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</si>
  <si>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</si>
  <si>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</si>
  <si>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</si>
  <si>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</si>
  <si>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</si>
  <si>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</si>
  <si>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</si>
  <si>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</si>
  <si>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</si>
  <si>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</si>
  <si>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</si>
  <si>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</si>
  <si>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PJ-a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</si>
  <si>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</si>
  <si>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</si>
  <si>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</si>
  <si>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</si>
  <si>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</si>
  <si>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</si>
  <si>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</si>
  <si>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</si>
  <si>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</si>
  <si>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</si>
  <si>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</si>
  <si>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</si>
  <si>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</si>
  <si>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</si>
  <si>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</si>
  <si>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</si>
  <si>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</si>
  <si>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</si>
  <si>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</si>
  <si>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</si>
  <si>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</si>
  <si>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</si>
  <si>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</si>
  <si>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</si>
  <si>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</si>
  <si>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</si>
  <si>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</si>
  <si>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</si>
  <si>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</si>
  <si>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</si>
  <si>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</si>
  <si>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</si>
  <si>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</si>
  <si>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</si>
  <si>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</si>
  <si>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</si>
  <si>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</si>
  <si>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</si>
  <si>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</si>
  <si>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</si>
  <si>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</si>
  <si>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</si>
  <si>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</si>
  <si>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</si>
  <si>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</si>
  <si>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</si>
  <si>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</si>
  <si>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</si>
  <si>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</si>
  <si>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</si>
  <si>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</si>
  <si>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</si>
  <si>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</si>
  <si>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</si>
  <si>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</si>
  <si>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</si>
  <si>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</si>
  <si>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Dwelling useful energy requirements</t>
  </si>
  <si>
    <r>
      <t>PJ/Mm</t>
    </r>
    <r>
      <rPr>
        <vertAlign val="superscript"/>
        <sz val="10"/>
        <color theme="1"/>
        <rFont val="Calibri"/>
        <family val="2"/>
        <scheme val="minor"/>
      </rPr>
      <t>2</t>
    </r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</si>
  <si>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</si>
  <si>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</si>
  <si>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</si>
  <si>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</si>
  <si>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</si>
  <si>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</si>
  <si>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</si>
  <si>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</si>
  <si>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</si>
  <si>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</si>
  <si>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</si>
  <si>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</si>
  <si>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NETSCO2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</si>
  <si>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</si>
  <si>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</si>
  <si>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</si>
  <si>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</si>
  <si>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</si>
  <si>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</si>
  <si>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</si>
  <si>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</si>
  <si>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</si>
  <si>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</si>
  <si>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</si>
  <si>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</si>
  <si>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</si>
  <si>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</si>
  <si>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</si>
  <si>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</si>
  <si>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</si>
  <si>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</si>
  <si>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</si>
  <si>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</si>
  <si>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</si>
  <si>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</si>
  <si>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</si>
  <si>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</si>
  <si>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</si>
  <si>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</si>
  <si>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</si>
  <si>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</si>
  <si>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</si>
  <si>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</si>
  <si>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</si>
  <si>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</si>
  <si>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</si>
  <si>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</si>
  <si>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</si>
  <si>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</si>
  <si>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</si>
  <si>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</si>
  <si>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</si>
  <si>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</si>
  <si>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</si>
  <si>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</si>
  <si>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</si>
  <si>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</si>
  <si>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</si>
  <si>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</si>
  <si>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</si>
  <si>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</si>
  <si>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</si>
  <si>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</si>
  <si>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</si>
  <si>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</si>
  <si>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</si>
  <si>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</si>
  <si>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</si>
  <si>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</si>
  <si>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</si>
  <si>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</si>
  <si>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</si>
  <si>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</si>
  <si>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</si>
  <si>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</si>
  <si>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</si>
  <si>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</si>
  <si>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</si>
  <si>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</si>
  <si>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</si>
  <si>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</si>
  <si>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</si>
  <si>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</si>
  <si>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</si>
  <si>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</si>
  <si>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</si>
  <si>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</si>
  <si>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</si>
  <si>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</si>
  <si>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</si>
  <si>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</si>
  <si>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</si>
  <si>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</si>
  <si>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</si>
  <si>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</si>
  <si>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</si>
  <si>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</si>
  <si>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</si>
  <si>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</si>
  <si>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</si>
  <si>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</si>
  <si>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</si>
  <si>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</si>
  <si>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</si>
  <si>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</si>
  <si>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</si>
  <si>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</si>
  <si>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</si>
  <si>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</si>
  <si>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</si>
  <si>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</si>
  <si>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</si>
  <si>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</si>
  <si>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</si>
  <si>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</si>
  <si>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</si>
  <si>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</si>
  <si>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</si>
  <si>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</si>
  <si>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</si>
  <si>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</si>
  <si>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</si>
  <si>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</si>
  <si>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</si>
  <si>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</si>
  <si>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</si>
  <si>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</si>
  <si>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</si>
  <si>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</si>
  <si>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</si>
  <si>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</si>
  <si>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</si>
  <si>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</si>
  <si>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</si>
  <si>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</si>
  <si>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</si>
  <si>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</si>
  <si>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</si>
  <si>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</si>
  <si>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</si>
  <si>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</si>
  <si>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</si>
  <si>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</si>
  <si>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</si>
  <si>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</si>
  <si>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</si>
  <si>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</si>
  <si>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</si>
  <si>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</si>
  <si>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</si>
  <si>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</si>
  <si>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</si>
  <si>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</si>
  <si>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</si>
  <si>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</si>
  <si>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</si>
  <si>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</si>
  <si>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</si>
  <si>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</si>
  <si>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</si>
  <si>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</si>
  <si>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</si>
  <si>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</si>
  <si>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</si>
  <si>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</si>
  <si>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</si>
  <si>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</si>
  <si>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</si>
  <si>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</si>
  <si>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</si>
  <si>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</si>
  <si>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</si>
  <si>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</si>
  <si>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</si>
  <si>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</si>
  <si>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</si>
  <si>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</si>
  <si>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</si>
  <si>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</si>
  <si>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</si>
  <si>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</si>
  <si>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</si>
  <si>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</si>
  <si>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</si>
  <si>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</si>
  <si>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</si>
  <si>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</si>
  <si>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</si>
  <si>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</si>
  <si>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</si>
  <si>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</si>
  <si>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</si>
  <si>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</si>
  <si>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</si>
  <si>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</si>
  <si>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</si>
  <si>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</si>
  <si>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</si>
  <si>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</si>
  <si>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</si>
  <si>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</si>
  <si>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</si>
  <si>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</si>
  <si>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</si>
  <si>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</si>
  <si>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</si>
  <si>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</si>
  <si>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</si>
  <si>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</si>
  <si>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</si>
  <si>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</si>
  <si>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</si>
  <si>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</si>
  <si>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</si>
  <si>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</si>
  <si>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</si>
  <si>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</si>
  <si>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</si>
  <si>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</si>
  <si>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</si>
  <si>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</si>
  <si>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</si>
  <si>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</si>
  <si>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</si>
  <si>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</si>
  <si>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</si>
  <si>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</si>
  <si>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</si>
  <si>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</si>
  <si>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</si>
  <si>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</si>
  <si>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</si>
  <si>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</si>
  <si>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</si>
  <si>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</si>
  <si>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</si>
  <si>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</si>
  <si>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</si>
  <si>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</si>
  <si>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</si>
  <si>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</si>
  <si>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</si>
  <si>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</si>
  <si>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</si>
  <si>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</si>
  <si>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</si>
  <si>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</si>
  <si>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</si>
  <si>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</si>
  <si>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</si>
  <si>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</si>
  <si>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</si>
  <si>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</si>
  <si>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</si>
  <si>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</si>
  <si>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</si>
  <si>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</si>
  <si>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</si>
  <si>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</si>
  <si>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</si>
  <si>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</si>
  <si>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</si>
  <si>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</si>
  <si>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</si>
  <si>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</si>
  <si>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</si>
  <si>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</si>
  <si>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</si>
  <si>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</si>
  <si>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</si>
  <si>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</si>
  <si>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</si>
  <si>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</si>
  <si>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</si>
  <si>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</si>
  <si>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</si>
  <si>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</si>
  <si>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</si>
  <si>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</si>
  <si>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</si>
  <si>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</si>
  <si>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</si>
  <si>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</si>
  <si>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</si>
  <si>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</si>
  <si>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</si>
  <si>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</si>
  <si>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</si>
  <si>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</si>
  <si>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</si>
  <si>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</si>
  <si>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</si>
  <si>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</si>
  <si>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</si>
  <si>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</si>
  <si>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</si>
  <si>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</si>
  <si>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</si>
  <si>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</si>
  <si>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</si>
  <si>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</si>
  <si>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</si>
  <si>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</si>
  <si>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</si>
  <si>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</si>
  <si>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</si>
  <si>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</si>
  <si>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</si>
  <si>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</si>
  <si>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</si>
  <si>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</si>
  <si>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</si>
  <si>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</si>
  <si>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</si>
  <si>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</si>
  <si>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</si>
  <si>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</si>
  <si>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</si>
  <si>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</si>
  <si>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</si>
  <si>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</si>
  <si>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</si>
  <si>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</si>
  <si>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</si>
  <si>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</si>
  <si>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</si>
  <si>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</si>
  <si>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</si>
  <si>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</si>
  <si>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</si>
  <si>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</si>
  <si>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</si>
  <si>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</si>
  <si>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</si>
  <si>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</si>
  <si>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</si>
  <si>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</si>
  <si>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</si>
  <si>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</si>
  <si>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</si>
  <si>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</si>
  <si>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</si>
  <si>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</si>
  <si>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</si>
  <si>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</si>
  <si>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</si>
  <si>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</si>
  <si>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</si>
  <si>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</si>
  <si>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</si>
  <si>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</si>
  <si>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</si>
  <si>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</si>
  <si>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</si>
  <si>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</si>
  <si>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</si>
  <si>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</si>
  <si>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</si>
  <si>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</si>
  <si>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</si>
  <si>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</si>
  <si>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</si>
  <si>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</si>
  <si>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</si>
  <si>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</si>
  <si>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</si>
  <si>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</si>
  <si>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</si>
  <si>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</si>
  <si>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</si>
  <si>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</si>
  <si>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</si>
  <si>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</si>
  <si>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</si>
  <si>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</si>
  <si>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</si>
  <si>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</si>
  <si>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</si>
  <si>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</si>
  <si>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</si>
  <si>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</si>
  <si>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</si>
  <si>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</si>
  <si>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</si>
  <si>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</si>
  <si>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</si>
  <si>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</si>
  <si>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</si>
  <si>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</si>
  <si>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</si>
  <si>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</si>
  <si>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</si>
  <si>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</si>
  <si>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</si>
  <si>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</si>
  <si>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</si>
  <si>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</si>
  <si>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</si>
  <si>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</si>
  <si>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</si>
  <si>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</si>
  <si>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</si>
  <si>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</si>
  <si>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</si>
  <si>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</si>
  <si>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</si>
  <si>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</si>
  <si>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</si>
  <si>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</si>
  <si>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</si>
  <si>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</si>
  <si>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</si>
  <si>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</si>
  <si>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</si>
  <si>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</si>
  <si>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</si>
  <si>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</si>
  <si>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</si>
  <si>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</si>
  <si>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</si>
  <si>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</si>
  <si>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</si>
  <si>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</si>
  <si>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</si>
  <si>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</si>
  <si>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</si>
  <si>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</si>
  <si>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</si>
  <si>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</si>
  <si>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</si>
  <si>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</si>
  <si>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</si>
  <si>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</si>
  <si>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</si>
  <si>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Non-ETS CO2 (SRV)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</si>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</sst>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  <xf numFmtId="0" fontId="202" fillId="0" borderId="0"/>
    <xf numFmtId="43" fontId="19" fillId="0" borderId="0" applyFont="0" applyFill="0" applyBorder="0" applyAlignment="0" applyProtection="0"/>
  </cellStyleXfs>
  <cellXfs count="738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9" fillId="95" borderId="11" xfId="42914" applyNumberFormat="1" applyFont="1" applyFill="1" applyBorder="1" applyAlignment="1">
      <alignment horizontal="left"/>
    </xf>
    <xf numFmtId="1" fontId="22" fillId="0" borderId="0" xfId="42914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95" borderId="13" xfId="0" applyFont="1" applyFill="1" applyBorder="1" applyAlignment="1">
      <alignment horizontal="left" vertical="center"/>
    </xf>
    <xf numFmtId="2" fontId="19" fillId="95" borderId="0" xfId="42914" applyNumberFormat="1" applyFont="1" applyFill="1" applyBorder="1" applyAlignment="1">
      <alignment horizontal="left"/>
    </xf>
    <xf numFmtId="166" fontId="0" fillId="95" borderId="13" xfId="0" applyNumberFormat="1" applyFont="1" applyFill="1" applyBorder="1" applyAlignment="1">
      <alignment horizontal="left" vertical="center"/>
    </xf>
    <xf numFmtId="1" fontId="22" fillId="0" borderId="11" xfId="42914" applyNumberFormat="1" applyFont="1" applyFill="1" applyBorder="1" applyAlignment="1">
      <alignment horizontal="left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6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35" xfId="42915" xr:uid="{0505B8B3-4336-4DBE-B119-C517BC9CBCF9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56" xfId="42914" xr:uid="{C2D86902-2610-4113-B2F7-15280CEB0A72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13</xdr:row>
      <xdr:rowOff>119063</xdr:rowOff>
    </xdr:from>
    <xdr:to>
      <xdr:col>4</xdr:col>
      <xdr:colOff>738187</xdr:colOff>
      <xdr:row>18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0"/>
  <sheetViews>
    <sheetView showGridLines="0" tabSelected="1" zoomScale="115" zoomScaleNormal="115" workbookViewId="0">
      <selection activeCell="B9" sqref="B9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201</v>
      </c>
      <c r="B1" s="6"/>
    </row>
    <row r="2" spans="1:7">
      <c r="A2" s="9" t="s">
        <v>77</v>
      </c>
      <c r="B2" s="10" t="s">
        <v>78</v>
      </c>
    </row>
    <row r="3" spans="1:7">
      <c r="A3" s="9" t="s">
        <v>105</v>
      </c>
      <c r="B3" s="7" t="s">
        <v>200</v>
      </c>
      <c r="C3" s="10" t="s">
        <v>199</v>
      </c>
    </row>
    <row r="4" spans="1:7">
      <c r="A4" s="9" t="s">
        <v>79</v>
      </c>
      <c r="B4" s="10" t="s">
        <v>58</v>
      </c>
      <c r="C4" s="7" t="s">
        <v>462</v>
      </c>
    </row>
    <row r="5" spans="1:7">
      <c r="A5" s="9" t="s">
        <v>80</v>
      </c>
      <c r="B5" s="11">
        <v>2018</v>
      </c>
    </row>
    <row r="6" spans="1:7">
      <c r="A6" s="9" t="s">
        <v>81</v>
      </c>
      <c r="B6" s="10"/>
    </row>
    <row r="7" spans="1:7" ht="15" customHeight="1">
      <c r="A7" s="5"/>
      <c r="B7" s="6"/>
    </row>
    <row r="8" spans="1:7" ht="15" customHeight="1">
      <c r="A8" s="93" t="s">
        <v>106</v>
      </c>
      <c r="B8" s="94">
        <v>44298</v>
      </c>
    </row>
    <row r="9" spans="1:7" ht="15" customHeight="1">
      <c r="A9" s="5"/>
      <c r="B9" s="6"/>
    </row>
    <row r="10" spans="1:7" ht="15" customHeight="1">
      <c r="A10" s="16" t="s">
        <v>95</v>
      </c>
    </row>
    <row r="11" spans="1:7" ht="15" customHeight="1" thickBot="1">
      <c r="A11" s="35" t="s">
        <v>96</v>
      </c>
      <c r="B11" s="35" t="s">
        <v>97</v>
      </c>
      <c r="C11" s="35"/>
      <c r="F11" s="8"/>
    </row>
    <row r="12" spans="1:7" ht="15" customHeight="1">
      <c r="A12" s="715" t="s">
        <v>600</v>
      </c>
      <c r="B12" s="715"/>
      <c r="C12" s="715"/>
    </row>
    <row r="13" spans="1:7" ht="15" customHeight="1">
      <c r="A13" s="716"/>
      <c r="B13" s="716"/>
      <c r="C13" s="716"/>
      <c r="G13" s="124"/>
    </row>
    <row r="14" spans="1:7" ht="15" customHeight="1">
      <c r="A14" s="716"/>
      <c r="B14" s="716"/>
      <c r="C14" s="716"/>
      <c r="G14" s="124"/>
    </row>
    <row r="15" spans="1:7" s="13" customFormat="1">
      <c r="A15" s="716"/>
      <c r="B15" s="716"/>
      <c r="C15" s="716"/>
    </row>
    <row r="16" spans="1:7" s="13" customFormat="1">
      <c r="A16" s="716"/>
      <c r="B16" s="716"/>
      <c r="C16" s="716"/>
    </row>
    <row r="17" spans="1:3" s="13" customFormat="1">
      <c r="A17" s="716"/>
      <c r="B17" s="716"/>
      <c r="C17" s="716"/>
    </row>
    <row r="18" spans="1:3" s="13" customFormat="1">
      <c r="A18" s="716"/>
      <c r="B18" s="716"/>
      <c r="C18" s="716"/>
    </row>
    <row r="19" spans="1:3" s="13" customFormat="1">
      <c r="A19" s="716"/>
      <c r="B19" s="716"/>
      <c r="C19" s="716"/>
    </row>
    <row r="20" spans="1:3" s="13" customFormat="1">
      <c r="A20" s="716"/>
      <c r="B20" s="716"/>
      <c r="C20" s="716"/>
    </row>
    <row r="21" spans="1:3" ht="15" customHeight="1">
      <c r="A21" s="717"/>
      <c r="B21" s="717"/>
      <c r="C21" s="717"/>
    </row>
    <row r="22" spans="1:3">
      <c r="A22" s="15"/>
      <c r="B22" s="13"/>
      <c r="C22" s="13"/>
    </row>
    <row r="23" spans="1:3" ht="18.75">
      <c r="A23" s="36" t="s">
        <v>107</v>
      </c>
      <c r="B23" s="37"/>
      <c r="C23" s="38"/>
    </row>
    <row r="24" spans="1:3">
      <c r="A24" s="703" t="s">
        <v>591</v>
      </c>
      <c r="B24" s="705" t="s">
        <v>592</v>
      </c>
      <c r="C24" s="706"/>
    </row>
    <row r="25" spans="1:3">
      <c r="A25" s="704" t="s">
        <v>591</v>
      </c>
      <c r="B25" s="705" t="s">
        <v>593</v>
      </c>
      <c r="C25" s="706"/>
    </row>
    <row r="26" spans="1:3">
      <c r="A26" s="697"/>
      <c r="B26" s="705" t="s">
        <v>594</v>
      </c>
      <c r="C26" s="706"/>
    </row>
    <row r="28" spans="1:3" ht="18.75">
      <c r="A28" s="36" t="s">
        <v>108</v>
      </c>
      <c r="B28" s="37"/>
      <c r="C28" s="38"/>
    </row>
    <row r="29" spans="1:3">
      <c r="A29" s="700"/>
      <c r="B29" s="39" t="s">
        <v>109</v>
      </c>
      <c r="C29" s="40"/>
    </row>
    <row r="30" spans="1:3">
      <c r="A30" s="702"/>
      <c r="B30" s="39" t="s">
        <v>589</v>
      </c>
      <c r="C30" s="40"/>
    </row>
    <row r="31" spans="1:3">
      <c r="A31" s="701"/>
      <c r="B31" s="39" t="s">
        <v>590</v>
      </c>
      <c r="C31" s="40"/>
    </row>
    <row r="33" spans="1:3" ht="21">
      <c r="A33" s="16" t="s">
        <v>36</v>
      </c>
    </row>
    <row r="34" spans="1:3">
      <c r="A34" s="699" t="s">
        <v>561</v>
      </c>
      <c r="B34" s="699" t="s">
        <v>562</v>
      </c>
      <c r="C34" s="699" t="s">
        <v>563</v>
      </c>
    </row>
    <row r="35" spans="1:3">
      <c r="A35" s="698" t="s">
        <v>559</v>
      </c>
      <c r="B35" s="558"/>
      <c r="C35" s="558"/>
    </row>
    <row r="36" spans="1:3">
      <c r="A36" s="13" t="s">
        <v>404</v>
      </c>
      <c r="B36" s="13"/>
      <c r="C36" s="13" t="s">
        <v>424</v>
      </c>
    </row>
    <row r="37" spans="1:3">
      <c r="A37" s="15" t="s">
        <v>405</v>
      </c>
      <c r="B37" s="15"/>
      <c r="C37" s="15" t="s">
        <v>45</v>
      </c>
    </row>
    <row r="38" spans="1:3">
      <c r="A38" s="19" t="s">
        <v>171</v>
      </c>
      <c r="B38" s="13"/>
      <c r="C38" s="13"/>
    </row>
    <row r="39" spans="1:3">
      <c r="A39" s="13" t="s">
        <v>38</v>
      </c>
      <c r="B39" s="13"/>
      <c r="C39" s="13" t="s">
        <v>39</v>
      </c>
    </row>
    <row r="40" spans="1:3">
      <c r="A40" s="13" t="s">
        <v>40</v>
      </c>
      <c r="B40" s="13"/>
      <c r="C40" s="13" t="s">
        <v>41</v>
      </c>
    </row>
    <row r="41" spans="1:3">
      <c r="A41" s="13" t="s">
        <v>173</v>
      </c>
      <c r="B41" s="13"/>
      <c r="C41" s="13" t="s">
        <v>37</v>
      </c>
    </row>
    <row r="42" spans="1:3">
      <c r="A42" s="19" t="s">
        <v>521</v>
      </c>
      <c r="B42" s="13"/>
      <c r="C42" s="13"/>
    </row>
    <row r="43" spans="1:3">
      <c r="A43" s="13" t="s">
        <v>406</v>
      </c>
      <c r="B43" s="13"/>
      <c r="C43" s="13" t="s">
        <v>416</v>
      </c>
    </row>
    <row r="44" spans="1:3">
      <c r="A44" s="13" t="s">
        <v>175</v>
      </c>
      <c r="B44" s="13"/>
      <c r="C44" s="13" t="s">
        <v>417</v>
      </c>
    </row>
    <row r="45" spans="1:3">
      <c r="A45" s="13" t="s">
        <v>418</v>
      </c>
      <c r="B45" s="13"/>
      <c r="C45" s="13" t="s">
        <v>419</v>
      </c>
    </row>
    <row r="46" spans="1:3">
      <c r="A46" s="13" t="s">
        <v>420</v>
      </c>
      <c r="B46" s="14"/>
      <c r="C46" s="13" t="s">
        <v>42</v>
      </c>
    </row>
    <row r="47" spans="1:3">
      <c r="A47" s="13" t="s">
        <v>463</v>
      </c>
      <c r="B47" s="14"/>
      <c r="C47" s="13" t="s">
        <v>464</v>
      </c>
    </row>
    <row r="48" spans="1:3">
      <c r="A48" s="13" t="s">
        <v>496</v>
      </c>
      <c r="B48" s="13"/>
      <c r="C48" s="13" t="s">
        <v>46</v>
      </c>
    </row>
    <row r="49" spans="1:3">
      <c r="A49" s="41" t="s">
        <v>497</v>
      </c>
      <c r="B49" s="41"/>
      <c r="C49" s="41" t="s">
        <v>72</v>
      </c>
    </row>
    <row r="50" spans="1:3">
      <c r="A50" s="8" t="s">
        <v>560</v>
      </c>
    </row>
    <row r="51" spans="1:3">
      <c r="A51" s="13" t="s">
        <v>3</v>
      </c>
      <c r="B51" s="14" t="s">
        <v>54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71</v>
      </c>
      <c r="B53" s="14" t="s">
        <v>52</v>
      </c>
      <c r="C53" s="13" t="str">
        <f t="shared" si="0"/>
        <v>SRVOIL</v>
      </c>
    </row>
    <row r="54" spans="1:3">
      <c r="A54" s="13" t="s">
        <v>100</v>
      </c>
      <c r="B54" s="14" t="s">
        <v>50</v>
      </c>
      <c r="C54" s="13" t="str">
        <f t="shared" si="0"/>
        <v>SRVGAS</v>
      </c>
    </row>
    <row r="55" spans="1:3">
      <c r="A55" s="13" t="s">
        <v>409</v>
      </c>
      <c r="B55" s="14" t="s">
        <v>53</v>
      </c>
      <c r="C55" s="13" t="str">
        <f t="shared" si="0"/>
        <v>SRVBIO</v>
      </c>
    </row>
    <row r="56" spans="1:3">
      <c r="A56" s="13" t="s">
        <v>110</v>
      </c>
      <c r="B56" s="14" t="s">
        <v>111</v>
      </c>
      <c r="C56" s="13" t="str">
        <f t="shared" si="0"/>
        <v>SRVBGS</v>
      </c>
    </row>
    <row r="57" spans="1:3">
      <c r="A57" s="13" t="s">
        <v>43</v>
      </c>
      <c r="B57" s="14" t="s">
        <v>55</v>
      </c>
      <c r="C57" s="13" t="str">
        <f t="shared" si="0"/>
        <v>SRVSOL</v>
      </c>
    </row>
    <row r="58" spans="1:3">
      <c r="A58" s="13" t="s">
        <v>1</v>
      </c>
      <c r="B58" s="14" t="s">
        <v>49</v>
      </c>
      <c r="C58" s="13" t="str">
        <f t="shared" si="0"/>
        <v>SRVELC</v>
      </c>
    </row>
    <row r="59" spans="1:3">
      <c r="A59" s="7" t="s">
        <v>411</v>
      </c>
      <c r="B59" s="7" t="s">
        <v>410</v>
      </c>
      <c r="C59" s="13" t="str">
        <f t="shared" si="0"/>
        <v>SRVAHT</v>
      </c>
    </row>
    <row r="60" spans="1:3">
      <c r="A60" s="13" t="s">
        <v>570</v>
      </c>
      <c r="B60" s="14" t="s">
        <v>51</v>
      </c>
      <c r="C60" s="13" t="str">
        <f t="shared" ref="C60" si="1">$C$4&amp;B60</f>
        <v>SRVHET</v>
      </c>
    </row>
    <row r="61" spans="1:3" s="13" customFormat="1">
      <c r="A61" s="13" t="s">
        <v>113</v>
      </c>
      <c r="B61" s="14" t="s">
        <v>114</v>
      </c>
      <c r="C61" s="13" t="str">
        <f t="shared" ref="C61:C65" si="2">$C$4&amp;B61</f>
        <v>SRVWIN</v>
      </c>
    </row>
    <row r="62" spans="1:3" s="13" customFormat="1">
      <c r="A62" s="13" t="s">
        <v>581</v>
      </c>
      <c r="B62" s="13" t="s">
        <v>580</v>
      </c>
      <c r="C62" s="13" t="str">
        <f t="shared" si="2"/>
        <v>SRVH2G</v>
      </c>
    </row>
    <row r="63" spans="1:3" s="13" customFormat="1">
      <c r="A63" s="13" t="s">
        <v>582</v>
      </c>
      <c r="B63" s="13" t="s">
        <v>583</v>
      </c>
      <c r="C63" s="13" t="str">
        <f t="shared" ref="C63" si="3">$C$4&amp;B63</f>
        <v>SRVH2L</v>
      </c>
    </row>
    <row r="64" spans="1:3">
      <c r="A64" s="13" t="s">
        <v>57</v>
      </c>
      <c r="B64" s="13" t="s">
        <v>112</v>
      </c>
      <c r="C64" s="13" t="str">
        <f t="shared" si="2"/>
        <v>SRVBDL</v>
      </c>
    </row>
    <row r="65" spans="1:3">
      <c r="A65" s="15" t="s">
        <v>585</v>
      </c>
      <c r="B65" s="15" t="s">
        <v>586</v>
      </c>
      <c r="C65" s="15" t="str">
        <f t="shared" si="2"/>
        <v>SRVETH</v>
      </c>
    </row>
    <row r="67" spans="1:3" ht="21">
      <c r="A67" s="16" t="s">
        <v>595</v>
      </c>
      <c r="B67" s="6"/>
    </row>
    <row r="68" spans="1:3" ht="15.75" thickBot="1">
      <c r="A68" s="35" t="s">
        <v>115</v>
      </c>
      <c r="B68" s="35" t="s">
        <v>44</v>
      </c>
      <c r="C68" s="35" t="s">
        <v>116</v>
      </c>
    </row>
    <row r="69" spans="1:3">
      <c r="A69" s="19" t="s">
        <v>117</v>
      </c>
      <c r="B69" s="91" t="s">
        <v>499</v>
      </c>
      <c r="C69" s="7" t="s">
        <v>596</v>
      </c>
    </row>
    <row r="70" spans="1:3">
      <c r="A70" s="19"/>
      <c r="B70" s="582" t="s">
        <v>192</v>
      </c>
      <c r="C70" s="7" t="s">
        <v>597</v>
      </c>
    </row>
    <row r="71" spans="1:3">
      <c r="A71" s="43" t="s">
        <v>118</v>
      </c>
      <c r="B71" s="91" t="s">
        <v>192</v>
      </c>
      <c r="C71" s="44" t="s">
        <v>193</v>
      </c>
    </row>
    <row r="72" spans="1:3">
      <c r="A72" s="45"/>
      <c r="B72" s="109" t="s">
        <v>131</v>
      </c>
      <c r="C72" s="46" t="s">
        <v>59</v>
      </c>
    </row>
    <row r="73" spans="1:3" ht="14.45" customHeight="1">
      <c r="A73" s="48" t="s">
        <v>119</v>
      </c>
      <c r="B73" s="91" t="s">
        <v>192</v>
      </c>
      <c r="C73" s="13" t="s">
        <v>598</v>
      </c>
    </row>
    <row r="74" spans="1:3" ht="30">
      <c r="A74" s="47"/>
      <c r="B74" s="126" t="s">
        <v>194</v>
      </c>
      <c r="C74" s="126" t="s">
        <v>599</v>
      </c>
    </row>
    <row r="75" spans="1:3">
      <c r="A75" s="92" t="s">
        <v>121</v>
      </c>
      <c r="B75" s="49" t="s">
        <v>195</v>
      </c>
      <c r="C75" s="15" t="s">
        <v>122</v>
      </c>
    </row>
    <row r="78" spans="1:3">
      <c r="A78" s="8" t="s">
        <v>179</v>
      </c>
    </row>
    <row r="79" spans="1:3">
      <c r="A79" s="558" t="s">
        <v>180</v>
      </c>
      <c r="B79" s="559">
        <v>4.1868000000000002E-2</v>
      </c>
    </row>
    <row r="80" spans="1:3">
      <c r="A80" s="15" t="s">
        <v>465</v>
      </c>
      <c r="B80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 ht="15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 ht="15">
      <c r="A5" s="415" t="s">
        <v>338</v>
      </c>
      <c r="C5" s="418" t="s">
        <v>199</v>
      </c>
      <c r="D5" s="418" t="s">
        <v>339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 ht="15">
      <c r="A6" s="415" t="s">
        <v>340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 ht="15">
      <c r="A7" s="415" t="s">
        <v>341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342</v>
      </c>
      <c r="B10" s="419" t="s">
        <v>343</v>
      </c>
    </row>
    <row r="11" spans="1:30">
      <c r="A11" s="420" t="s">
        <v>344</v>
      </c>
      <c r="B11" s="420" t="s">
        <v>345</v>
      </c>
    </row>
    <row r="12" spans="1:30">
      <c r="A12" s="421" t="s">
        <v>346</v>
      </c>
      <c r="B12" s="421" t="s">
        <v>347</v>
      </c>
    </row>
    <row r="13" spans="1:30">
      <c r="A13" s="421" t="s">
        <v>348</v>
      </c>
      <c r="B13" s="421" t="s">
        <v>349</v>
      </c>
    </row>
    <row r="14" spans="1:30">
      <c r="A14" s="421" t="s">
        <v>350</v>
      </c>
      <c r="B14" s="421" t="s">
        <v>351</v>
      </c>
    </row>
    <row r="15" spans="1:30">
      <c r="A15" s="421" t="s">
        <v>352</v>
      </c>
      <c r="B15" s="421" t="s">
        <v>353</v>
      </c>
    </row>
    <row r="16" spans="1:30">
      <c r="A16" s="421" t="s">
        <v>354</v>
      </c>
      <c r="B16" s="421" t="s">
        <v>355</v>
      </c>
    </row>
    <row r="17" spans="1:2">
      <c r="A17" s="421" t="s">
        <v>356</v>
      </c>
      <c r="B17" s="421" t="s">
        <v>357</v>
      </c>
    </row>
    <row r="18" spans="1:2">
      <c r="A18" s="421" t="s">
        <v>358</v>
      </c>
      <c r="B18" s="421" t="s">
        <v>359</v>
      </c>
    </row>
    <row r="19" spans="1:2">
      <c r="A19" s="421" t="s">
        <v>360</v>
      </c>
      <c r="B19" s="421" t="s">
        <v>361</v>
      </c>
    </row>
    <row r="20" spans="1:2">
      <c r="A20" s="421" t="s">
        <v>362</v>
      </c>
      <c r="B20" s="421" t="s">
        <v>363</v>
      </c>
    </row>
    <row r="21" spans="1:2">
      <c r="A21" s="421" t="s">
        <v>364</v>
      </c>
      <c r="B21" s="421" t="s">
        <v>365</v>
      </c>
    </row>
    <row r="22" spans="1:2">
      <c r="A22" s="421" t="s">
        <v>366</v>
      </c>
      <c r="B22" s="421" t="s">
        <v>367</v>
      </c>
    </row>
    <row r="23" spans="1:2">
      <c r="A23" s="421" t="s">
        <v>368</v>
      </c>
      <c r="B23" s="421" t="s">
        <v>369</v>
      </c>
    </row>
    <row r="24" spans="1:2">
      <c r="A24" s="421" t="s">
        <v>370</v>
      </c>
      <c r="B24" s="421" t="s">
        <v>371</v>
      </c>
    </row>
    <row r="25" spans="1:2">
      <c r="A25" s="421" t="s">
        <v>372</v>
      </c>
      <c r="B25" s="421" t="s">
        <v>373</v>
      </c>
    </row>
    <row r="26" spans="1:2">
      <c r="A26" s="421" t="s">
        <v>374</v>
      </c>
      <c r="B26" s="421" t="s">
        <v>375</v>
      </c>
    </row>
    <row r="27" spans="1:2">
      <c r="A27" s="421" t="s">
        <v>376</v>
      </c>
      <c r="B27" s="421" t="s">
        <v>377</v>
      </c>
    </row>
    <row r="28" spans="1:2">
      <c r="A28" s="421" t="s">
        <v>378</v>
      </c>
      <c r="B28" s="421" t="s">
        <v>379</v>
      </c>
    </row>
    <row r="29" spans="1:2">
      <c r="A29" s="421" t="s">
        <v>380</v>
      </c>
      <c r="B29" s="421" t="s">
        <v>381</v>
      </c>
    </row>
    <row r="30" spans="1:2">
      <c r="A30" s="421" t="s">
        <v>382</v>
      </c>
      <c r="B30" s="421" t="s">
        <v>383</v>
      </c>
    </row>
    <row r="31" spans="1:2">
      <c r="A31" s="421" t="s">
        <v>384</v>
      </c>
      <c r="B31" s="421" t="s">
        <v>385</v>
      </c>
    </row>
    <row r="32" spans="1:2">
      <c r="A32" s="421" t="s">
        <v>386</v>
      </c>
      <c r="B32" s="421" t="s">
        <v>387</v>
      </c>
    </row>
    <row r="33" spans="1:2">
      <c r="A33" s="421" t="s">
        <v>388</v>
      </c>
      <c r="B33" s="421" t="s">
        <v>389</v>
      </c>
    </row>
    <row r="34" spans="1:2">
      <c r="A34" s="421" t="s">
        <v>390</v>
      </c>
      <c r="B34" s="421" t="s">
        <v>391</v>
      </c>
    </row>
    <row r="35" spans="1:2">
      <c r="A35" s="421" t="s">
        <v>392</v>
      </c>
      <c r="B35" s="421" t="s">
        <v>393</v>
      </c>
    </row>
    <row r="36" spans="1:2">
      <c r="A36" s="421" t="s">
        <v>394</v>
      </c>
      <c r="B36" s="421" t="s">
        <v>395</v>
      </c>
    </row>
    <row r="37" spans="1:2" ht="15">
      <c r="A37" s="422" t="s">
        <v>396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588</v>
      </c>
    </row>
    <row r="2" spans="1:44" customFormat="1"/>
    <row r="3" spans="1:44" s="427" customFormat="1" ht="15" customHeight="1">
      <c r="A3" s="455"/>
      <c r="B3" s="8" t="s">
        <v>397</v>
      </c>
      <c r="C3" s="8" t="s">
        <v>407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204</v>
      </c>
      <c r="E4" s="429" t="s">
        <v>205</v>
      </c>
      <c r="F4" s="429" t="s">
        <v>206</v>
      </c>
      <c r="G4" s="429" t="s">
        <v>207</v>
      </c>
      <c r="H4" s="429" t="s">
        <v>208</v>
      </c>
      <c r="I4" s="429" t="s">
        <v>209</v>
      </c>
      <c r="J4" s="429" t="s">
        <v>210</v>
      </c>
      <c r="K4" s="429" t="s">
        <v>211</v>
      </c>
      <c r="L4" s="429" t="s">
        <v>212</v>
      </c>
      <c r="M4" s="429" t="s">
        <v>213</v>
      </c>
      <c r="N4" s="429" t="s">
        <v>214</v>
      </c>
      <c r="O4" s="429" t="s">
        <v>215</v>
      </c>
      <c r="P4" s="429" t="s">
        <v>216</v>
      </c>
      <c r="Q4" s="429" t="s">
        <v>217</v>
      </c>
      <c r="R4" s="429" t="s">
        <v>218</v>
      </c>
      <c r="S4" s="429" t="s">
        <v>219</v>
      </c>
      <c r="T4" s="429" t="s">
        <v>220</v>
      </c>
      <c r="U4" s="429" t="s">
        <v>221</v>
      </c>
      <c r="V4" s="429" t="s">
        <v>222</v>
      </c>
      <c r="W4" s="429" t="s">
        <v>223</v>
      </c>
      <c r="X4" s="429" t="s">
        <v>224</v>
      </c>
      <c r="Y4" s="429" t="s">
        <v>225</v>
      </c>
      <c r="Z4" s="429" t="s">
        <v>226</v>
      </c>
      <c r="AA4" s="429" t="s">
        <v>227</v>
      </c>
      <c r="AB4" s="429" t="s">
        <v>228</v>
      </c>
      <c r="AC4" s="429" t="s">
        <v>229</v>
      </c>
      <c r="AD4" s="429" t="s">
        <v>230</v>
      </c>
      <c r="AE4" s="429" t="s">
        <v>231</v>
      </c>
      <c r="AF4" s="429" t="s">
        <v>232</v>
      </c>
      <c r="AG4" s="429" t="s">
        <v>233</v>
      </c>
      <c r="AH4" s="429" t="s">
        <v>234</v>
      </c>
      <c r="AI4" s="429" t="s">
        <v>235</v>
      </c>
      <c r="AJ4" s="429" t="s">
        <v>236</v>
      </c>
      <c r="AK4" s="429" t="s">
        <v>237</v>
      </c>
      <c r="AL4" s="429" t="s">
        <v>238</v>
      </c>
      <c r="AM4" s="429" t="s">
        <v>239</v>
      </c>
      <c r="AN4" s="429" t="s">
        <v>240</v>
      </c>
      <c r="AO4" s="429" t="s">
        <v>241</v>
      </c>
      <c r="AP4" s="429" t="s">
        <v>242</v>
      </c>
      <c r="AQ4" s="429" t="s">
        <v>243</v>
      </c>
      <c r="AR4" s="429" t="s">
        <v>244</v>
      </c>
    </row>
    <row r="5" spans="1:44" s="427" customFormat="1" ht="30" customHeight="1">
      <c r="B5" s="440" t="s">
        <v>58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404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405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398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399</v>
      </c>
      <c r="C10" s="8" t="s">
        <v>408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156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58</v>
      </c>
      <c r="C12" s="441"/>
      <c r="D12" s="449">
        <f>SUM(D5,I5)*Legend!$B$79</f>
        <v>2.2605320192481206E-2</v>
      </c>
      <c r="E12" s="449">
        <f>U5*Legend!$B$79</f>
        <v>2.919075000009308</v>
      </c>
      <c r="F12" s="449">
        <f>SUM(R5,T5,V5)*Legend!$B$79</f>
        <v>8.1154472997529989</v>
      </c>
      <c r="G12" s="449">
        <f>AB5*Legend!$B$79</f>
        <v>16.650562279597633</v>
      </c>
      <c r="H12" s="449">
        <f>AF5*Legend!$B$79</f>
        <v>0.75333608411544439</v>
      </c>
      <c r="I12" s="449">
        <f>AI5*Legend!$B$79</f>
        <v>0.31574984017572605</v>
      </c>
      <c r="J12" s="449">
        <f>AM5*Legend!$B$79</f>
        <v>6.9707984942638896E-3</v>
      </c>
      <c r="K12" s="449">
        <f>AP5*Legend!$B$79</f>
        <v>42.679928352699655</v>
      </c>
      <c r="L12" s="449">
        <f>AN5*Legend!$B$79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SUM(D6,I6)*Legend!$B$79</f>
        <v>2.2605320192481206E-2</v>
      </c>
      <c r="E13" s="447">
        <f>U6*Legend!$B$79</f>
        <v>2.2457893736879599</v>
      </c>
      <c r="F13" s="447">
        <f>SUM(R6,T6,V6)*Legend!$B$79</f>
        <v>2.9204114740125804</v>
      </c>
      <c r="G13" s="447">
        <f>AB6*Legend!$B$79</f>
        <v>8.6086936644858429</v>
      </c>
      <c r="H13" s="447">
        <f>AF6*Legend!$B$79</f>
        <v>0.21009154815850178</v>
      </c>
      <c r="I13" s="447">
        <f>AI6*Legend!$B$79</f>
        <v>0.11405853844452372</v>
      </c>
      <c r="J13" s="447">
        <f>AM6*Legend!$B$79</f>
        <v>6.9707984942638896E-3</v>
      </c>
      <c r="K13" s="447">
        <f>AP6*Legend!$B$79</f>
        <v>28.659287478947007</v>
      </c>
      <c r="L13" s="447">
        <f>AN6*Legend!$B$79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SUM(D7,I7)*Legend!$B$79</f>
        <v>0</v>
      </c>
      <c r="E15" s="447">
        <f>U7*Legend!$B$79</f>
        <v>0.6732856263213477</v>
      </c>
      <c r="F15" s="447">
        <f>SUM(R7,T7,V7)*Legend!$B$79</f>
        <v>5.195035825740419</v>
      </c>
      <c r="G15" s="447">
        <f>AB7*Legend!$B$79</f>
        <v>8.0418686151117917</v>
      </c>
      <c r="H15" s="447">
        <f>AF7*Legend!$B$79</f>
        <v>0.54324453595694255</v>
      </c>
      <c r="I15" s="447">
        <f>AI7*Legend!$B$79</f>
        <v>0.20169130173120231</v>
      </c>
      <c r="J15" s="447">
        <f>AM7*Legend!$B$79</f>
        <v>0</v>
      </c>
      <c r="K15" s="447">
        <f>AP7*Legend!$B$79</f>
        <v>14.020640873752647</v>
      </c>
      <c r="L15" s="447">
        <f>AN7*Legend!$B$79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SEAI'!C29*Legend!$B$80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400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402</v>
      </c>
      <c r="C22" s="428" t="s">
        <v>172</v>
      </c>
      <c r="D22" s="20" t="s">
        <v>86</v>
      </c>
      <c r="E22" s="20" t="s">
        <v>412</v>
      </c>
      <c r="F22" s="429" t="s">
        <v>422</v>
      </c>
      <c r="G22" s="436" t="s">
        <v>88</v>
      </c>
      <c r="AP22" s="7"/>
      <c r="AQ22" s="7"/>
      <c r="AR22" s="7"/>
    </row>
    <row r="23" spans="2:44" ht="15.75" thickBot="1">
      <c r="B23" s="603" t="s">
        <v>501</v>
      </c>
      <c r="C23" s="19"/>
      <c r="D23" s="583"/>
      <c r="E23" s="583"/>
      <c r="F23" s="471" t="s">
        <v>192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141</v>
      </c>
      <c r="G24" s="475" t="s">
        <v>48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413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414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415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415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415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415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421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423</v>
      </c>
      <c r="D57" s="473" t="s">
        <v>415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403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401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402</v>
      </c>
      <c r="C61" s="428" t="s">
        <v>172</v>
      </c>
      <c r="D61" s="20" t="s">
        <v>86</v>
      </c>
      <c r="E61" s="20" t="s">
        <v>412</v>
      </c>
      <c r="F61" s="429" t="s">
        <v>422</v>
      </c>
      <c r="G61" s="436" t="s">
        <v>88</v>
      </c>
      <c r="AP61" s="7"/>
      <c r="AQ61" s="7"/>
      <c r="AR61" s="7"/>
    </row>
    <row r="62" spans="2:44" ht="15.75" thickBot="1">
      <c r="B62" s="603" t="s">
        <v>501</v>
      </c>
      <c r="C62" s="19"/>
      <c r="D62" s="583"/>
      <c r="E62" s="583"/>
      <c r="F62" s="471" t="s">
        <v>192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141</v>
      </c>
      <c r="G63" s="475" t="s">
        <v>48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413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414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415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415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415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415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421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423</v>
      </c>
      <c r="D96" s="473" t="s">
        <v>415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403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topLeftCell="A94" zoomScale="80" zoomScaleNormal="80" workbookViewId="0">
      <selection activeCell="G101" sqref="G101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176</v>
      </c>
      <c r="B1" s="31"/>
      <c r="C1" s="31"/>
    </row>
    <row r="2" spans="1:12" customFormat="1"/>
    <row r="3" spans="1:12" ht="21">
      <c r="A3" s="96" t="s">
        <v>98</v>
      </c>
    </row>
    <row r="4" spans="1:12" ht="15.75" thickBot="1">
      <c r="A4" s="20"/>
      <c r="B4" s="20" t="s">
        <v>44</v>
      </c>
      <c r="C4" s="20" t="s">
        <v>0</v>
      </c>
      <c r="D4" s="20">
        <f>Legend!$B$5</f>
        <v>2018</v>
      </c>
    </row>
    <row r="5" spans="1:12" ht="17.25">
      <c r="A5" s="26" t="s">
        <v>169</v>
      </c>
      <c r="B5" s="26" t="s">
        <v>192</v>
      </c>
      <c r="C5" s="101" t="s">
        <v>177</v>
      </c>
      <c r="D5" s="481">
        <v>87.053206529921553</v>
      </c>
    </row>
    <row r="6" spans="1:12" ht="17.25">
      <c r="A6" s="24" t="s">
        <v>170</v>
      </c>
      <c r="B6" s="24" t="s">
        <v>506</v>
      </c>
      <c r="C6" s="24" t="s">
        <v>178</v>
      </c>
      <c r="D6" s="614">
        <f>'CSO data'!O36</f>
        <v>670</v>
      </c>
    </row>
    <row r="8" spans="1:12" ht="21">
      <c r="A8" s="96" t="s">
        <v>59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425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85</v>
      </c>
      <c r="D10" s="20" t="s">
        <v>120</v>
      </c>
      <c r="H10" s="89"/>
      <c r="I10" s="590"/>
      <c r="J10" s="590"/>
      <c r="K10" s="585"/>
      <c r="L10" s="585"/>
    </row>
    <row r="11" spans="1:12" ht="15.75" thickBot="1">
      <c r="A11" s="603" t="s">
        <v>163</v>
      </c>
      <c r="B11" s="511"/>
      <c r="C11" s="603" t="s">
        <v>131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141</v>
      </c>
      <c r="D12" s="113" t="s">
        <v>177</v>
      </c>
      <c r="F12" s="25"/>
      <c r="H12" s="89"/>
      <c r="I12" s="624"/>
      <c r="J12" s="624"/>
      <c r="K12" s="585"/>
      <c r="L12" s="585"/>
    </row>
    <row r="13" spans="1:12">
      <c r="A13" s="26" t="s">
        <v>61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63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62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60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64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65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66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67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405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404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84</v>
      </c>
    </row>
    <row r="25" spans="1:12">
      <c r="A25" s="99" t="s">
        <v>188</v>
      </c>
    </row>
    <row r="26" spans="1:12" ht="45.75" thickBot="1">
      <c r="A26" s="20" t="s">
        <v>402</v>
      </c>
      <c r="B26" s="20" t="s">
        <v>172</v>
      </c>
      <c r="C26" s="20" t="s">
        <v>86</v>
      </c>
      <c r="D26" s="20" t="s">
        <v>184</v>
      </c>
      <c r="E26" s="20" t="s">
        <v>185</v>
      </c>
      <c r="F26" s="21" t="s">
        <v>426</v>
      </c>
      <c r="G26" s="20" t="s">
        <v>138</v>
      </c>
      <c r="H26" s="491" t="s">
        <v>427</v>
      </c>
      <c r="I26" s="491" t="s">
        <v>155</v>
      </c>
      <c r="J26" s="21" t="s">
        <v>186</v>
      </c>
      <c r="K26" s="20" t="s">
        <v>120</v>
      </c>
      <c r="L26" s="21" t="s">
        <v>566</v>
      </c>
    </row>
    <row r="27" spans="1:12" ht="30.75" thickBot="1">
      <c r="A27" s="603" t="s">
        <v>501</v>
      </c>
      <c r="B27" s="604"/>
      <c r="C27" s="604"/>
      <c r="D27" s="604"/>
      <c r="E27" s="604"/>
      <c r="F27" s="605"/>
      <c r="G27" s="603" t="s">
        <v>192</v>
      </c>
      <c r="H27" s="609" t="s">
        <v>428</v>
      </c>
      <c r="I27" s="606" t="s">
        <v>428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48</v>
      </c>
      <c r="G28" s="28" t="s">
        <v>141</v>
      </c>
      <c r="H28" s="487" t="s">
        <v>104</v>
      </c>
      <c r="I28" s="487" t="s">
        <v>73</v>
      </c>
      <c r="J28" s="28" t="s">
        <v>48</v>
      </c>
      <c r="K28" s="28" t="s">
        <v>70</v>
      </c>
      <c r="L28" s="487" t="s">
        <v>48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182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183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415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415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415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415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415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415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156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430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402</v>
      </c>
      <c r="B72" s="20" t="s">
        <v>172</v>
      </c>
      <c r="C72" s="20" t="s">
        <v>86</v>
      </c>
      <c r="D72" s="20" t="s">
        <v>184</v>
      </c>
      <c r="E72" s="20" t="s">
        <v>185</v>
      </c>
      <c r="F72" s="21" t="s">
        <v>426</v>
      </c>
      <c r="G72" s="20" t="s">
        <v>138</v>
      </c>
      <c r="H72" s="491" t="s">
        <v>427</v>
      </c>
      <c r="I72" s="491" t="s">
        <v>155</v>
      </c>
      <c r="J72" s="491" t="s">
        <v>429</v>
      </c>
      <c r="K72" s="491" t="s">
        <v>186</v>
      </c>
      <c r="L72" s="20" t="s">
        <v>120</v>
      </c>
      <c r="M72" s="129"/>
      <c r="N72" s="129"/>
    </row>
    <row r="73" spans="1:14" ht="30.75" thickBot="1">
      <c r="A73" s="603" t="s">
        <v>501</v>
      </c>
      <c r="B73" s="604"/>
      <c r="C73" s="604"/>
      <c r="D73" s="604"/>
      <c r="E73" s="604"/>
      <c r="F73" s="607"/>
      <c r="G73" s="605" t="s">
        <v>192</v>
      </c>
      <c r="H73" s="606" t="s">
        <v>428</v>
      </c>
      <c r="I73" s="606" t="s">
        <v>428</v>
      </c>
      <c r="J73" s="606" t="s">
        <v>428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48</v>
      </c>
      <c r="G74" s="500" t="s">
        <v>141</v>
      </c>
      <c r="H74" s="487" t="s">
        <v>104</v>
      </c>
      <c r="I74" s="487" t="s">
        <v>73</v>
      </c>
      <c r="J74" s="487" t="s">
        <v>187</v>
      </c>
      <c r="K74" s="500" t="s">
        <v>48</v>
      </c>
      <c r="L74" s="500" t="s">
        <v>431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415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415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156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432</v>
      </c>
    </row>
    <row r="88" spans="1:14" ht="30.75" thickBot="1">
      <c r="A88" s="20" t="s">
        <v>402</v>
      </c>
      <c r="B88" s="20" t="s">
        <v>172</v>
      </c>
      <c r="C88" s="20" t="s">
        <v>86</v>
      </c>
      <c r="D88" s="20" t="s">
        <v>184</v>
      </c>
      <c r="E88" s="20" t="s">
        <v>185</v>
      </c>
      <c r="F88" s="21" t="s">
        <v>426</v>
      </c>
      <c r="G88" s="513" t="s">
        <v>138</v>
      </c>
      <c r="H88" s="491" t="s">
        <v>427</v>
      </c>
      <c r="I88" s="20" t="s">
        <v>186</v>
      </c>
      <c r="J88" s="20" t="s">
        <v>120</v>
      </c>
    </row>
    <row r="89" spans="1:14" ht="30.75" thickBot="1">
      <c r="A89" s="603" t="s">
        <v>501</v>
      </c>
      <c r="B89" s="604"/>
      <c r="C89" s="604"/>
      <c r="D89" s="604"/>
      <c r="E89" s="604"/>
      <c r="F89" s="607"/>
      <c r="H89" s="609" t="s">
        <v>428</v>
      </c>
      <c r="I89" s="603"/>
      <c r="J89" s="603" t="s">
        <v>192</v>
      </c>
    </row>
    <row r="90" spans="1:14">
      <c r="A90" s="100"/>
      <c r="B90" s="100"/>
      <c r="C90" s="100"/>
      <c r="D90" s="100"/>
      <c r="E90" s="100"/>
      <c r="F90" s="487" t="s">
        <v>48</v>
      </c>
      <c r="G90" s="500" t="s">
        <v>532</v>
      </c>
      <c r="H90" s="487" t="s">
        <v>104</v>
      </c>
      <c r="I90" s="28" t="s">
        <v>533</v>
      </c>
      <c r="J90" s="28" t="s">
        <v>533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</f>
        <v>7.8175822437094915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</f>
        <v>4.2680604567127389</v>
      </c>
    </row>
    <row r="97" spans="1:14">
      <c r="A97" s="128"/>
      <c r="B97" s="129"/>
      <c r="C97" s="129"/>
      <c r="D97" s="129"/>
      <c r="E97" s="501" t="s">
        <v>156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188.06359047910712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529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402</v>
      </c>
      <c r="B100" s="20" t="s">
        <v>172</v>
      </c>
      <c r="C100" s="20" t="s">
        <v>174</v>
      </c>
      <c r="D100" s="20" t="s">
        <v>184</v>
      </c>
      <c r="E100" s="20" t="s">
        <v>185</v>
      </c>
      <c r="F100" s="21" t="s">
        <v>426</v>
      </c>
      <c r="G100" s="513" t="s">
        <v>120</v>
      </c>
      <c r="H100" s="21" t="s">
        <v>181</v>
      </c>
      <c r="I100" s="21" t="s">
        <v>189</v>
      </c>
      <c r="J100" s="21" t="s">
        <v>155</v>
      </c>
      <c r="K100" s="491" t="s">
        <v>427</v>
      </c>
      <c r="L100" s="21" t="s">
        <v>190</v>
      </c>
      <c r="M100" s="21" t="s">
        <v>503</v>
      </c>
      <c r="N100" s="21" t="s">
        <v>504</v>
      </c>
    </row>
    <row r="101" spans="1:14" ht="30.75" thickBot="1">
      <c r="A101" s="603" t="s">
        <v>501</v>
      </c>
      <c r="B101" s="604"/>
      <c r="C101" s="604"/>
      <c r="D101" s="604"/>
      <c r="E101" s="604"/>
      <c r="F101" s="605" t="s">
        <v>499</v>
      </c>
      <c r="G101" s="605" t="s">
        <v>607</v>
      </c>
      <c r="H101" s="606" t="s">
        <v>428</v>
      </c>
      <c r="I101" s="606" t="s">
        <v>428</v>
      </c>
      <c r="J101" s="606" t="s">
        <v>428</v>
      </c>
      <c r="K101" s="606" t="s">
        <v>428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48</v>
      </c>
      <c r="G102" s="28" t="s">
        <v>191</v>
      </c>
      <c r="H102" s="28" t="s">
        <v>141</v>
      </c>
      <c r="I102" s="28" t="s">
        <v>76</v>
      </c>
      <c r="J102" s="28" t="s">
        <v>73</v>
      </c>
      <c r="K102" s="487" t="s">
        <v>104</v>
      </c>
      <c r="L102" s="28" t="s">
        <v>160</v>
      </c>
      <c r="M102" s="28" t="s">
        <v>191</v>
      </c>
      <c r="N102" s="487" t="s">
        <v>48</v>
      </c>
    </row>
    <row r="103" spans="1:14">
      <c r="A103" s="599" t="s">
        <v>405</v>
      </c>
      <c r="B103" s="26" t="str">
        <f>Legend!$A$48</f>
        <v>Public lighting</v>
      </c>
      <c r="C103" s="26" t="s">
        <v>74</v>
      </c>
      <c r="D103" s="23" t="str">
        <f>Legend!$B$58</f>
        <v>ELC</v>
      </c>
      <c r="E103" s="23" t="str">
        <f>Legend!$C$58</f>
        <v>SRVELC</v>
      </c>
      <c r="F103" s="718">
        <f>'Public SEAI'!C29*Legend!$B$80</f>
        <v>1.4472</v>
      </c>
      <c r="G103" s="719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405</v>
      </c>
      <c r="B104" s="26" t="str">
        <f>Legend!$A$48</f>
        <v>Public lighting</v>
      </c>
      <c r="C104" s="26" t="s">
        <v>75</v>
      </c>
      <c r="D104" s="129" t="str">
        <f>Legend!$B$58</f>
        <v>ELC</v>
      </c>
      <c r="E104" s="129" t="str">
        <f>Legend!$C$58</f>
        <v>SRVELC</v>
      </c>
      <c r="F104" s="718"/>
      <c r="G104" s="719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405</v>
      </c>
      <c r="B105" s="26" t="str">
        <f>Legend!$A$48</f>
        <v>Public lighting</v>
      </c>
      <c r="C105" s="26" t="s">
        <v>33</v>
      </c>
      <c r="D105" s="129" t="str">
        <f>Legend!$B$58</f>
        <v>ELC</v>
      </c>
      <c r="E105" s="129" t="str">
        <f>Legend!$C$58</f>
        <v>SRVELC</v>
      </c>
      <c r="F105" s="718"/>
      <c r="G105" s="719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405</v>
      </c>
      <c r="B106" s="130" t="str">
        <f>Legend!$A$48</f>
        <v>Public lighting</v>
      </c>
      <c r="C106" s="24" t="s">
        <v>34</v>
      </c>
      <c r="D106" s="130" t="str">
        <f>Legend!$B$58</f>
        <v>ELC</v>
      </c>
      <c r="E106" s="130" t="str">
        <f>Legend!$C$58</f>
        <v>SRVELC</v>
      </c>
      <c r="F106" s="718"/>
      <c r="G106" s="719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405</v>
      </c>
      <c r="B107" s="130" t="str">
        <f>Legend!$A$48</f>
        <v>Public lighting</v>
      </c>
      <c r="C107" s="601" t="s">
        <v>502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505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530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402</v>
      </c>
      <c r="B111" s="513" t="s">
        <v>172</v>
      </c>
      <c r="C111" s="513" t="s">
        <v>86</v>
      </c>
      <c r="D111" s="513" t="s">
        <v>184</v>
      </c>
      <c r="E111" s="513" t="s">
        <v>185</v>
      </c>
      <c r="F111" s="513" t="s">
        <v>120</v>
      </c>
      <c r="G111" s="21" t="s">
        <v>498</v>
      </c>
      <c r="H111" s="491" t="s">
        <v>427</v>
      </c>
      <c r="I111" s="21" t="s">
        <v>426</v>
      </c>
      <c r="J111" s="1"/>
      <c r="K111" s="1"/>
      <c r="L111" s="1"/>
      <c r="M111" s="88"/>
      <c r="N111" s="587"/>
    </row>
    <row r="112" spans="1:14" ht="30.75" thickBot="1">
      <c r="A112" s="603" t="s">
        <v>501</v>
      </c>
      <c r="B112" s="604"/>
      <c r="C112" s="610"/>
      <c r="D112" s="610"/>
      <c r="E112" s="610"/>
      <c r="F112" s="611" t="s">
        <v>499</v>
      </c>
      <c r="G112" s="612" t="s">
        <v>500</v>
      </c>
      <c r="H112" s="606" t="s">
        <v>428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70</v>
      </c>
      <c r="G113" s="26" t="s">
        <v>141</v>
      </c>
      <c r="H113" s="487" t="s">
        <v>104</v>
      </c>
      <c r="I113" s="26" t="s">
        <v>48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8"/>
  <sheetViews>
    <sheetView zoomScale="80" zoomScaleNormal="80" workbookViewId="0">
      <selection activeCell="E31" sqref="E31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89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544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123</v>
      </c>
      <c r="C4" s="52" t="s">
        <v>558</v>
      </c>
      <c r="D4" s="53" t="s">
        <v>541</v>
      </c>
      <c r="E4" s="53" t="s">
        <v>97</v>
      </c>
      <c r="F4" s="53"/>
      <c r="G4" s="53"/>
      <c r="H4" s="53"/>
      <c r="I4" s="53"/>
      <c r="J4" s="53"/>
      <c r="K4" s="54"/>
    </row>
    <row r="5" spans="2:18">
      <c r="B5" s="31" t="s">
        <v>28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68</v>
      </c>
      <c r="Q5" s="1"/>
      <c r="R5" s="1"/>
    </row>
    <row r="6" spans="2:18">
      <c r="B6" s="32" t="s">
        <v>28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68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48</v>
      </c>
      <c r="H7" s="31" t="s">
        <v>32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48</v>
      </c>
      <c r="H8" s="31" t="s">
        <v>32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48</v>
      </c>
      <c r="H9" s="31" t="s">
        <v>32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48</v>
      </c>
      <c r="H10" s="31" t="s">
        <v>32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48</v>
      </c>
      <c r="H11" s="31" t="s">
        <v>32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48</v>
      </c>
      <c r="H12" s="31" t="s">
        <v>32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48</v>
      </c>
      <c r="G13" s="31"/>
      <c r="H13" s="31" t="s">
        <v>32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48</v>
      </c>
      <c r="G14" s="31"/>
      <c r="H14" s="31" t="s">
        <v>32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48</v>
      </c>
      <c r="G15" s="31"/>
      <c r="H15" s="31" t="s">
        <v>32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48</v>
      </c>
      <c r="G16" s="31"/>
      <c r="H16" s="31" t="s">
        <v>32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48</v>
      </c>
      <c r="H17" s="31" t="s">
        <v>32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48</v>
      </c>
      <c r="G18" s="31"/>
      <c r="H18" s="31" t="s">
        <v>32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48</v>
      </c>
      <c r="G19" s="31"/>
      <c r="H19" s="31" t="s">
        <v>32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48</v>
      </c>
      <c r="G20" s="22"/>
      <c r="H20" s="22" t="s">
        <v>32</v>
      </c>
      <c r="I20" s="22"/>
      <c r="J20" s="22"/>
      <c r="K20" s="31"/>
    </row>
    <row r="21" spans="2:11" s="1" customFormat="1">
      <c r="B21" s="667" t="s">
        <v>28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48</v>
      </c>
      <c r="G21" s="667"/>
      <c r="H21" s="667" t="s">
        <v>32</v>
      </c>
      <c r="I21" s="667"/>
      <c r="J21" s="667"/>
      <c r="K21" s="31"/>
    </row>
    <row r="22" spans="2:11" s="1" customFormat="1">
      <c r="B22" s="32" t="s">
        <v>28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">
        <v>48</v>
      </c>
      <c r="G22" s="32"/>
      <c r="H22" s="32" t="s">
        <v>32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48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48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48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48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48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48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48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48</v>
      </c>
      <c r="G30" s="31"/>
      <c r="H30" s="31" t="s">
        <v>94</v>
      </c>
      <c r="I30" s="31"/>
      <c r="J30" s="31" t="s">
        <v>49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48</v>
      </c>
      <c r="I31" s="31"/>
      <c r="J31" s="31"/>
      <c r="K31" s="31"/>
    </row>
    <row r="32" spans="2:11" s="1" customFormat="1">
      <c r="B32" s="26" t="s">
        <v>21</v>
      </c>
      <c r="C32" s="26" t="str">
        <f>_xlfn.TEXTJOIN(",",TRUE,IF(LEFT(Regions!$C$3,1)&lt;&gt;"*",Regions!$C$3,""),IF(LEFT(Regions!$D$3,1)&lt;&gt;"*",Regions!$D$3,""))</f>
        <v>IE,National</v>
      </c>
      <c r="D32" s="31" t="str">
        <f>Legend!C60</f>
        <v>SRVHET</v>
      </c>
      <c r="E32" s="31" t="str">
        <f>Legend!A60&amp;" (SRV)"</f>
        <v>District heating (SRV)</v>
      </c>
      <c r="F32" s="31" t="s">
        <v>48</v>
      </c>
      <c r="G32" s="31" t="s">
        <v>167</v>
      </c>
      <c r="H32" s="31" t="s">
        <v>94</v>
      </c>
      <c r="I32" s="31"/>
      <c r="J32" s="31"/>
      <c r="K32" s="31"/>
    </row>
    <row r="33" spans="1:15" s="1" customFormat="1">
      <c r="B33" s="22" t="s">
        <v>21</v>
      </c>
      <c r="C33" s="22" t="str">
        <f>_xlfn.TEXTJOIN(",",TRUE,IF(LEFT(Regions!$C$3,1)&lt;&gt;"*",Regions!$C$3,""),IF(LEFT(Regions!$D$3,1)&lt;&gt;"*",Regions!$D$3,""))</f>
        <v>IE,National</v>
      </c>
      <c r="D33" s="22" t="str">
        <f>Legend!C61</f>
        <v>SRVWIN</v>
      </c>
      <c r="E33" s="22" t="str">
        <f>Legend!A61&amp;" (SRV)"</f>
        <v>Wind (SRV)</v>
      </c>
      <c r="F33" s="22" t="s">
        <v>48</v>
      </c>
      <c r="G33" s="105"/>
      <c r="H33" s="105"/>
      <c r="I33" s="105"/>
      <c r="J33" s="105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SRVH2G</v>
      </c>
      <c r="E34" s="22" t="str">
        <f>Legend!A62&amp;" (SRV)"</f>
        <v>Hydrogen (gaseous) (SRV)</v>
      </c>
      <c r="F34" s="22" t="s">
        <v>48</v>
      </c>
      <c r="G34" s="22"/>
      <c r="H34" s="22"/>
      <c r="I34" s="22"/>
      <c r="J34" s="22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SRVH2L</v>
      </c>
      <c r="E35" s="22" t="str">
        <f>Legend!A63&amp;" (SRV)"</f>
        <v>Hydrogen (liquid) (SRV)</v>
      </c>
      <c r="F35" s="22" t="s">
        <v>48</v>
      </c>
      <c r="G35" s="105"/>
      <c r="H35" s="105"/>
      <c r="I35" s="105"/>
      <c r="J35" s="105"/>
      <c r="K35" s="31"/>
    </row>
    <row r="36" spans="1:15" s="1" customFormat="1">
      <c r="B36" s="32" t="s">
        <v>21</v>
      </c>
      <c r="C36" s="32" t="str">
        <f>_xlfn.TEXTJOIN(",",TRUE,IF(LEFT(Regions!$C$3,1)&lt;&gt;"*",Regions!$C$3,""),IF(LEFT(Regions!$D$3,1)&lt;&gt;"*",Regions!$D$3,""))</f>
        <v>IE,National</v>
      </c>
      <c r="D36" s="32" t="str">
        <f>Legend!C64</f>
        <v>SRVBDL</v>
      </c>
      <c r="E36" s="32" t="str">
        <f>Legend!A64&amp;" (SRV)"</f>
        <v>Biodiesel (SRV)</v>
      </c>
      <c r="F36" s="32" t="s">
        <v>48</v>
      </c>
      <c r="G36" s="106"/>
      <c r="H36" s="106"/>
      <c r="I36" s="106"/>
      <c r="J36" s="106"/>
      <c r="K36" s="31"/>
    </row>
    <row r="37" spans="1:15" s="1" customFormat="1">
      <c r="B37" s="667" t="s">
        <v>26</v>
      </c>
      <c r="C37" s="22" t="str">
        <f>_xlfn.TEXTJOIN(",",TRUE,IF(LEFT(Regions!$C$3,1)&lt;&gt;"*",Regions!$C$3,""),IF(LEFT(Regions!$D$3,1)&lt;&gt;"*",Regions!$D$3,""))</f>
        <v>IE,National</v>
      </c>
      <c r="D37" s="18" t="s">
        <v>545</v>
      </c>
      <c r="E37" s="1" t="s">
        <v>556</v>
      </c>
      <c r="F37" s="667" t="s">
        <v>557</v>
      </c>
      <c r="G37" s="667"/>
      <c r="H37" s="667"/>
      <c r="I37" s="667"/>
      <c r="J37" s="667"/>
      <c r="K37" s="31"/>
    </row>
    <row r="38" spans="1:15" s="1" customFormat="1">
      <c r="B38" s="22" t="s">
        <v>26</v>
      </c>
      <c r="C38" s="22" t="str">
        <f>_xlfn.TEXTJOIN(",",TRUE,IF(LEFT(Regions!$C$3,1)&lt;&gt;"*",Regions!$C$3,""),IF(LEFT(Regions!$D$3,1)&lt;&gt;"*",Regions!$D$3,""))</f>
        <v>IE,National</v>
      </c>
      <c r="D38" s="458" t="s">
        <v>546</v>
      </c>
      <c r="E38" s="105" t="s">
        <v>551</v>
      </c>
      <c r="F38" s="105" t="s">
        <v>557</v>
      </c>
      <c r="G38" s="105"/>
      <c r="H38" s="105"/>
      <c r="I38" s="105"/>
      <c r="J38" s="105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13" t="s">
        <v>547</v>
      </c>
      <c r="E39" s="105" t="s">
        <v>552</v>
      </c>
      <c r="F39" s="105" t="s">
        <v>557</v>
      </c>
      <c r="G39" s="22"/>
      <c r="H39" s="22"/>
      <c r="I39" s="22"/>
      <c r="J39" s="22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548</v>
      </c>
      <c r="E40" s="105" t="s">
        <v>553</v>
      </c>
      <c r="F40" s="105" t="s">
        <v>557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549</v>
      </c>
      <c r="E41" s="105" t="s">
        <v>554</v>
      </c>
      <c r="F41" s="105" t="s">
        <v>557</v>
      </c>
      <c r="G41" s="22"/>
      <c r="H41" s="22"/>
      <c r="I41" s="22"/>
      <c r="J41" s="22"/>
      <c r="K41" s="31"/>
    </row>
    <row r="42" spans="1:15" s="1" customFormat="1">
      <c r="B42" s="32" t="s">
        <v>26</v>
      </c>
      <c r="C42" s="32" t="str">
        <f>_xlfn.TEXTJOIN(",",TRUE,IF(LEFT(Regions!$C$3,1)&lt;&gt;"*",Regions!$C$3,""),IF(LEFT(Regions!$D$3,1)&lt;&gt;"*",Regions!$D$3,""))</f>
        <v>IE,National</v>
      </c>
      <c r="D42" s="15" t="s">
        <v>550</v>
      </c>
      <c r="E42" s="106" t="s">
        <v>555</v>
      </c>
      <c r="F42" s="106" t="s">
        <v>557</v>
      </c>
      <c r="G42" s="32"/>
      <c r="H42" s="32"/>
      <c r="I42" s="32"/>
      <c r="J42" s="3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165</v>
      </c>
      <c r="E43" s="106" t="s">
        <v>587</v>
      </c>
      <c r="F43" s="106" t="s">
        <v>557</v>
      </c>
      <c r="G43" s="32"/>
      <c r="H43" s="32"/>
      <c r="I43" s="32"/>
      <c r="J43" s="32"/>
      <c r="K43" s="31"/>
    </row>
    <row r="44" spans="1:15" s="1" customFormat="1">
      <c r="B44" s="31"/>
      <c r="C44" s="31"/>
      <c r="D44" s="7"/>
      <c r="G44" s="31"/>
      <c r="H44" s="31"/>
      <c r="I44" s="31"/>
      <c r="J44" s="31"/>
      <c r="K44" s="31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Q21"/>
  <sheetViews>
    <sheetView topLeftCell="A5" zoomScaleNormal="100" workbookViewId="0">
      <selection activeCell="F15" sqref="F15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9" width="9.140625" style="31"/>
    <col min="10" max="10" width="12.140625" style="31" bestFit="1" customWidth="1"/>
    <col min="11" max="11" width="15.140625" style="31" customWidth="1"/>
    <col min="12" max="12" width="45.7109375" style="31" bestFit="1" customWidth="1"/>
    <col min="13" max="17" width="9.140625" style="31"/>
    <col min="18" max="16384" width="9.140625" style="7"/>
  </cols>
  <sheetData>
    <row r="1" spans="2:17" ht="23.25">
      <c r="B1" s="34" t="s">
        <v>90</v>
      </c>
    </row>
    <row r="2" spans="2:17">
      <c r="D2" s="56" t="s">
        <v>91</v>
      </c>
      <c r="I2" s="50" t="s">
        <v>13</v>
      </c>
      <c r="J2" s="50"/>
      <c r="K2" s="56"/>
      <c r="L2" s="64"/>
      <c r="M2" s="64"/>
      <c r="N2" s="64"/>
      <c r="O2" s="64"/>
      <c r="P2" s="64"/>
    </row>
    <row r="3" spans="2:17" ht="15.75" thickBot="1">
      <c r="B3" s="35" t="str">
        <f t="shared" ref="B3:B7" si="0">K3</f>
        <v>TechName</v>
      </c>
      <c r="C3" s="35" t="s">
        <v>22</v>
      </c>
      <c r="D3" s="35" t="s">
        <v>23</v>
      </c>
      <c r="E3" s="35" t="s">
        <v>92</v>
      </c>
      <c r="F3" s="35" t="s">
        <v>601</v>
      </c>
      <c r="G3" s="35" t="s">
        <v>602</v>
      </c>
      <c r="I3" s="35" t="s">
        <v>14</v>
      </c>
      <c r="J3" s="35" t="s">
        <v>544</v>
      </c>
      <c r="K3" s="35" t="s">
        <v>4</v>
      </c>
      <c r="L3" s="35" t="s">
        <v>15</v>
      </c>
      <c r="M3" s="35" t="s">
        <v>16</v>
      </c>
      <c r="N3" s="35" t="s">
        <v>17</v>
      </c>
      <c r="O3" s="35" t="s">
        <v>18</v>
      </c>
      <c r="P3" s="35" t="s">
        <v>19</v>
      </c>
      <c r="Q3" s="67" t="s">
        <v>20</v>
      </c>
    </row>
    <row r="4" spans="2:17" ht="51">
      <c r="B4" s="55" t="s">
        <v>134</v>
      </c>
      <c r="C4" s="55" t="s">
        <v>135</v>
      </c>
      <c r="D4" s="55" t="s">
        <v>136</v>
      </c>
      <c r="E4" s="52" t="s">
        <v>138</v>
      </c>
      <c r="F4" s="52" t="s">
        <v>604</v>
      </c>
      <c r="G4" s="52" t="s">
        <v>603</v>
      </c>
      <c r="I4" s="52" t="s">
        <v>124</v>
      </c>
      <c r="J4" s="52" t="s">
        <v>558</v>
      </c>
      <c r="K4" s="52" t="s">
        <v>125</v>
      </c>
      <c r="L4" s="52" t="s">
        <v>97</v>
      </c>
      <c r="M4" s="52" t="s">
        <v>126</v>
      </c>
      <c r="N4" s="52" t="s">
        <v>127</v>
      </c>
      <c r="O4" s="52" t="s">
        <v>128</v>
      </c>
      <c r="P4" s="55" t="s">
        <v>129</v>
      </c>
      <c r="Q4" s="55" t="s">
        <v>130</v>
      </c>
    </row>
    <row r="5" spans="2:17">
      <c r="B5" s="31" t="str">
        <f t="shared" si="0"/>
        <v>FT-SRVCOA</v>
      </c>
      <c r="C5" s="31" t="s">
        <v>571</v>
      </c>
      <c r="D5" s="31" t="str">
        <f>Legend!C51</f>
        <v>SRVCOA</v>
      </c>
      <c r="E5" s="31">
        <v>1</v>
      </c>
      <c r="I5" s="64" t="s">
        <v>24</v>
      </c>
      <c r="J5" s="64" t="str">
        <f>_xlfn.TEXTJOIN(",",TRUE,IF(LEFT(Regions!$C$3,1)&lt;&gt;"*",Regions!$C$3,""),IF(LEFT(Regions!$D$3,1)&lt;&gt;"*",Regions!$D$3,""))</f>
        <v>IE,National</v>
      </c>
      <c r="K5" s="64" t="str">
        <f>"FT-"&amp;D5</f>
        <v>FT-SRVCOA</v>
      </c>
      <c r="L5" s="64" t="str">
        <f>"Fuel Tech - "&amp;Legend!A51</f>
        <v>Fuel Tech - Solids</v>
      </c>
      <c r="M5" s="64" t="s">
        <v>48</v>
      </c>
      <c r="N5" s="64" t="s">
        <v>93</v>
      </c>
      <c r="O5" s="64"/>
      <c r="P5" s="64"/>
    </row>
    <row r="6" spans="2:17">
      <c r="B6" s="31" t="str">
        <f t="shared" si="0"/>
        <v>FT-SRVLPG</v>
      </c>
      <c r="C6" s="31" t="s">
        <v>102</v>
      </c>
      <c r="D6" s="31" t="str">
        <f>Legend!C52</f>
        <v>SRVLPG</v>
      </c>
      <c r="E6" s="31">
        <v>1</v>
      </c>
      <c r="I6" s="64" t="s">
        <v>24</v>
      </c>
      <c r="J6" s="64" t="str">
        <f>_xlfn.TEXTJOIN(",",TRUE,IF(LEFT(Regions!$C$3,1)&lt;&gt;"*",Regions!$C$3,""),IF(LEFT(Regions!$D$3,1)&lt;&gt;"*",Regions!$D$3,""))</f>
        <v>IE,National</v>
      </c>
      <c r="K6" s="64" t="str">
        <f t="shared" ref="K6:K7" si="1">"FT-"&amp;D6</f>
        <v>FT-SRVLPG</v>
      </c>
      <c r="L6" s="64" t="str">
        <f>"Fuel Tech - "&amp;Legend!A52</f>
        <v>Fuel Tech - LPG</v>
      </c>
      <c r="M6" s="64" t="s">
        <v>48</v>
      </c>
      <c r="N6" s="64" t="s">
        <v>93</v>
      </c>
      <c r="O6" s="64"/>
      <c r="P6" s="64"/>
    </row>
    <row r="7" spans="2:17">
      <c r="B7" s="31" t="str">
        <f t="shared" si="0"/>
        <v>FT-SRVOIL</v>
      </c>
      <c r="C7" s="31" t="s">
        <v>572</v>
      </c>
      <c r="D7" s="31" t="str">
        <f>Legend!C53</f>
        <v>SRVOIL</v>
      </c>
      <c r="E7" s="31">
        <v>1</v>
      </c>
      <c r="F7" s="89">
        <f>EB_SRV!R5*Legend!$B$79/EB_SRV!$F$12</f>
        <v>0.3801393369171337</v>
      </c>
      <c r="G7" s="31">
        <v>5</v>
      </c>
      <c r="I7" s="64" t="s">
        <v>24</v>
      </c>
      <c r="J7" s="64" t="str">
        <f>_xlfn.TEXTJOIN(",",TRUE,IF(LEFT(Regions!$C$3,1)&lt;&gt;"*",Regions!$C$3,""),IF(LEFT(Regions!$D$3,1)&lt;&gt;"*",Regions!$D$3,""))</f>
        <v>IE,National</v>
      </c>
      <c r="K7" s="64" t="str">
        <f t="shared" si="1"/>
        <v>FT-SRVOIL</v>
      </c>
      <c r="L7" s="64" t="str">
        <f>"Fuel Tech - "&amp;Legend!A53</f>
        <v>Fuel Tech - Oil</v>
      </c>
      <c r="M7" s="64" t="s">
        <v>48</v>
      </c>
      <c r="N7" s="64" t="s">
        <v>93</v>
      </c>
      <c r="O7" s="64"/>
      <c r="P7" s="64"/>
    </row>
    <row r="8" spans="2:17">
      <c r="C8" s="31" t="s">
        <v>605</v>
      </c>
      <c r="F8" s="89">
        <f>EB_SRV!V5*Legend!$B$79/EB_SRV!$F$12</f>
        <v>0.61654418072251393</v>
      </c>
      <c r="G8" s="31">
        <v>5</v>
      </c>
      <c r="I8" s="64" t="s">
        <v>24</v>
      </c>
      <c r="J8" s="64" t="str">
        <f>_xlfn.TEXTJOIN(",",TRUE,IF(LEFT(Regions!$C$3,1)&lt;&gt;"*",Regions!$C$3,""),IF(LEFT(Regions!$D$3,1)&lt;&gt;"*",Regions!$D$3,""))</f>
        <v>IE,National</v>
      </c>
      <c r="K8" s="64" t="str">
        <f t="shared" ref="K8:K19" si="2">"FT-"&amp;D10</f>
        <v>FT-SRVGAS</v>
      </c>
      <c r="L8" s="64" t="str">
        <f>"Fuel Tech - "&amp;Legend!A54</f>
        <v>Fuel Tech - Natural Gas</v>
      </c>
      <c r="M8" s="64" t="s">
        <v>48</v>
      </c>
      <c r="N8" s="64" t="s">
        <v>93</v>
      </c>
      <c r="O8" s="64"/>
      <c r="P8" s="64"/>
    </row>
    <row r="9" spans="2:17">
      <c r="C9" s="31" t="s">
        <v>606</v>
      </c>
      <c r="F9" s="89">
        <f>EB_SRV!T5*Legend!$B$79/EB_SRV!$F$12</f>
        <v>3.3164823603523581E-3</v>
      </c>
      <c r="G9" s="31">
        <v>5</v>
      </c>
      <c r="I9" s="64" t="s">
        <v>24</v>
      </c>
      <c r="J9" s="64" t="str">
        <f>_xlfn.TEXTJOIN(",",TRUE,IF(LEFT(Regions!$C$3,1)&lt;&gt;"*",Regions!$C$3,""),IF(LEFT(Regions!$D$3,1)&lt;&gt;"*",Regions!$D$3,""))</f>
        <v>IE,National</v>
      </c>
      <c r="K9" s="64" t="str">
        <f t="shared" si="2"/>
        <v>FT-SRVBIO</v>
      </c>
      <c r="L9" s="64" t="str">
        <f>"Fuel Tech - "&amp;Legend!A55</f>
        <v>Fuel Tech - Biomass</v>
      </c>
      <c r="M9" s="64" t="s">
        <v>48</v>
      </c>
      <c r="N9" s="64" t="s">
        <v>93</v>
      </c>
      <c r="O9" s="64"/>
      <c r="P9" s="64"/>
    </row>
    <row r="10" spans="2:17">
      <c r="B10" s="31" t="str">
        <f t="shared" ref="B10:B21" si="3">K8</f>
        <v>FT-SRVGAS</v>
      </c>
      <c r="C10" s="31" t="s">
        <v>101</v>
      </c>
      <c r="D10" s="31" t="str">
        <f>Legend!C54</f>
        <v>SRVGAS</v>
      </c>
      <c r="E10" s="31">
        <v>1</v>
      </c>
      <c r="I10" s="64" t="s">
        <v>24</v>
      </c>
      <c r="J10" s="64" t="str">
        <f>_xlfn.TEXTJOIN(",",TRUE,IF(LEFT(Regions!$C$3,1)&lt;&gt;"*",Regions!$C$3,""),IF(LEFT(Regions!$D$3,1)&lt;&gt;"*",Regions!$D$3,""))</f>
        <v>IE,National</v>
      </c>
      <c r="K10" s="64" t="str">
        <f t="shared" si="2"/>
        <v>FT-SRVBGS</v>
      </c>
      <c r="L10" s="64" t="str">
        <f>"Fuel Tech - "&amp;Legend!A56</f>
        <v>Fuel Tech - Biogas</v>
      </c>
      <c r="M10" s="64" t="s">
        <v>48</v>
      </c>
      <c r="N10" s="64" t="s">
        <v>93</v>
      </c>
      <c r="O10" s="64"/>
      <c r="P10" s="64"/>
    </row>
    <row r="11" spans="2:17">
      <c r="B11" s="31" t="str">
        <f t="shared" si="3"/>
        <v>FT-SRVBIO</v>
      </c>
      <c r="C11" s="31" t="s">
        <v>573</v>
      </c>
      <c r="D11" s="31" t="str">
        <f>Legend!C55</f>
        <v>SRVBIO</v>
      </c>
      <c r="E11" s="31">
        <v>1</v>
      </c>
      <c r="I11" s="64" t="s">
        <v>24</v>
      </c>
      <c r="J11" s="64" t="str">
        <f>_xlfn.TEXTJOIN(",",TRUE,IF(LEFT(Regions!$C$3,1)&lt;&gt;"*",Regions!$C$3,""),IF(LEFT(Regions!$D$3,1)&lt;&gt;"*",Regions!$D$3,""))</f>
        <v>IE,National</v>
      </c>
      <c r="K11" s="64" t="str">
        <f t="shared" si="2"/>
        <v>FT-SRVSOL</v>
      </c>
      <c r="L11" s="64" t="str">
        <f>"Fuel Tech - "&amp;Legend!A57</f>
        <v>Fuel Tech - Solar</v>
      </c>
      <c r="M11" s="64" t="s">
        <v>48</v>
      </c>
      <c r="N11" s="64" t="s">
        <v>93</v>
      </c>
      <c r="O11" s="64"/>
      <c r="P11" s="64"/>
    </row>
    <row r="12" spans="2:17">
      <c r="B12" s="31" t="str">
        <f t="shared" si="3"/>
        <v>FT-SRVBGS</v>
      </c>
      <c r="C12" s="31" t="s">
        <v>577</v>
      </c>
      <c r="D12" s="31" t="str">
        <f>Legend!C56</f>
        <v>SRVBGS</v>
      </c>
      <c r="E12" s="31">
        <v>1</v>
      </c>
      <c r="I12" s="64" t="s">
        <v>24</v>
      </c>
      <c r="J12" s="64" t="str">
        <f>_xlfn.TEXTJOIN(",",TRUE,IF(LEFT(Regions!$C$3,1)&lt;&gt;"*",Regions!$C$3,""),IF(LEFT(Regions!$D$3,1)&lt;&gt;"*",Regions!$D$3,""))</f>
        <v>IE,National</v>
      </c>
      <c r="K12" s="64" t="str">
        <f t="shared" si="2"/>
        <v>FT-SRVELC</v>
      </c>
      <c r="L12" s="64" t="str">
        <f>"Fuel Tech - "&amp;Legend!A58</f>
        <v>Fuel Tech - Electricity</v>
      </c>
      <c r="M12" s="64" t="s">
        <v>48</v>
      </c>
      <c r="N12" s="64" t="s">
        <v>93</v>
      </c>
      <c r="O12" s="64" t="s">
        <v>94</v>
      </c>
      <c r="P12" s="64"/>
    </row>
    <row r="13" spans="2:17">
      <c r="B13" s="31" t="str">
        <f t="shared" si="3"/>
        <v>FT-SRVSOL</v>
      </c>
      <c r="C13" s="31" t="s">
        <v>568</v>
      </c>
      <c r="D13" s="31" t="str">
        <f>Legend!C57</f>
        <v>SRVSOL</v>
      </c>
      <c r="E13" s="31">
        <v>1</v>
      </c>
      <c r="I13" s="66" t="s">
        <v>24</v>
      </c>
      <c r="J13" s="66" t="str">
        <f>_xlfn.TEXTJOIN(",",TRUE,IF(LEFT(Regions!$C$3,1)&lt;&gt;"*",Regions!$C$3,""),IF(LEFT(Regions!$D$3,1)&lt;&gt;"*",Regions!$D$3,""))</f>
        <v>IE,National</v>
      </c>
      <c r="K13" s="66" t="str">
        <f t="shared" si="2"/>
        <v>FT-SRVAHT</v>
      </c>
      <c r="L13" s="66" t="str">
        <f>"Fuel Tech - "&amp;Legend!A59</f>
        <v>Fuel Tech - Ambient Heat</v>
      </c>
      <c r="M13" s="66" t="s">
        <v>48</v>
      </c>
      <c r="N13" s="66" t="s">
        <v>93</v>
      </c>
      <c r="O13" s="66"/>
      <c r="P13" s="66"/>
      <c r="Q13" s="32"/>
    </row>
    <row r="14" spans="2:17">
      <c r="B14" s="31" t="str">
        <f t="shared" si="3"/>
        <v>FT-SRVELC</v>
      </c>
      <c r="C14" s="31" t="s">
        <v>576</v>
      </c>
      <c r="D14" s="31" t="str">
        <f>Legend!C58</f>
        <v>SRVELC</v>
      </c>
      <c r="E14" s="31">
        <v>1</v>
      </c>
      <c r="I14" s="64" t="s">
        <v>24</v>
      </c>
      <c r="J14" s="64" t="str">
        <f>_xlfn.TEXTJOIN(",",TRUE,IF(LEFT(Regions!$C$3,1)&lt;&gt;"*",Regions!$C$3,""),IF(LEFT(Regions!$D$3,1)&lt;&gt;"*",Regions!$D$3,""))</f>
        <v>IE,National</v>
      </c>
      <c r="K14" s="64" t="str">
        <f t="shared" si="2"/>
        <v>FT-SRVHET</v>
      </c>
      <c r="L14" s="64" t="str">
        <f>"Fuel Tech - "&amp;Legend!A60</f>
        <v>Fuel Tech - District heating</v>
      </c>
      <c r="M14" s="64" t="s">
        <v>48</v>
      </c>
      <c r="N14" s="64" t="s">
        <v>93</v>
      </c>
      <c r="O14" s="64" t="s">
        <v>94</v>
      </c>
      <c r="P14" s="64"/>
    </row>
    <row r="15" spans="2:17">
      <c r="B15" s="32" t="str">
        <f t="shared" si="3"/>
        <v>FT-SRVAHT</v>
      </c>
      <c r="C15" s="32" t="s">
        <v>569</v>
      </c>
      <c r="D15" s="32" t="str">
        <f>Legend!C59</f>
        <v>SRVAHT</v>
      </c>
      <c r="E15" s="32">
        <v>1</v>
      </c>
      <c r="F15" s="32"/>
      <c r="G15" s="32"/>
      <c r="I15" s="64" t="s">
        <v>24</v>
      </c>
      <c r="J15" s="64" t="str">
        <f>_xlfn.TEXTJOIN(",",TRUE,IF(LEFT(Regions!$C$3,1)&lt;&gt;"*",Regions!$C$3,""),IF(LEFT(Regions!$D$3,1)&lt;&gt;"*",Regions!$D$3,""))</f>
        <v>IE,National</v>
      </c>
      <c r="K15" s="64" t="str">
        <f t="shared" si="2"/>
        <v>FT-SRVWIN</v>
      </c>
      <c r="L15" s="64" t="str">
        <f>"Fuel Tech - "&amp;Legend!A61</f>
        <v>Fuel Tech - Wind</v>
      </c>
      <c r="M15" s="64" t="s">
        <v>48</v>
      </c>
      <c r="N15" s="64" t="s">
        <v>93</v>
      </c>
      <c r="O15" s="64"/>
      <c r="P15" s="64"/>
    </row>
    <row r="16" spans="2:17">
      <c r="B16" s="31" t="str">
        <f t="shared" si="3"/>
        <v>FT-SRVHET</v>
      </c>
      <c r="C16" s="31" t="s">
        <v>166</v>
      </c>
      <c r="D16" s="31" t="str">
        <f>Legend!C60</f>
        <v>SRVHET</v>
      </c>
      <c r="E16" s="31">
        <v>1</v>
      </c>
      <c r="I16" s="64" t="s">
        <v>24</v>
      </c>
      <c r="J16" s="64" t="str">
        <f>_xlfn.TEXTJOIN(",",TRUE,IF(LEFT(Regions!$C$3,1)&lt;&gt;"*",Regions!$C$3,""),IF(LEFT(Regions!$D$3,1)&lt;&gt;"*",Regions!$D$3,""))</f>
        <v>IE,National</v>
      </c>
      <c r="K16" s="64" t="str">
        <f t="shared" si="2"/>
        <v>FT-SRVH2G</v>
      </c>
      <c r="L16" s="64" t="str">
        <f>"Fuel Tech - "&amp;Legend!A62</f>
        <v>Fuel Tech - Hydrogen (gaseous)</v>
      </c>
      <c r="M16" s="64" t="s">
        <v>48</v>
      </c>
      <c r="N16" s="64" t="s">
        <v>93</v>
      </c>
      <c r="O16" s="64"/>
      <c r="P16" s="64"/>
    </row>
    <row r="17" spans="2:17">
      <c r="B17" s="31" t="str">
        <f t="shared" si="3"/>
        <v>FT-SRVWIN</v>
      </c>
      <c r="C17" s="31" t="s">
        <v>578</v>
      </c>
      <c r="D17" s="31" t="str">
        <f>Legend!C61</f>
        <v>SRVWIN</v>
      </c>
      <c r="E17" s="31">
        <v>1</v>
      </c>
      <c r="I17" s="64" t="s">
        <v>24</v>
      </c>
      <c r="J17" s="64" t="str">
        <f>_xlfn.TEXTJOIN(",",TRUE,IF(LEFT(Regions!$C$3,1)&lt;&gt;"*",Regions!$C$3,""),IF(LEFT(Regions!$D$3,1)&lt;&gt;"*",Regions!$D$3,""))</f>
        <v>IE,National</v>
      </c>
      <c r="K17" s="64" t="str">
        <f t="shared" si="2"/>
        <v>FT-SRVH2L</v>
      </c>
      <c r="L17" s="64" t="str">
        <f>"Fuel Tech - "&amp;Legend!A63</f>
        <v>Fuel Tech - Hydrogen (liquid)</v>
      </c>
      <c r="M17" s="64" t="s">
        <v>48</v>
      </c>
      <c r="N17" s="64" t="s">
        <v>93</v>
      </c>
      <c r="O17" s="64"/>
      <c r="P17" s="64"/>
    </row>
    <row r="18" spans="2:17">
      <c r="B18" s="31" t="str">
        <f t="shared" si="3"/>
        <v>FT-SRVH2G</v>
      </c>
      <c r="C18" s="31" t="s">
        <v>579</v>
      </c>
      <c r="D18" s="31" t="str">
        <f>Legend!C62</f>
        <v>SRVH2G</v>
      </c>
      <c r="E18" s="31">
        <v>1</v>
      </c>
      <c r="I18" s="64" t="s">
        <v>24</v>
      </c>
      <c r="J18" s="64" t="str">
        <f>_xlfn.TEXTJOIN(",",TRUE,IF(LEFT(Regions!$C$3,1)&lt;&gt;"*",Regions!$C$3,""),IF(LEFT(Regions!$D$3,1)&lt;&gt;"*",Regions!$D$3,""))</f>
        <v>IE,National</v>
      </c>
      <c r="K18" s="64" t="str">
        <f t="shared" si="2"/>
        <v>FT-SRVBDL</v>
      </c>
      <c r="L18" s="64" t="str">
        <f>"Fuel Tech - "&amp;Legend!A64</f>
        <v>Fuel Tech - Biodiesel</v>
      </c>
      <c r="M18" s="64" t="s">
        <v>48</v>
      </c>
      <c r="N18" s="64" t="s">
        <v>93</v>
      </c>
      <c r="O18" s="64"/>
      <c r="P18" s="64"/>
    </row>
    <row r="19" spans="2:17">
      <c r="B19" s="31" t="str">
        <f t="shared" si="3"/>
        <v>FT-SRVH2L</v>
      </c>
      <c r="C19" s="31" t="s">
        <v>584</v>
      </c>
      <c r="D19" s="31" t="str">
        <f>Legend!C63</f>
        <v>SRVH2L</v>
      </c>
      <c r="E19" s="31">
        <v>1</v>
      </c>
      <c r="I19" s="66" t="s">
        <v>24</v>
      </c>
      <c r="J19" s="66" t="str">
        <f>_xlfn.TEXTJOIN(",",TRUE,IF(LEFT(Regions!$C$3,1)&lt;&gt;"*",Regions!$C$3,""),IF(LEFT(Regions!$D$3,1)&lt;&gt;"*",Regions!$D$3,""))</f>
        <v>IE,National</v>
      </c>
      <c r="K19" s="66" t="str">
        <f t="shared" si="2"/>
        <v>FT-SRVETH</v>
      </c>
      <c r="L19" s="66" t="str">
        <f>"Fuel Tech - "&amp;Legend!A65</f>
        <v>Fuel Tech - Ethanol</v>
      </c>
      <c r="M19" s="66" t="s">
        <v>48</v>
      </c>
      <c r="N19" s="66" t="s">
        <v>93</v>
      </c>
      <c r="O19" s="66"/>
      <c r="P19" s="66"/>
      <c r="Q19" s="32"/>
    </row>
    <row r="20" spans="2:17">
      <c r="B20" s="31" t="str">
        <f t="shared" si="3"/>
        <v>FT-SRVBDL</v>
      </c>
      <c r="C20" s="31" t="s">
        <v>575</v>
      </c>
      <c r="D20" s="31" t="str">
        <f>Legend!C64</f>
        <v>SRVBDL</v>
      </c>
      <c r="E20" s="31">
        <v>1</v>
      </c>
    </row>
    <row r="21" spans="2:17">
      <c r="B21" s="32" t="str">
        <f t="shared" si="3"/>
        <v>FT-SRVETH</v>
      </c>
      <c r="C21" s="32" t="s">
        <v>574</v>
      </c>
      <c r="D21" s="32" t="str">
        <f>Legend!C65</f>
        <v>SRVETH</v>
      </c>
      <c r="E21" s="32">
        <v>1</v>
      </c>
      <c r="F21" s="32"/>
      <c r="G21" s="3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P15" sqref="P15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542</v>
      </c>
      <c r="C1" s="68"/>
      <c r="D1" s="68"/>
    </row>
    <row r="2" spans="1:20">
      <c r="E2" s="56" t="s">
        <v>91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132</v>
      </c>
      <c r="D3" s="35" t="s">
        <v>22</v>
      </c>
      <c r="E3" s="35" t="s">
        <v>23</v>
      </c>
      <c r="F3" s="35" t="s">
        <v>168</v>
      </c>
      <c r="G3" s="35" t="s">
        <v>150</v>
      </c>
      <c r="H3" s="35" t="s">
        <v>31</v>
      </c>
      <c r="I3" s="35" t="s">
        <v>27</v>
      </c>
      <c r="J3" s="35" t="s">
        <v>30</v>
      </c>
      <c r="K3" s="30"/>
      <c r="L3" s="35" t="s">
        <v>14</v>
      </c>
      <c r="M3" s="35" t="s">
        <v>544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134</v>
      </c>
      <c r="C4" s="55" t="s">
        <v>97</v>
      </c>
      <c r="D4" s="55" t="s">
        <v>135</v>
      </c>
      <c r="E4" s="55" t="s">
        <v>136</v>
      </c>
      <c r="F4" s="55" t="s">
        <v>142</v>
      </c>
      <c r="G4" s="55" t="s">
        <v>151</v>
      </c>
      <c r="H4" s="55" t="s">
        <v>143</v>
      </c>
      <c r="I4" s="55" t="s">
        <v>144</v>
      </c>
      <c r="J4" s="55" t="s">
        <v>145</v>
      </c>
      <c r="K4" s="30"/>
      <c r="L4" s="52" t="s">
        <v>124</v>
      </c>
      <c r="M4" s="52" t="s">
        <v>558</v>
      </c>
      <c r="N4" s="52" t="s">
        <v>125</v>
      </c>
      <c r="O4" s="52" t="s">
        <v>97</v>
      </c>
      <c r="P4" s="52" t="s">
        <v>126</v>
      </c>
      <c r="Q4" s="52" t="s">
        <v>127</v>
      </c>
      <c r="R4" s="52" t="s">
        <v>128</v>
      </c>
      <c r="S4" s="55" t="s">
        <v>129</v>
      </c>
      <c r="T4" s="55" t="s">
        <v>130</v>
      </c>
    </row>
    <row r="5" spans="1:20" s="3" customFormat="1">
      <c r="A5" s="30"/>
      <c r="B5" s="58" t="s">
        <v>140</v>
      </c>
      <c r="C5" s="58"/>
      <c r="D5" s="71"/>
      <c r="E5" s="58"/>
      <c r="F5" s="69" t="s">
        <v>146</v>
      </c>
      <c r="G5" s="71" t="s">
        <v>152</v>
      </c>
      <c r="H5" s="58" t="s">
        <v>141</v>
      </c>
      <c r="I5" s="58"/>
      <c r="J5" s="58" t="s">
        <v>147</v>
      </c>
      <c r="K5" s="30"/>
      <c r="L5" s="58" t="s">
        <v>520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29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68</v>
      </c>
      <c r="Q6" s="31" t="s">
        <v>69</v>
      </c>
      <c r="R6" s="31" t="s">
        <v>32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29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68</v>
      </c>
      <c r="Q7" s="32" t="s">
        <v>69</v>
      </c>
      <c r="R7" s="32" t="s">
        <v>32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D12" s="31" t="str">
        <f>Commodities!D13</f>
        <v>SRVOEL-CS</v>
      </c>
      <c r="G12" s="63">
        <f>EAP_Techs!AD8/'Building stock'!$F$6</f>
        <v>0.27048899641521007</v>
      </c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543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91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148</v>
      </c>
      <c r="G25" s="517"/>
      <c r="H25" s="517"/>
      <c r="I25" s="517"/>
      <c r="J25" s="517"/>
      <c r="O25" s="74"/>
    </row>
    <row r="26" spans="1:15">
      <c r="A26" s="73"/>
      <c r="B26" s="55" t="s">
        <v>134</v>
      </c>
      <c r="C26" s="55" t="s">
        <v>149</v>
      </c>
      <c r="G26" s="517"/>
      <c r="H26" s="517"/>
      <c r="I26" s="517"/>
      <c r="J26" s="517"/>
      <c r="O26" s="74"/>
    </row>
    <row r="27" spans="1:15">
      <c r="A27" s="73"/>
      <c r="B27" s="58" t="s">
        <v>140</v>
      </c>
      <c r="C27" s="69" t="s">
        <v>146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F8" sqref="F8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527</v>
      </c>
      <c r="C1" s="34"/>
      <c r="X1" s="33"/>
    </row>
    <row r="2" spans="1:36">
      <c r="F2" s="56" t="s">
        <v>91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30.75" thickBot="1">
      <c r="A3" s="54"/>
      <c r="B3" s="35" t="s">
        <v>4</v>
      </c>
      <c r="C3" s="57" t="s">
        <v>132</v>
      </c>
      <c r="D3" s="35" t="s">
        <v>22</v>
      </c>
      <c r="E3" s="35" t="s">
        <v>564</v>
      </c>
      <c r="F3" s="35" t="s">
        <v>23</v>
      </c>
      <c r="G3" s="35" t="s">
        <v>120</v>
      </c>
      <c r="H3" s="35" t="s">
        <v>92</v>
      </c>
      <c r="I3" s="35" t="s">
        <v>153</v>
      </c>
      <c r="J3" s="35" t="s">
        <v>30</v>
      </c>
      <c r="K3" s="35" t="s">
        <v>133</v>
      </c>
      <c r="L3" s="57" t="str">
        <f>"Input~"&amp;Legend!$C$59</f>
        <v>Input~SRVAHT</v>
      </c>
      <c r="M3" s="57" t="e">
        <f>"Share-I~UP~"&amp;Legend!#REF!</f>
        <v>#REF!</v>
      </c>
      <c r="N3" s="57" t="e">
        <f>"Share-I~LO~"&amp;Legend!#REF!</f>
        <v>#REF!</v>
      </c>
      <c r="O3" s="57" t="e">
        <f>"Share-I~LO~0~"&amp;Legend!#REF!</f>
        <v>#REF!</v>
      </c>
      <c r="P3" s="1"/>
      <c r="Q3" s="35" t="s">
        <v>14</v>
      </c>
      <c r="R3" s="35" t="s">
        <v>544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0" t="s">
        <v>402</v>
      </c>
      <c r="AB3" s="720" t="s">
        <v>172</v>
      </c>
      <c r="AC3" s="720" t="s">
        <v>86</v>
      </c>
      <c r="AD3" s="720" t="s">
        <v>522</v>
      </c>
      <c r="AE3" s="720" t="s">
        <v>523</v>
      </c>
      <c r="AF3" s="720" t="s">
        <v>524</v>
      </c>
      <c r="AG3" s="720" t="s">
        <v>525</v>
      </c>
      <c r="AH3" s="75" t="s">
        <v>82</v>
      </c>
      <c r="AI3" s="76"/>
    </row>
    <row r="4" spans="1:36" s="33" customFormat="1" ht="60.75" thickBot="1">
      <c r="A4" s="54"/>
      <c r="B4" s="55" t="s">
        <v>134</v>
      </c>
      <c r="C4" s="55" t="s">
        <v>97</v>
      </c>
      <c r="D4" s="55" t="s">
        <v>135</v>
      </c>
      <c r="E4" s="55" t="s">
        <v>565</v>
      </c>
      <c r="F4" s="55" t="s">
        <v>136</v>
      </c>
      <c r="G4" s="55" t="s">
        <v>154</v>
      </c>
      <c r="H4" s="55" t="s">
        <v>138</v>
      </c>
      <c r="I4" s="55" t="s">
        <v>137</v>
      </c>
      <c r="J4" s="55" t="s">
        <v>145</v>
      </c>
      <c r="K4" s="55" t="s">
        <v>139</v>
      </c>
      <c r="L4" s="55"/>
      <c r="M4" s="55" t="s">
        <v>196</v>
      </c>
      <c r="N4" s="55" t="s">
        <v>198</v>
      </c>
      <c r="O4" s="55" t="s">
        <v>197</v>
      </c>
      <c r="P4" s="1"/>
      <c r="Q4" s="52" t="s">
        <v>124</v>
      </c>
      <c r="R4" s="52" t="s">
        <v>558</v>
      </c>
      <c r="S4" s="52" t="s">
        <v>125</v>
      </c>
      <c r="T4" s="52" t="s">
        <v>97</v>
      </c>
      <c r="U4" s="52" t="s">
        <v>126</v>
      </c>
      <c r="V4" s="52" t="s">
        <v>127</v>
      </c>
      <c r="W4" s="52" t="s">
        <v>128</v>
      </c>
      <c r="X4" s="55" t="s">
        <v>129</v>
      </c>
      <c r="Y4" s="55" t="s">
        <v>130</v>
      </c>
      <c r="Z4"/>
      <c r="AA4" s="721"/>
      <c r="AB4" s="721"/>
      <c r="AC4" s="721"/>
      <c r="AD4" s="721"/>
      <c r="AE4" s="721"/>
      <c r="AF4" s="721"/>
      <c r="AG4" s="721"/>
      <c r="AH4" s="78" t="s">
        <v>157</v>
      </c>
      <c r="AI4" s="77" t="s">
        <v>526</v>
      </c>
    </row>
    <row r="5" spans="1:36" s="33" customFormat="1">
      <c r="A5" s="54"/>
      <c r="B5" s="58" t="s">
        <v>140</v>
      </c>
      <c r="C5" s="58"/>
      <c r="D5" s="58"/>
      <c r="E5" s="665"/>
      <c r="F5" s="58"/>
      <c r="G5" s="58" t="s">
        <v>70</v>
      </c>
      <c r="H5" s="58" t="s">
        <v>141</v>
      </c>
      <c r="I5" s="58" t="s">
        <v>141</v>
      </c>
      <c r="J5" s="58" t="s">
        <v>147</v>
      </c>
      <c r="K5" s="58" t="s">
        <v>103</v>
      </c>
      <c r="L5" s="665" t="s">
        <v>567</v>
      </c>
      <c r="M5" s="58" t="s">
        <v>141</v>
      </c>
      <c r="N5" s="58" t="s">
        <v>141</v>
      </c>
      <c r="O5" s="58"/>
      <c r="P5" s="1"/>
      <c r="Q5" s="58" t="s">
        <v>520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48</v>
      </c>
      <c r="AI5" s="79" t="s">
        <v>48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534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N8" sqref="N8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7.1406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528</v>
      </c>
      <c r="C1" s="34"/>
    </row>
    <row r="2" spans="1:30">
      <c r="E2" s="56" t="s">
        <v>91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132</v>
      </c>
      <c r="D3" s="35" t="s">
        <v>22</v>
      </c>
      <c r="E3" s="35" t="s">
        <v>23</v>
      </c>
      <c r="F3" s="35" t="s">
        <v>120</v>
      </c>
      <c r="G3" s="35" t="s">
        <v>92</v>
      </c>
      <c r="H3" s="35" t="s">
        <v>153</v>
      </c>
      <c r="I3" s="35" t="s">
        <v>30</v>
      </c>
      <c r="J3" s="35" t="s">
        <v>133</v>
      </c>
      <c r="L3" s="35" t="s">
        <v>14</v>
      </c>
      <c r="M3" s="35" t="s">
        <v>544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0" t="s">
        <v>402</v>
      </c>
      <c r="W3" s="720" t="s">
        <v>172</v>
      </c>
      <c r="X3" s="720" t="s">
        <v>86</v>
      </c>
      <c r="Y3" s="720" t="s">
        <v>522</v>
      </c>
      <c r="Z3" s="720" t="s">
        <v>523</v>
      </c>
      <c r="AA3" s="720" t="s">
        <v>524</v>
      </c>
      <c r="AB3" s="720" t="s">
        <v>525</v>
      </c>
      <c r="AC3" s="70" t="s">
        <v>82</v>
      </c>
      <c r="AD3" s="694"/>
    </row>
    <row r="4" spans="1:30" ht="51.75" thickBot="1">
      <c r="A4" s="62"/>
      <c r="B4" s="55" t="s">
        <v>134</v>
      </c>
      <c r="C4" s="55" t="s">
        <v>97</v>
      </c>
      <c r="D4" s="55" t="s">
        <v>135</v>
      </c>
      <c r="E4" s="55" t="s">
        <v>136</v>
      </c>
      <c r="F4" s="55" t="s">
        <v>154</v>
      </c>
      <c r="G4" s="55" t="s">
        <v>138</v>
      </c>
      <c r="H4" s="55" t="s">
        <v>137</v>
      </c>
      <c r="I4" s="55" t="s">
        <v>145</v>
      </c>
      <c r="J4" s="55" t="s">
        <v>139</v>
      </c>
      <c r="L4" s="52" t="s">
        <v>124</v>
      </c>
      <c r="M4" s="52" t="s">
        <v>558</v>
      </c>
      <c r="N4" s="52" t="s">
        <v>125</v>
      </c>
      <c r="O4" s="52" t="s">
        <v>97</v>
      </c>
      <c r="P4" s="52" t="s">
        <v>126</v>
      </c>
      <c r="Q4" s="52" t="s">
        <v>127</v>
      </c>
      <c r="R4" s="52" t="s">
        <v>128</v>
      </c>
      <c r="S4" s="55" t="s">
        <v>129</v>
      </c>
      <c r="T4" s="55" t="s">
        <v>130</v>
      </c>
      <c r="V4" s="721"/>
      <c r="W4" s="721"/>
      <c r="X4" s="721"/>
      <c r="Y4" s="721"/>
      <c r="Z4" s="721"/>
      <c r="AA4" s="721"/>
      <c r="AB4" s="721"/>
      <c r="AC4" s="78" t="s">
        <v>157</v>
      </c>
      <c r="AD4" s="77" t="s">
        <v>526</v>
      </c>
    </row>
    <row r="5" spans="1:30">
      <c r="A5" s="62"/>
      <c r="B5" s="58" t="s">
        <v>140</v>
      </c>
      <c r="C5" s="58"/>
      <c r="D5" s="58"/>
      <c r="E5" s="58"/>
      <c r="F5" s="58" t="str">
        <f>Q7</f>
        <v>kunits</v>
      </c>
      <c r="G5" s="58" t="s">
        <v>141</v>
      </c>
      <c r="H5" s="58" t="s">
        <v>141</v>
      </c>
      <c r="I5" s="58" t="s">
        <v>147</v>
      </c>
      <c r="J5" s="58" t="s">
        <v>531</v>
      </c>
      <c r="L5" s="665" t="s">
        <v>520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48</v>
      </c>
      <c r="AD5" s="79" t="s">
        <v>48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534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topLeftCell="C1" zoomScale="80" zoomScaleNormal="80" workbookViewId="0">
      <selection activeCell="N7" sqref="N7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99</v>
      </c>
      <c r="C1" s="34"/>
    </row>
    <row r="2" spans="1:30">
      <c r="E2" s="56" t="s">
        <v>91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132</v>
      </c>
      <c r="D3" s="35" t="s">
        <v>22</v>
      </c>
      <c r="E3" s="35" t="s">
        <v>23</v>
      </c>
      <c r="F3" s="35" t="s">
        <v>120</v>
      </c>
      <c r="G3" s="35" t="s">
        <v>92</v>
      </c>
      <c r="H3" s="35" t="s">
        <v>153</v>
      </c>
      <c r="I3" s="35" t="s">
        <v>30</v>
      </c>
      <c r="J3" s="35" t="s">
        <v>133</v>
      </c>
      <c r="L3" s="35" t="s">
        <v>14</v>
      </c>
      <c r="M3" s="35" t="s">
        <v>544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0" t="s">
        <v>402</v>
      </c>
      <c r="W3" s="720" t="s">
        <v>172</v>
      </c>
      <c r="X3" s="720" t="s">
        <v>86</v>
      </c>
      <c r="Y3" s="720" t="s">
        <v>522</v>
      </c>
      <c r="Z3" s="720" t="s">
        <v>523</v>
      </c>
      <c r="AA3" s="720" t="s">
        <v>524</v>
      </c>
      <c r="AB3" s="720" t="s">
        <v>525</v>
      </c>
      <c r="AC3" s="70" t="s">
        <v>82</v>
      </c>
      <c r="AD3" s="694"/>
    </row>
    <row r="4" spans="1:30" ht="51.75" thickBot="1">
      <c r="A4" s="62"/>
      <c r="B4" s="55" t="s">
        <v>134</v>
      </c>
      <c r="C4" s="55" t="s">
        <v>97</v>
      </c>
      <c r="D4" s="55" t="s">
        <v>135</v>
      </c>
      <c r="E4" s="55" t="s">
        <v>136</v>
      </c>
      <c r="F4" s="55" t="s">
        <v>154</v>
      </c>
      <c r="G4" s="55" t="s">
        <v>138</v>
      </c>
      <c r="H4" s="55" t="s">
        <v>137</v>
      </c>
      <c r="I4" s="55" t="s">
        <v>145</v>
      </c>
      <c r="J4" s="55" t="s">
        <v>139</v>
      </c>
      <c r="L4" s="52" t="s">
        <v>124</v>
      </c>
      <c r="M4" s="52" t="s">
        <v>558</v>
      </c>
      <c r="N4" s="52" t="s">
        <v>125</v>
      </c>
      <c r="O4" s="52" t="s">
        <v>97</v>
      </c>
      <c r="P4" s="52" t="s">
        <v>126</v>
      </c>
      <c r="Q4" s="52" t="s">
        <v>127</v>
      </c>
      <c r="R4" s="52" t="s">
        <v>128</v>
      </c>
      <c r="S4" s="55" t="s">
        <v>129</v>
      </c>
      <c r="T4" s="55" t="s">
        <v>130</v>
      </c>
      <c r="V4" s="721"/>
      <c r="W4" s="721"/>
      <c r="X4" s="721"/>
      <c r="Y4" s="721"/>
      <c r="Z4" s="721"/>
      <c r="AA4" s="721"/>
      <c r="AB4" s="721"/>
      <c r="AC4" s="78" t="s">
        <v>157</v>
      </c>
      <c r="AD4" s="77" t="s">
        <v>526</v>
      </c>
    </row>
    <row r="5" spans="1:30">
      <c r="A5" s="62"/>
      <c r="B5" s="58" t="s">
        <v>140</v>
      </c>
      <c r="C5" s="58"/>
      <c r="D5" s="58"/>
      <c r="E5" s="58"/>
      <c r="F5" s="58" t="s">
        <v>533</v>
      </c>
      <c r="G5" s="665" t="s">
        <v>532</v>
      </c>
      <c r="H5" s="58" t="s">
        <v>141</v>
      </c>
      <c r="I5" s="58" t="s">
        <v>147</v>
      </c>
      <c r="J5" s="58" t="s">
        <v>531</v>
      </c>
      <c r="L5" s="665" t="s">
        <v>520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48</v>
      </c>
      <c r="AD5" s="79" t="s">
        <v>533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 t="shared" ref="P6:P11" si="5">IF($Y6="","","PJ")</f>
        <v>PJ</v>
      </c>
      <c r="Q6" s="31" t="str">
        <f t="shared" ref="Q6:Q11" si="6">IF($Y6="","","kunits")</f>
        <v>kunits</v>
      </c>
      <c r="R6" s="31" t="str">
        <f t="shared" ref="R6:R11" si="7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8">IF($Y6="","",AD6/G6)</f>
        <v>5.8764899510681836</v>
      </c>
      <c r="AD6" s="110">
        <f t="shared" ref="AD6:AD11" si="9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1" si="10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1" si="11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si="5"/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8"/>
        <v>2.2782365668801692</v>
      </c>
      <c r="AD7" s="110">
        <f t="shared" si="9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7.8175822437094915</v>
      </c>
      <c r="G8" s="123">
        <f>IF($Y8="","",SUMIFS('Key Inputs'!$G$29:$G$114,'Key Inputs'!$A$29:$A$114,$V8,'Key Inputs'!$B$29:$B$114,$W8,'Key Inputs'!$C$29:$C$114,$X8))</f>
        <v>1</v>
      </c>
      <c r="H8" s="654">
        <f t="shared" si="10"/>
        <v>1</v>
      </c>
      <c r="I8" s="654">
        <f>IF($Y8="","",SUMIFS('Key Inputs'!$H$29:$H$114,'Key Inputs'!$A$29:$A$114,$V8,'Key Inputs'!$B$29:$B$114,$W8,'Key Inputs'!$C$29:$C$114,$X8))</f>
        <v>10</v>
      </c>
      <c r="J8" s="685">
        <f t="shared" si="11"/>
        <v>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 t="shared" si="5"/>
        <v>PJ</v>
      </c>
      <c r="Q8" s="32" t="str">
        <f t="shared" si="6"/>
        <v>kunits</v>
      </c>
      <c r="R8" s="32" t="str">
        <f t="shared" si="7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8"/>
        <v>7.8175822437094915</v>
      </c>
      <c r="AD8" s="110">
        <f t="shared" si="9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10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11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22" t="str">
        <f t="shared" si="5"/>
        <v>PJ</v>
      </c>
      <c r="Q9" s="22" t="str">
        <f t="shared" si="6"/>
        <v>kunits</v>
      </c>
      <c r="R9" s="22" t="str">
        <f t="shared" si="7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8"/>
        <v>3.2083083493756375</v>
      </c>
      <c r="AD9" s="110">
        <f t="shared" si="9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10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11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129" t="str">
        <f t="shared" si="5"/>
        <v>PJ</v>
      </c>
      <c r="Q10" s="129" t="str">
        <f t="shared" si="6"/>
        <v>kunits</v>
      </c>
      <c r="R10" s="129" t="str">
        <f t="shared" si="7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8"/>
        <v>1.2438182418819432</v>
      </c>
      <c r="AD10" s="110">
        <f t="shared" si="9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4.2680604567127389</v>
      </c>
      <c r="G11" s="123">
        <f>IF($Y11="","",SUMIFS('Key Inputs'!$G$29:$G$114,'Key Inputs'!$A$29:$A$114,$V11,'Key Inputs'!$B$29:$B$114,$W11,'Key Inputs'!$C$29:$C$114,$X11))</f>
        <v>1</v>
      </c>
      <c r="H11" s="654">
        <f t="shared" si="10"/>
        <v>1</v>
      </c>
      <c r="I11" s="654">
        <f>IF($Y11="","",SUMIFS('Key Inputs'!$H$29:$H$114,'Key Inputs'!$A$29:$A$114,$V11,'Key Inputs'!$B$29:$B$114,$W11,'Key Inputs'!$C$29:$C$114,$X11))</f>
        <v>10</v>
      </c>
      <c r="J11" s="685">
        <f t="shared" si="11"/>
        <v>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 t="shared" si="5"/>
        <v>PJ</v>
      </c>
      <c r="Q11" s="32" t="str">
        <f t="shared" si="6"/>
        <v>kunits</v>
      </c>
      <c r="R11" s="32" t="str">
        <f t="shared" si="7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8"/>
        <v>4.2680604567127389</v>
      </c>
      <c r="AD11" s="110">
        <f t="shared" si="9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534</v>
      </c>
      <c r="F13" s="655">
        <f>SUM(F6:F11)</f>
        <v>188.06359047910712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zoomScale="80" zoomScaleNormal="80" workbookViewId="0">
      <selection activeCell="N7" sqref="N7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539</v>
      </c>
      <c r="C1" s="34"/>
    </row>
    <row r="2" spans="1:30">
      <c r="E2" s="56" t="s">
        <v>91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132</v>
      </c>
      <c r="D3" s="35" t="s">
        <v>22</v>
      </c>
      <c r="E3" s="35" t="s">
        <v>23</v>
      </c>
      <c r="F3" s="35" t="s">
        <v>120</v>
      </c>
      <c r="G3" s="35" t="s">
        <v>92</v>
      </c>
      <c r="H3" s="35" t="s">
        <v>153</v>
      </c>
      <c r="I3" s="35" t="s">
        <v>30</v>
      </c>
      <c r="J3" s="35" t="s">
        <v>133</v>
      </c>
      <c r="L3" s="35" t="s">
        <v>14</v>
      </c>
      <c r="M3" s="35" t="s">
        <v>544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0" t="s">
        <v>402</v>
      </c>
      <c r="W3" s="720" t="s">
        <v>172</v>
      </c>
      <c r="X3" s="720" t="s">
        <v>86</v>
      </c>
      <c r="Y3" s="720" t="s">
        <v>522</v>
      </c>
      <c r="Z3" s="720" t="s">
        <v>523</v>
      </c>
      <c r="AA3" s="720" t="s">
        <v>524</v>
      </c>
      <c r="AB3" s="720" t="s">
        <v>525</v>
      </c>
      <c r="AC3" s="70" t="s">
        <v>82</v>
      </c>
      <c r="AD3" s="694"/>
    </row>
    <row r="4" spans="1:30" ht="51.75" thickBot="1">
      <c r="A4" s="62"/>
      <c r="B4" s="55" t="s">
        <v>134</v>
      </c>
      <c r="C4" s="55" t="s">
        <v>97</v>
      </c>
      <c r="D4" s="55" t="s">
        <v>135</v>
      </c>
      <c r="E4" s="55" t="s">
        <v>136</v>
      </c>
      <c r="F4" s="55" t="s">
        <v>154</v>
      </c>
      <c r="G4" s="55" t="s">
        <v>138</v>
      </c>
      <c r="H4" s="55" t="s">
        <v>137</v>
      </c>
      <c r="I4" s="55" t="s">
        <v>145</v>
      </c>
      <c r="J4" s="55" t="s">
        <v>139</v>
      </c>
      <c r="L4" s="52" t="s">
        <v>124</v>
      </c>
      <c r="M4" s="52" t="s">
        <v>558</v>
      </c>
      <c r="N4" s="52" t="s">
        <v>125</v>
      </c>
      <c r="O4" s="52" t="s">
        <v>97</v>
      </c>
      <c r="P4" s="52" t="s">
        <v>126</v>
      </c>
      <c r="Q4" s="52" t="s">
        <v>127</v>
      </c>
      <c r="R4" s="52" t="s">
        <v>128</v>
      </c>
      <c r="S4" s="52" t="s">
        <v>129</v>
      </c>
      <c r="T4" s="52" t="s">
        <v>130</v>
      </c>
      <c r="V4" s="721"/>
      <c r="W4" s="721"/>
      <c r="X4" s="721"/>
      <c r="Y4" s="721"/>
      <c r="Z4" s="721"/>
      <c r="AA4" s="721"/>
      <c r="AB4" s="721"/>
      <c r="AC4" s="78" t="s">
        <v>157</v>
      </c>
      <c r="AD4" s="77" t="s">
        <v>526</v>
      </c>
    </row>
    <row r="5" spans="1:30">
      <c r="A5" s="62"/>
      <c r="B5" s="665" t="s">
        <v>140</v>
      </c>
      <c r="C5" s="665"/>
      <c r="D5" s="665"/>
      <c r="E5" s="665"/>
      <c r="F5" s="665" t="str">
        <f>Q7</f>
        <v>Mlamps</v>
      </c>
      <c r="G5" s="665" t="s">
        <v>159</v>
      </c>
      <c r="H5" s="665" t="s">
        <v>141</v>
      </c>
      <c r="I5" s="665" t="s">
        <v>147</v>
      </c>
      <c r="J5" s="665" t="s">
        <v>531</v>
      </c>
      <c r="L5" s="665" t="s">
        <v>520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48</v>
      </c>
      <c r="AD5" s="79" t="s">
        <v>48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535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536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537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538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534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543</v>
      </c>
    </row>
    <row r="15" spans="1:30">
      <c r="B15" s="688" t="s">
        <v>91</v>
      </c>
      <c r="C15" s="85"/>
    </row>
    <row r="16" spans="1:30" ht="15.75" thickBot="1">
      <c r="B16" s="35" t="s">
        <v>7</v>
      </c>
      <c r="C16" s="35" t="s">
        <v>148</v>
      </c>
    </row>
    <row r="17" spans="2:3">
      <c r="B17" s="55" t="s">
        <v>541</v>
      </c>
      <c r="C17" s="55" t="s">
        <v>158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zoomScale="80" zoomScaleNormal="80" workbookViewId="0">
      <selection activeCell="N7" sqref="N7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540</v>
      </c>
      <c r="C1" s="34"/>
    </row>
    <row r="2" spans="1:30">
      <c r="E2" s="56" t="s">
        <v>91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132</v>
      </c>
      <c r="D3" s="35" t="s">
        <v>22</v>
      </c>
      <c r="E3" s="35" t="s">
        <v>23</v>
      </c>
      <c r="F3" s="35" t="s">
        <v>120</v>
      </c>
      <c r="G3" s="35" t="s">
        <v>92</v>
      </c>
      <c r="H3" s="35" t="s">
        <v>153</v>
      </c>
      <c r="I3" s="35" t="s">
        <v>30</v>
      </c>
      <c r="J3" s="35" t="s">
        <v>133</v>
      </c>
      <c r="L3" s="35" t="s">
        <v>14</v>
      </c>
      <c r="M3" s="35" t="s">
        <v>544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0" t="s">
        <v>402</v>
      </c>
      <c r="W3" s="720" t="s">
        <v>172</v>
      </c>
      <c r="X3" s="720" t="s">
        <v>86</v>
      </c>
      <c r="Y3" s="720" t="s">
        <v>522</v>
      </c>
      <c r="Z3" s="720" t="s">
        <v>523</v>
      </c>
      <c r="AA3" s="720" t="s">
        <v>524</v>
      </c>
      <c r="AB3" s="720" t="s">
        <v>525</v>
      </c>
      <c r="AC3" s="70" t="s">
        <v>82</v>
      </c>
      <c r="AD3" s="694"/>
    </row>
    <row r="4" spans="1:30" ht="51.75" thickBot="1">
      <c r="A4" s="62"/>
      <c r="B4" s="55" t="s">
        <v>134</v>
      </c>
      <c r="C4" s="55" t="s">
        <v>97</v>
      </c>
      <c r="D4" s="55" t="s">
        <v>135</v>
      </c>
      <c r="E4" s="55" t="s">
        <v>136</v>
      </c>
      <c r="F4" s="55" t="s">
        <v>154</v>
      </c>
      <c r="G4" s="55" t="s">
        <v>138</v>
      </c>
      <c r="H4" s="55" t="s">
        <v>137</v>
      </c>
      <c r="I4" s="55" t="s">
        <v>145</v>
      </c>
      <c r="J4" s="55" t="s">
        <v>139</v>
      </c>
      <c r="L4" s="52" t="s">
        <v>124</v>
      </c>
      <c r="M4" s="52" t="s">
        <v>558</v>
      </c>
      <c r="N4" s="52" t="s">
        <v>125</v>
      </c>
      <c r="O4" s="52" t="s">
        <v>97</v>
      </c>
      <c r="P4" s="52" t="s">
        <v>126</v>
      </c>
      <c r="Q4" s="52" t="s">
        <v>127</v>
      </c>
      <c r="R4" s="52" t="s">
        <v>128</v>
      </c>
      <c r="S4" s="55" t="s">
        <v>129</v>
      </c>
      <c r="T4" s="55" t="s">
        <v>130</v>
      </c>
      <c r="V4" s="721"/>
      <c r="W4" s="721"/>
      <c r="X4" s="721"/>
      <c r="Y4" s="721"/>
      <c r="Z4" s="721"/>
      <c r="AA4" s="721"/>
      <c r="AB4" s="721"/>
      <c r="AC4" s="78" t="s">
        <v>157</v>
      </c>
      <c r="AD4" s="77" t="s">
        <v>526</v>
      </c>
    </row>
    <row r="5" spans="1:30">
      <c r="A5" s="62"/>
      <c r="B5" s="58" t="s">
        <v>140</v>
      </c>
      <c r="C5" s="58"/>
      <c r="D5" s="58"/>
      <c r="E5" s="58"/>
      <c r="F5" s="58" t="str">
        <f>Q6</f>
        <v/>
      </c>
      <c r="G5" s="665" t="s">
        <v>532</v>
      </c>
      <c r="H5" s="58" t="s">
        <v>141</v>
      </c>
      <c r="I5" s="58" t="s">
        <v>147</v>
      </c>
      <c r="J5" s="58" t="s">
        <v>531</v>
      </c>
      <c r="L5" s="665" t="s">
        <v>520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48</v>
      </c>
      <c r="AD5" s="79" t="s">
        <v>48</v>
      </c>
    </row>
    <row r="6" spans="1:30" s="25" customFormat="1" ht="45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534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543</v>
      </c>
    </row>
    <row r="12" spans="1:30">
      <c r="B12" s="688" t="s">
        <v>91</v>
      </c>
      <c r="C12" s="85"/>
    </row>
    <row r="13" spans="1:30" ht="15.75" thickBot="1">
      <c r="B13" s="35" t="s">
        <v>7</v>
      </c>
      <c r="C13" s="35" t="s">
        <v>148</v>
      </c>
    </row>
    <row r="14" spans="1:30">
      <c r="B14" s="55" t="s">
        <v>541</v>
      </c>
      <c r="C14" s="55" t="s">
        <v>158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20"/>
  <sheetViews>
    <sheetView zoomScale="80" zoomScaleNormal="80" workbookViewId="0">
      <selection activeCell="J34" sqref="J34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83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161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140</v>
      </c>
      <c r="C5" s="58" t="s">
        <v>162</v>
      </c>
      <c r="D5" s="58" t="s">
        <v>162</v>
      </c>
      <c r="E5" s="58" t="s">
        <v>162</v>
      </c>
      <c r="F5" s="58" t="s">
        <v>162</v>
      </c>
      <c r="G5" s="58" t="s">
        <v>162</v>
      </c>
      <c r="H5" s="58" t="s">
        <v>162</v>
      </c>
    </row>
    <row r="6" spans="2:8">
      <c r="B6" s="710" t="str">
        <f>Commodities!D37</f>
        <v>SRVCO2N</v>
      </c>
      <c r="C6" s="713">
        <v>94.6</v>
      </c>
      <c r="D6" s="713">
        <v>63.7</v>
      </c>
      <c r="E6" s="649">
        <f>SUMPRODUCT(C18:C20,'Fuel Techs'!F7:F9)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Commodities!D38</f>
        <v>SRVCH4N</v>
      </c>
    </row>
    <row r="8" spans="2:8">
      <c r="B8" s="22" t="str">
        <f>Commodities!D39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Commodities!D40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Commodities!D41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Commodities!D42</f>
        <v>SRVPM25</v>
      </c>
      <c r="C11" s="130"/>
      <c r="D11" s="130"/>
      <c r="E11" s="130"/>
      <c r="F11" s="130"/>
      <c r="G11" s="130"/>
      <c r="H11" s="130"/>
    </row>
    <row r="12" spans="2:8">
      <c r="B12" s="32" t="str">
        <f>Commodities!D43</f>
        <v>NETSCO2</v>
      </c>
      <c r="C12" s="498">
        <f t="shared" ref="C12:H12" si="0">C6</f>
        <v>94.6</v>
      </c>
      <c r="D12" s="498">
        <f t="shared" si="0"/>
        <v>63.7</v>
      </c>
      <c r="E12" s="498">
        <f t="shared" si="0"/>
        <v>73.27463785057148</v>
      </c>
      <c r="F12" s="498">
        <f t="shared" si="0"/>
        <v>55.74</v>
      </c>
      <c r="G12" s="82">
        <f t="shared" si="0"/>
        <v>0</v>
      </c>
      <c r="H12" s="82">
        <f t="shared" si="0"/>
        <v>0</v>
      </c>
    </row>
    <row r="17" spans="2:3" ht="15.75" thickBot="1">
      <c r="B17" s="707" t="s">
        <v>162</v>
      </c>
      <c r="C17" s="513" t="str">
        <f>B6</f>
        <v>SRVCO2N</v>
      </c>
    </row>
    <row r="18" spans="2:3">
      <c r="B18" s="709" t="s">
        <v>572</v>
      </c>
      <c r="C18" s="712">
        <v>71.900000000000006</v>
      </c>
    </row>
    <row r="19" spans="2:3">
      <c r="B19" s="709" t="s">
        <v>605</v>
      </c>
      <c r="C19" s="712">
        <v>74.099999999999994</v>
      </c>
    </row>
    <row r="20" spans="2:3">
      <c r="B20" s="714" t="s">
        <v>606</v>
      </c>
      <c r="C20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202</v>
      </c>
      <c r="B1" s="132" t="s">
        <v>203</v>
      </c>
      <c r="C1" s="133" t="s">
        <v>204</v>
      </c>
      <c r="D1" s="134" t="s">
        <v>205</v>
      </c>
      <c r="E1" s="135" t="s">
        <v>206</v>
      </c>
      <c r="F1" s="136" t="s">
        <v>207</v>
      </c>
      <c r="G1" s="136" t="s">
        <v>208</v>
      </c>
      <c r="H1" s="137" t="s">
        <v>209</v>
      </c>
      <c r="I1" s="134" t="s">
        <v>210</v>
      </c>
      <c r="J1" s="135" t="s">
        <v>211</v>
      </c>
      <c r="K1" s="135" t="s">
        <v>212</v>
      </c>
      <c r="L1" s="137" t="s">
        <v>213</v>
      </c>
      <c r="M1" s="134" t="s">
        <v>214</v>
      </c>
      <c r="N1" s="134" t="s">
        <v>215</v>
      </c>
      <c r="O1" s="135" t="s">
        <v>216</v>
      </c>
      <c r="P1" s="135" t="s">
        <v>217</v>
      </c>
      <c r="Q1" s="135" t="s">
        <v>218</v>
      </c>
      <c r="R1" s="135" t="s">
        <v>219</v>
      </c>
      <c r="S1" s="135" t="s">
        <v>220</v>
      </c>
      <c r="T1" s="135" t="s">
        <v>221</v>
      </c>
      <c r="U1" s="135" t="s">
        <v>222</v>
      </c>
      <c r="V1" s="135" t="s">
        <v>223</v>
      </c>
      <c r="W1" s="136" t="s">
        <v>224</v>
      </c>
      <c r="X1" s="136" t="s">
        <v>225</v>
      </c>
      <c r="Y1" s="136" t="s">
        <v>226</v>
      </c>
      <c r="Z1" s="135" t="s">
        <v>227</v>
      </c>
      <c r="AA1" s="137" t="s">
        <v>228</v>
      </c>
      <c r="AB1" s="138" t="s">
        <v>229</v>
      </c>
      <c r="AC1" s="139" t="s">
        <v>230</v>
      </c>
      <c r="AD1" s="135" t="s">
        <v>231</v>
      </c>
      <c r="AE1" s="135" t="s">
        <v>232</v>
      </c>
      <c r="AF1" s="135" t="s">
        <v>233</v>
      </c>
      <c r="AG1" s="135" t="s">
        <v>234</v>
      </c>
      <c r="AH1" s="135" t="s">
        <v>235</v>
      </c>
      <c r="AI1" s="135" t="s">
        <v>236</v>
      </c>
      <c r="AJ1" s="135" t="s">
        <v>237</v>
      </c>
      <c r="AK1" s="135" t="s">
        <v>238</v>
      </c>
      <c r="AL1" s="135" t="s">
        <v>239</v>
      </c>
      <c r="AM1" s="136" t="s">
        <v>240</v>
      </c>
      <c r="AN1" s="137" t="s">
        <v>241</v>
      </c>
      <c r="AO1" s="137" t="s">
        <v>242</v>
      </c>
      <c r="AP1" s="138" t="s">
        <v>243</v>
      </c>
      <c r="AQ1" s="140" t="s">
        <v>244</v>
      </c>
      <c r="AS1" s="142"/>
    </row>
    <row r="2" spans="1:45" ht="12.75" customHeight="1">
      <c r="A2" s="143" t="s">
        <v>245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246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247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248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249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250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251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252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253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254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255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256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257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258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253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254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259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256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260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261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262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263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264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265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266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267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268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269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270</v>
      </c>
      <c r="B31" s="297" t="s">
        <v>271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272</v>
      </c>
      <c r="B32" s="307" t="s">
        <v>273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274</v>
      </c>
      <c r="B33" s="310" t="s">
        <v>275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276</v>
      </c>
      <c r="B34" s="310" t="s">
        <v>277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278</v>
      </c>
      <c r="B35" s="310" t="s">
        <v>279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280</v>
      </c>
      <c r="B36" s="310" t="s">
        <v>281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282</v>
      </c>
      <c r="B37" s="310" t="s">
        <v>283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284</v>
      </c>
      <c r="B38" s="310" t="s">
        <v>285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286</v>
      </c>
      <c r="B39" s="310" t="s">
        <v>287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288</v>
      </c>
      <c r="B40" s="310" t="s">
        <v>289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290</v>
      </c>
      <c r="B41" s="310" t="s">
        <v>291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292</v>
      </c>
      <c r="B42" s="310" t="s">
        <v>293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294</v>
      </c>
      <c r="B43" s="310" t="s">
        <v>295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296</v>
      </c>
      <c r="B44" s="313" t="s">
        <v>297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298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299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300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301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302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303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304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305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306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307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308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164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309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310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311</v>
      </c>
      <c r="B59" s="350" t="s">
        <v>312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313</v>
      </c>
      <c r="B60" s="350" t="s">
        <v>314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315</v>
      </c>
      <c r="B61" s="519" t="s">
        <v>316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317</v>
      </c>
      <c r="B62" s="519" t="s">
        <v>318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319</v>
      </c>
      <c r="B63" s="519" t="s">
        <v>320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321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322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323</v>
      </c>
      <c r="B66" s="377" t="s">
        <v>324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325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66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326</v>
      </c>
      <c r="B69" s="368" t="s">
        <v>327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328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329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330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331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332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333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334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335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336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337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27" t="s">
        <v>469</v>
      </c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28"/>
      <c r="M1" s="728"/>
      <c r="N1" s="728"/>
      <c r="O1" s="728"/>
    </row>
    <row r="2" spans="1:15" ht="15" customHeight="1">
      <c r="A2" s="562" t="s">
        <v>470</v>
      </c>
      <c r="B2" s="563" t="s">
        <v>471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472</v>
      </c>
    </row>
    <row r="3" spans="1:15" ht="33.75" customHeight="1">
      <c r="A3" s="566" t="s">
        <v>473</v>
      </c>
      <c r="B3" s="567" t="s">
        <v>467</v>
      </c>
      <c r="C3" s="567" t="s">
        <v>466</v>
      </c>
      <c r="D3" s="567" t="s">
        <v>474</v>
      </c>
      <c r="E3" s="567" t="s">
        <v>468</v>
      </c>
      <c r="F3" s="567" t="s">
        <v>475</v>
      </c>
      <c r="G3" s="567" t="s">
        <v>476</v>
      </c>
      <c r="H3" s="567" t="s">
        <v>477</v>
      </c>
      <c r="I3" s="567" t="s">
        <v>478</v>
      </c>
      <c r="J3" s="567" t="s">
        <v>479</v>
      </c>
      <c r="K3" s="567" t="s">
        <v>480</v>
      </c>
      <c r="L3" s="567" t="s">
        <v>481</v>
      </c>
      <c r="M3" s="567" t="s">
        <v>482</v>
      </c>
      <c r="N3" s="567" t="s">
        <v>67</v>
      </c>
      <c r="O3" s="567" t="s">
        <v>483</v>
      </c>
    </row>
    <row r="4" spans="1:15" ht="15" customHeight="1">
      <c r="A4" s="568" t="s">
        <v>345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484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485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361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363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365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371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373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377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381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391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393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395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349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486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487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488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359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489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490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387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491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492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493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494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367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487</v>
      </c>
      <c r="J28" s="569">
        <v>396</v>
      </c>
      <c r="K28" s="569">
        <v>881</v>
      </c>
      <c r="L28" s="569">
        <v>1298</v>
      </c>
      <c r="M28" s="571" t="s">
        <v>487</v>
      </c>
      <c r="N28" s="569">
        <v>55</v>
      </c>
      <c r="O28" s="570">
        <v>477</v>
      </c>
    </row>
    <row r="29" spans="1:15" ht="15" customHeight="1">
      <c r="A29" s="568" t="s">
        <v>375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383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385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347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353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379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87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29" t="s">
        <v>495</v>
      </c>
      <c r="B37" s="729"/>
      <c r="C37" s="729"/>
      <c r="D37" s="729"/>
      <c r="E37" s="729"/>
      <c r="F37" s="729"/>
      <c r="G37" s="729"/>
      <c r="H37" s="729"/>
      <c r="I37" s="729"/>
      <c r="J37" s="729"/>
      <c r="K37" s="729"/>
      <c r="L37" s="729"/>
      <c r="M37" s="729"/>
      <c r="N37" s="729"/>
      <c r="O37" s="729"/>
    </row>
    <row r="40" spans="1:15" ht="15" customHeight="1">
      <c r="A40" s="730" t="s">
        <v>507</v>
      </c>
      <c r="B40" s="730"/>
      <c r="C40" s="730"/>
      <c r="D40" s="730"/>
      <c r="E40" s="730"/>
      <c r="F40" s="730"/>
      <c r="G40" s="731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2" t="s">
        <v>508</v>
      </c>
      <c r="B41" s="732"/>
      <c r="C41" s="732"/>
      <c r="D41" s="732"/>
      <c r="E41" s="732"/>
      <c r="F41" s="732"/>
      <c r="G41" s="615" t="s">
        <v>398</v>
      </c>
    </row>
    <row r="42" spans="1:15" ht="15" customHeight="1">
      <c r="A42" s="733" t="s">
        <v>509</v>
      </c>
      <c r="B42" s="735" t="s">
        <v>510</v>
      </c>
      <c r="C42" s="735"/>
      <c r="D42" s="735"/>
      <c r="E42" s="735"/>
      <c r="F42" s="735"/>
      <c r="G42" s="736" t="s">
        <v>517</v>
      </c>
    </row>
    <row r="43" spans="1:15" ht="15" customHeight="1">
      <c r="A43" s="734"/>
      <c r="B43" s="616" t="s">
        <v>511</v>
      </c>
      <c r="C43" s="616" t="s">
        <v>512</v>
      </c>
      <c r="D43" s="616" t="s">
        <v>1</v>
      </c>
      <c r="E43" s="616" t="s">
        <v>2</v>
      </c>
      <c r="F43" s="616" t="s">
        <v>67</v>
      </c>
      <c r="G43" s="737"/>
    </row>
    <row r="44" spans="1:15" ht="15" customHeight="1">
      <c r="A44" s="617" t="s">
        <v>467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466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513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468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475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514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477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478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515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480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481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482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67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156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24"/>
      <c r="B64" s="722" t="s">
        <v>519</v>
      </c>
      <c r="C64" s="722" t="s">
        <v>85</v>
      </c>
      <c r="D64" s="726" t="s">
        <v>518</v>
      </c>
      <c r="E64" s="726"/>
      <c r="F64" s="722" t="s">
        <v>35</v>
      </c>
      <c r="G64" s="722" t="s">
        <v>516</v>
      </c>
    </row>
    <row r="65" spans="1:7" ht="15" customHeight="1">
      <c r="A65" s="725"/>
      <c r="B65" s="723"/>
      <c r="C65" s="723"/>
      <c r="D65" s="626" t="s">
        <v>35</v>
      </c>
      <c r="E65" s="512" t="s">
        <v>516</v>
      </c>
      <c r="F65" s="723"/>
      <c r="G65" s="723"/>
    </row>
    <row r="66" spans="1:7" ht="15" customHeight="1">
      <c r="A66" s="119" t="s">
        <v>467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466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513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468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475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514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477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478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515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480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481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482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67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156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163</v>
      </c>
      <c r="B1" s="539" t="s">
        <v>460</v>
      </c>
    </row>
    <row r="2" spans="1:9" ht="15">
      <c r="A2" s="539" t="s">
        <v>461</v>
      </c>
      <c r="B2" s="540" t="s">
        <v>433</v>
      </c>
    </row>
    <row r="5" spans="1:9" ht="15">
      <c r="B5" s="541" t="s">
        <v>434</v>
      </c>
      <c r="G5" s="541" t="s">
        <v>434</v>
      </c>
    </row>
    <row r="6" spans="1:9" ht="15">
      <c r="B6" s="542"/>
      <c r="C6" s="542" t="s">
        <v>435</v>
      </c>
      <c r="D6" s="542" t="s">
        <v>436</v>
      </c>
      <c r="E6" s="543" t="s">
        <v>437</v>
      </c>
      <c r="G6" s="542" t="s">
        <v>438</v>
      </c>
      <c r="H6" s="542" t="s">
        <v>439</v>
      </c>
      <c r="I6" s="542" t="s">
        <v>440</v>
      </c>
    </row>
    <row r="7" spans="1:9">
      <c r="B7" s="542" t="s">
        <v>441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442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443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65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444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445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446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447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48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56</v>
      </c>
    </row>
    <row r="20" spans="2:9">
      <c r="E20" s="547">
        <f>SUM(C19:E19)</f>
        <v>875.40842648323292</v>
      </c>
    </row>
    <row r="23" spans="2:9" ht="15">
      <c r="B23" s="548" t="s">
        <v>448</v>
      </c>
      <c r="C23" s="542" t="s">
        <v>449</v>
      </c>
      <c r="D23" s="542" t="s">
        <v>141</v>
      </c>
      <c r="G23" s="548" t="s">
        <v>450</v>
      </c>
      <c r="H23" s="542" t="s">
        <v>449</v>
      </c>
      <c r="I23" s="542" t="s">
        <v>141</v>
      </c>
    </row>
    <row r="24" spans="2:9" ht="15">
      <c r="B24" s="542" t="s">
        <v>451</v>
      </c>
      <c r="C24" s="542">
        <v>609</v>
      </c>
      <c r="D24" s="542">
        <f>C24/$C$34</f>
        <v>0.12370505789152955</v>
      </c>
      <c r="G24" s="542" t="s">
        <v>452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453</v>
      </c>
      <c r="C25" s="542">
        <v>775</v>
      </c>
      <c r="D25" s="542">
        <f t="shared" ref="D25:D33" si="4">C25/$C$34</f>
        <v>0.15742433475523054</v>
      </c>
      <c r="G25" s="542" t="s">
        <v>453</v>
      </c>
      <c r="H25" s="542">
        <v>461</v>
      </c>
      <c r="I25" s="549">
        <f t="shared" si="3"/>
        <v>0.26237905520774046</v>
      </c>
    </row>
    <row r="26" spans="2:9" ht="15">
      <c r="B26" s="542" t="s">
        <v>452</v>
      </c>
      <c r="C26" s="542">
        <v>773</v>
      </c>
      <c r="D26" s="542">
        <f t="shared" si="4"/>
        <v>0.15701807840747511</v>
      </c>
      <c r="G26" s="542" t="s">
        <v>454</v>
      </c>
      <c r="H26" s="542">
        <v>309</v>
      </c>
      <c r="I26" s="549">
        <f t="shared" si="3"/>
        <v>0.17586795674445077</v>
      </c>
    </row>
    <row r="27" spans="2:9" ht="15">
      <c r="B27" s="542" t="s">
        <v>454</v>
      </c>
      <c r="C27" s="542">
        <v>454</v>
      </c>
      <c r="D27" s="542">
        <f t="shared" si="4"/>
        <v>9.2220190940483449E-2</v>
      </c>
      <c r="G27" s="542" t="s">
        <v>451</v>
      </c>
      <c r="H27" s="542">
        <v>216</v>
      </c>
      <c r="I27" s="549">
        <f t="shared" si="3"/>
        <v>0.12293682413204325</v>
      </c>
    </row>
    <row r="28" spans="2:9" ht="15">
      <c r="B28" s="542" t="s">
        <v>455</v>
      </c>
      <c r="C28" s="542">
        <v>883</v>
      </c>
      <c r="D28" s="542">
        <f t="shared" si="4"/>
        <v>0.17936217753402398</v>
      </c>
      <c r="G28" s="542" t="s">
        <v>456</v>
      </c>
      <c r="H28" s="542">
        <v>128</v>
      </c>
      <c r="I28" s="549">
        <f t="shared" si="3"/>
        <v>7.2851451337507117E-2</v>
      </c>
    </row>
    <row r="29" spans="2:9" ht="15">
      <c r="B29" s="542" t="s">
        <v>47</v>
      </c>
      <c r="C29" s="553">
        <v>402</v>
      </c>
      <c r="D29" s="552">
        <f t="shared" si="4"/>
        <v>8.1657525898842176E-2</v>
      </c>
      <c r="G29" s="545" t="s">
        <v>457</v>
      </c>
      <c r="H29" s="542">
        <v>50</v>
      </c>
      <c r="I29" s="549">
        <f t="shared" si="3"/>
        <v>2.8457598178713718E-2</v>
      </c>
    </row>
    <row r="30" spans="2:9" ht="15">
      <c r="B30" s="542" t="s">
        <v>457</v>
      </c>
      <c r="C30" s="552">
        <v>356</v>
      </c>
      <c r="D30" s="552">
        <f t="shared" si="4"/>
        <v>7.2313629900467191E-2</v>
      </c>
      <c r="G30" s="542" t="s">
        <v>67</v>
      </c>
      <c r="H30" s="542">
        <v>41</v>
      </c>
      <c r="I30" s="549">
        <f t="shared" si="3"/>
        <v>2.3335230506545249E-2</v>
      </c>
    </row>
    <row r="31" spans="2:9" ht="15">
      <c r="B31" s="542" t="s">
        <v>298</v>
      </c>
      <c r="C31" s="542">
        <v>178</v>
      </c>
      <c r="D31" s="542">
        <f t="shared" si="4"/>
        <v>3.6156814950233596E-2</v>
      </c>
      <c r="G31" s="542" t="s">
        <v>455</v>
      </c>
      <c r="H31" s="542">
        <v>10</v>
      </c>
      <c r="I31" s="549">
        <f t="shared" si="3"/>
        <v>5.6915196357427431E-3</v>
      </c>
    </row>
    <row r="32" spans="2:9" ht="15">
      <c r="B32" s="542" t="s">
        <v>67</v>
      </c>
      <c r="C32" s="542">
        <v>147</v>
      </c>
      <c r="D32" s="542">
        <f t="shared" si="4"/>
        <v>2.9859841560024376E-2</v>
      </c>
      <c r="G32" s="545" t="s">
        <v>458</v>
      </c>
      <c r="H32" s="542">
        <v>3</v>
      </c>
      <c r="I32" s="549">
        <f t="shared" si="3"/>
        <v>1.7074558907228231E-3</v>
      </c>
    </row>
    <row r="33" spans="2:9">
      <c r="B33" s="542" t="s">
        <v>456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156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459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67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47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Alessandro Chiodi</cp:lastModifiedBy>
  <dcterms:created xsi:type="dcterms:W3CDTF">2014-12-22T10:04:48Z</dcterms:created>
  <dcterms:modified xsi:type="dcterms:W3CDTF">2021-04-12T15:25:41Z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776012599468231</vt:r8>
  </property>
</Properties>
</file>