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2F297EE0-0E04-4FC7-BC38-C87AE993B332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ELC_EGP" sheetId="16" r:id="rId1"/>
    <sheet name="ELC_CCS" sheetId="18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5" i="16" l="1"/>
  <c r="AL35" i="16"/>
  <c r="AM34" i="16"/>
  <c r="AL34" i="16"/>
  <c r="L15" i="18" l="1"/>
  <c r="L14" i="18"/>
  <c r="AD20" i="18"/>
  <c r="AC20" i="18"/>
  <c r="AB20" i="18"/>
  <c r="AA20" i="18"/>
  <c r="AD19" i="18"/>
  <c r="AC19" i="18"/>
  <c r="AB19" i="18"/>
  <c r="AA19" i="18"/>
  <c r="AD18" i="18"/>
  <c r="AC18" i="18"/>
  <c r="AB18" i="18"/>
  <c r="AA18" i="18"/>
  <c r="AD17" i="18"/>
  <c r="AC17" i="18"/>
  <c r="AB17" i="18"/>
  <c r="AA17" i="18"/>
  <c r="AD16" i="18"/>
  <c r="AC16" i="18"/>
  <c r="AB16" i="18"/>
  <c r="AA16" i="18"/>
  <c r="AD15" i="18"/>
  <c r="AC15" i="18"/>
  <c r="AB15" i="18"/>
  <c r="AA15" i="18"/>
  <c r="AD14" i="18"/>
  <c r="AC14" i="18"/>
  <c r="AB14" i="18"/>
  <c r="AA14" i="18"/>
  <c r="AD13" i="18"/>
  <c r="AC13" i="18"/>
  <c r="AB13" i="18"/>
  <c r="AA13" i="18"/>
  <c r="AD12" i="18"/>
  <c r="AC12" i="18"/>
  <c r="AB12" i="18"/>
  <c r="AA12" i="18"/>
  <c r="AD11" i="18"/>
  <c r="AC11" i="18"/>
  <c r="AB11" i="18"/>
  <c r="AA11" i="18"/>
  <c r="AD10" i="18"/>
  <c r="AC10" i="18"/>
  <c r="AB10" i="18"/>
  <c r="AA10" i="18"/>
  <c r="AD9" i="18"/>
  <c r="AC9" i="18"/>
  <c r="AB9" i="18"/>
  <c r="AA9" i="18"/>
  <c r="AA24" i="18"/>
  <c r="C20" i="18" l="1"/>
  <c r="C19" i="18"/>
  <c r="C18" i="18"/>
  <c r="C17" i="18"/>
  <c r="C16" i="18"/>
  <c r="C15" i="18"/>
  <c r="C14" i="18"/>
  <c r="C13" i="18"/>
  <c r="C12" i="18"/>
  <c r="C11" i="18"/>
  <c r="C10" i="18"/>
  <c r="C9" i="18"/>
  <c r="B28" i="16"/>
  <c r="AM28" i="16" s="1"/>
  <c r="B27" i="16"/>
  <c r="AM27" i="16" s="1"/>
  <c r="B26" i="16"/>
  <c r="AM26" i="16" s="1"/>
  <c r="B25" i="16"/>
  <c r="AM25" i="16" s="1"/>
  <c r="B24" i="16"/>
  <c r="AM24" i="16" s="1"/>
  <c r="B23" i="16"/>
  <c r="AM23" i="16" s="1"/>
  <c r="B22" i="16"/>
  <c r="AM22" i="16" s="1"/>
  <c r="B21" i="16"/>
  <c r="AM21" i="16" s="1"/>
  <c r="B20" i="16"/>
  <c r="AM20" i="16" s="1"/>
  <c r="B19" i="16"/>
  <c r="AM19" i="16" s="1"/>
  <c r="B18" i="16"/>
  <c r="AM18" i="16" s="1"/>
  <c r="B17" i="16"/>
  <c r="AM17" i="16" s="1"/>
  <c r="B16" i="16"/>
  <c r="AM16" i="16" s="1"/>
  <c r="B15" i="16"/>
  <c r="AM15" i="16" s="1"/>
  <c r="B14" i="16"/>
  <c r="AM14" i="16" s="1"/>
  <c r="B13" i="16"/>
  <c r="AM13" i="16" s="1"/>
  <c r="B12" i="16"/>
  <c r="AM12" i="16" s="1"/>
  <c r="B11" i="16"/>
  <c r="AM11" i="16" s="1"/>
  <c r="B10" i="16"/>
  <c r="AM10" i="16" s="1"/>
  <c r="B9" i="16"/>
  <c r="AM9" i="16" s="1"/>
  <c r="B8" i="16"/>
  <c r="AM8" i="16" s="1"/>
  <c r="B7" i="16"/>
  <c r="AM7" i="16" s="1"/>
  <c r="B6" i="16"/>
  <c r="AM6" i="16" s="1"/>
  <c r="Z20" i="18" l="1"/>
  <c r="Y20" i="18"/>
  <c r="X20" i="18"/>
  <c r="W20" i="18"/>
  <c r="Z19" i="18"/>
  <c r="Y19" i="18"/>
  <c r="X19" i="18"/>
  <c r="W19" i="18"/>
  <c r="Z18" i="18"/>
  <c r="Y18" i="18"/>
  <c r="X18" i="18"/>
  <c r="W18" i="18"/>
  <c r="Z17" i="18"/>
  <c r="Y17" i="18"/>
  <c r="X17" i="18"/>
  <c r="W17" i="18"/>
  <c r="Z16" i="18"/>
  <c r="Y16" i="18"/>
  <c r="X16" i="18"/>
  <c r="W16" i="18"/>
  <c r="Z15" i="18"/>
  <c r="Y15" i="18"/>
  <c r="X15" i="18"/>
  <c r="W15" i="18"/>
  <c r="Z14" i="18"/>
  <c r="Y14" i="18"/>
  <c r="X14" i="18"/>
  <c r="W14" i="18"/>
  <c r="Z13" i="18"/>
  <c r="Y13" i="18"/>
  <c r="X13" i="18"/>
  <c r="W13" i="18"/>
  <c r="Z12" i="18"/>
  <c r="Y12" i="18"/>
  <c r="X12" i="18"/>
  <c r="W12" i="18"/>
  <c r="Z11" i="18"/>
  <c r="Y11" i="18"/>
  <c r="X11" i="18"/>
  <c r="W11" i="18"/>
  <c r="Z10" i="18"/>
  <c r="Y10" i="18"/>
  <c r="X10" i="18"/>
  <c r="W10" i="18"/>
  <c r="Z9" i="18"/>
  <c r="Y9" i="18"/>
  <c r="X9" i="18"/>
  <c r="W9" i="18"/>
  <c r="V20" i="18"/>
  <c r="V19" i="18"/>
  <c r="V18" i="18"/>
  <c r="V17" i="18"/>
  <c r="V16" i="18"/>
  <c r="V15" i="18"/>
  <c r="V14" i="18"/>
  <c r="V13" i="18"/>
  <c r="V12" i="18"/>
  <c r="V11" i="18"/>
  <c r="V10" i="18"/>
  <c r="V9" i="18"/>
  <c r="P19" i="18"/>
  <c r="O19" i="18"/>
  <c r="N19" i="18"/>
  <c r="M19" i="18"/>
  <c r="L19" i="18"/>
  <c r="P18" i="18"/>
  <c r="O18" i="18"/>
  <c r="N18" i="18"/>
  <c r="M18" i="18"/>
  <c r="L18" i="18"/>
  <c r="P14" i="18"/>
  <c r="O14" i="18"/>
  <c r="N14" i="18"/>
  <c r="M14" i="18"/>
  <c r="P13" i="18"/>
  <c r="O13" i="18"/>
  <c r="N13" i="18"/>
  <c r="M13" i="18"/>
  <c r="L13" i="18"/>
  <c r="L12" i="18"/>
  <c r="P17" i="18"/>
  <c r="O17" i="18"/>
  <c r="N17" i="18"/>
  <c r="M17" i="18"/>
  <c r="L17" i="18"/>
  <c r="P16" i="18"/>
  <c r="O16" i="18"/>
  <c r="N16" i="18"/>
  <c r="M16" i="18"/>
  <c r="L16" i="18"/>
  <c r="P15" i="18"/>
  <c r="O15" i="18"/>
  <c r="N15" i="18"/>
  <c r="M15" i="18"/>
  <c r="P12" i="18"/>
  <c r="O12" i="18"/>
  <c r="N12" i="18"/>
  <c r="M12" i="18"/>
  <c r="P10" i="18"/>
  <c r="O10" i="18"/>
  <c r="N10" i="18"/>
  <c r="M10" i="18"/>
  <c r="L10" i="18"/>
  <c r="L9" i="18"/>
  <c r="P20" i="18"/>
  <c r="O20" i="18"/>
  <c r="N20" i="18"/>
  <c r="M20" i="18"/>
  <c r="L20" i="18"/>
  <c r="P11" i="18"/>
  <c r="O11" i="18"/>
  <c r="N11" i="18"/>
  <c r="M11" i="18"/>
  <c r="L11" i="18"/>
  <c r="P9" i="18"/>
  <c r="O9" i="18"/>
  <c r="N9" i="18"/>
  <c r="M9" i="18"/>
  <c r="AM7" i="18" l="1"/>
  <c r="E20" i="18" l="1"/>
  <c r="E19" i="18"/>
  <c r="E18" i="18"/>
  <c r="E17" i="18"/>
  <c r="E16" i="18"/>
  <c r="E15" i="18"/>
  <c r="E14" i="18"/>
  <c r="E13" i="18"/>
  <c r="E12" i="18"/>
  <c r="E11" i="18"/>
  <c r="E10" i="18"/>
  <c r="E9" i="18"/>
  <c r="AK20" i="18"/>
  <c r="AJ20" i="18"/>
  <c r="AI20" i="18"/>
  <c r="AH20" i="18"/>
  <c r="AG20" i="18"/>
  <c r="AF20" i="18"/>
  <c r="AE20" i="18"/>
  <c r="U20" i="18"/>
  <c r="T20" i="18"/>
  <c r="S20" i="18"/>
  <c r="R20" i="18"/>
  <c r="Q20" i="18"/>
  <c r="K20" i="18"/>
  <c r="J20" i="18"/>
  <c r="I20" i="18"/>
  <c r="H20" i="18"/>
  <c r="G20" i="18"/>
  <c r="AK19" i="18"/>
  <c r="AJ19" i="18"/>
  <c r="AI19" i="18"/>
  <c r="AH19" i="18"/>
  <c r="AG19" i="18"/>
  <c r="AF19" i="18"/>
  <c r="AE19" i="18"/>
  <c r="U19" i="18"/>
  <c r="T19" i="18"/>
  <c r="S19" i="18"/>
  <c r="R19" i="18"/>
  <c r="Q19" i="18"/>
  <c r="K19" i="18"/>
  <c r="J19" i="18"/>
  <c r="I19" i="18"/>
  <c r="H19" i="18"/>
  <c r="G19" i="18"/>
  <c r="AK18" i="18"/>
  <c r="AJ18" i="18"/>
  <c r="AI18" i="18"/>
  <c r="AH18" i="18"/>
  <c r="AG18" i="18"/>
  <c r="AF18" i="18"/>
  <c r="AE18" i="18"/>
  <c r="U18" i="18"/>
  <c r="T18" i="18"/>
  <c r="S18" i="18"/>
  <c r="R18" i="18"/>
  <c r="Q18" i="18"/>
  <c r="K18" i="18"/>
  <c r="J18" i="18"/>
  <c r="I18" i="18"/>
  <c r="H18" i="18"/>
  <c r="G18" i="18"/>
  <c r="AK17" i="18"/>
  <c r="AJ17" i="18"/>
  <c r="AI17" i="18"/>
  <c r="AH17" i="18"/>
  <c r="AG17" i="18"/>
  <c r="AF17" i="18"/>
  <c r="AE17" i="18"/>
  <c r="U17" i="18"/>
  <c r="T17" i="18"/>
  <c r="S17" i="18"/>
  <c r="R17" i="18"/>
  <c r="Q17" i="18"/>
  <c r="K17" i="18"/>
  <c r="J17" i="18"/>
  <c r="I17" i="18"/>
  <c r="H17" i="18"/>
  <c r="G17" i="18"/>
  <c r="AK16" i="18"/>
  <c r="AJ16" i="18"/>
  <c r="AI16" i="18"/>
  <c r="AH16" i="18"/>
  <c r="AG16" i="18"/>
  <c r="AF16" i="18"/>
  <c r="AE16" i="18"/>
  <c r="U16" i="18"/>
  <c r="T16" i="18"/>
  <c r="S16" i="18"/>
  <c r="R16" i="18"/>
  <c r="Q16" i="18"/>
  <c r="K16" i="18"/>
  <c r="J16" i="18"/>
  <c r="I16" i="18"/>
  <c r="H16" i="18"/>
  <c r="G16" i="18"/>
  <c r="AK15" i="18"/>
  <c r="AJ15" i="18"/>
  <c r="AI15" i="18"/>
  <c r="AH15" i="18"/>
  <c r="AG15" i="18"/>
  <c r="AF15" i="18"/>
  <c r="AE15" i="18"/>
  <c r="U15" i="18"/>
  <c r="T15" i="18"/>
  <c r="S15" i="18"/>
  <c r="R15" i="18"/>
  <c r="Q15" i="18"/>
  <c r="K15" i="18"/>
  <c r="J15" i="18"/>
  <c r="I15" i="18"/>
  <c r="H15" i="18"/>
  <c r="G15" i="18"/>
  <c r="AK14" i="18"/>
  <c r="AJ14" i="18"/>
  <c r="AI14" i="18"/>
  <c r="AH14" i="18"/>
  <c r="AG14" i="18"/>
  <c r="AF14" i="18"/>
  <c r="AE14" i="18"/>
  <c r="U14" i="18"/>
  <c r="T14" i="18"/>
  <c r="S14" i="18"/>
  <c r="R14" i="18"/>
  <c r="Q14" i="18"/>
  <c r="K14" i="18"/>
  <c r="J14" i="18"/>
  <c r="I14" i="18"/>
  <c r="H14" i="18"/>
  <c r="G14" i="18"/>
  <c r="AK13" i="18"/>
  <c r="AJ13" i="18"/>
  <c r="AI13" i="18"/>
  <c r="AH13" i="18"/>
  <c r="AG13" i="18"/>
  <c r="AF13" i="18"/>
  <c r="AE13" i="18"/>
  <c r="U13" i="18"/>
  <c r="T13" i="18"/>
  <c r="S13" i="18"/>
  <c r="R13" i="18"/>
  <c r="Q13" i="18"/>
  <c r="K13" i="18"/>
  <c r="J13" i="18"/>
  <c r="I13" i="18"/>
  <c r="H13" i="18"/>
  <c r="G13" i="18"/>
  <c r="AK12" i="18"/>
  <c r="AJ12" i="18"/>
  <c r="AI12" i="18"/>
  <c r="AH12" i="18"/>
  <c r="AG12" i="18"/>
  <c r="AF12" i="18"/>
  <c r="AE12" i="18"/>
  <c r="U12" i="18"/>
  <c r="T12" i="18"/>
  <c r="S12" i="18"/>
  <c r="R12" i="18"/>
  <c r="Q12" i="18"/>
  <c r="K12" i="18"/>
  <c r="J12" i="18"/>
  <c r="I12" i="18"/>
  <c r="H12" i="18"/>
  <c r="G12" i="18"/>
  <c r="AK11" i="18"/>
  <c r="AJ11" i="18"/>
  <c r="AI11" i="18"/>
  <c r="AH11" i="18"/>
  <c r="AG11" i="18"/>
  <c r="AF11" i="18"/>
  <c r="AE11" i="18"/>
  <c r="U11" i="18"/>
  <c r="T11" i="18"/>
  <c r="S11" i="18"/>
  <c r="R11" i="18"/>
  <c r="Q11" i="18"/>
  <c r="K11" i="18"/>
  <c r="J11" i="18"/>
  <c r="I11" i="18"/>
  <c r="H11" i="18"/>
  <c r="G11" i="18"/>
  <c r="AK10" i="18"/>
  <c r="AJ10" i="18"/>
  <c r="AI10" i="18"/>
  <c r="AH10" i="18"/>
  <c r="AG10" i="18"/>
  <c r="AF10" i="18"/>
  <c r="AE10" i="18"/>
  <c r="U10" i="18"/>
  <c r="T10" i="18"/>
  <c r="S10" i="18"/>
  <c r="R10" i="18"/>
  <c r="Q10" i="18"/>
  <c r="K10" i="18"/>
  <c r="J10" i="18"/>
  <c r="I10" i="18"/>
  <c r="H10" i="18"/>
  <c r="G10" i="18"/>
  <c r="AK9" i="18"/>
  <c r="AJ9" i="18"/>
  <c r="AI9" i="18"/>
  <c r="AH9" i="18"/>
  <c r="AG9" i="18"/>
  <c r="AF9" i="18"/>
  <c r="AE9" i="18"/>
  <c r="U9" i="18"/>
  <c r="T9" i="18"/>
  <c r="S9" i="18"/>
  <c r="R9" i="18"/>
  <c r="Q9" i="18"/>
  <c r="K9" i="18"/>
  <c r="J9" i="18"/>
  <c r="I9" i="18"/>
  <c r="H9" i="18"/>
  <c r="G9" i="18"/>
  <c r="F19" i="18"/>
  <c r="F18" i="18"/>
  <c r="F14" i="18"/>
  <c r="F13" i="18"/>
  <c r="F17" i="18"/>
  <c r="F16" i="18"/>
  <c r="F15" i="18"/>
  <c r="F12" i="18"/>
  <c r="F10" i="18"/>
  <c r="F20" i="18"/>
  <c r="F11" i="18"/>
  <c r="F9" i="18"/>
  <c r="AQ20" i="18" l="1"/>
  <c r="AQ19" i="18"/>
  <c r="AQ18" i="18"/>
  <c r="AQ17" i="18"/>
  <c r="AQ16" i="18"/>
  <c r="AQ15" i="18"/>
  <c r="AQ14" i="18"/>
  <c r="AQ13" i="18"/>
  <c r="AQ12" i="18"/>
  <c r="AQ11" i="18"/>
  <c r="AQ10" i="18"/>
  <c r="AQ9" i="18"/>
  <c r="AP20" i="18"/>
  <c r="AP19" i="18"/>
  <c r="AP18" i="18"/>
  <c r="AP17" i="18"/>
  <c r="AP16" i="18"/>
  <c r="AP15" i="18"/>
  <c r="AP14" i="18"/>
  <c r="AP13" i="18"/>
  <c r="AP12" i="18"/>
  <c r="AP11" i="18"/>
  <c r="AP10" i="18"/>
  <c r="AP9" i="18"/>
  <c r="AL28" i="16" l="1"/>
  <c r="AL27" i="16"/>
  <c r="AL26" i="16"/>
  <c r="AL25" i="16"/>
  <c r="AL24" i="16"/>
  <c r="AL23" i="16"/>
  <c r="AL22" i="16"/>
  <c r="AL21" i="16"/>
  <c r="AL20" i="16"/>
  <c r="AL19" i="16"/>
  <c r="AL18" i="16"/>
  <c r="AL17" i="16"/>
  <c r="AL16" i="16"/>
  <c r="AL15" i="16"/>
  <c r="AL14" i="16"/>
  <c r="AL13" i="16"/>
  <c r="AL12" i="16"/>
  <c r="AL11" i="16"/>
  <c r="AL10" i="16"/>
  <c r="AL9" i="16"/>
  <c r="AL8" i="16"/>
  <c r="AL7" i="16"/>
  <c r="AL6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AP4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R4" authorId="0" shapeId="0" xr:uid="{00000000-0006-0000-00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K5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P32" authorId="0" shapeId="0" xr:uid="{06F3231B-94BB-49C8-9F4C-DC586231478A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R32" authorId="0" shapeId="0" xr:uid="{8665A56B-AD80-484E-9EA0-FEA0F2B8C415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K33" authorId="0" shapeId="0" xr:uid="{EF74BA77-B7FB-4D73-B9D4-84185DF49218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  <author>Alessandro Chiodi</author>
  </authors>
  <commentList>
    <comment ref="AT7" authorId="0" shapeId="0" xr:uid="{12FD16F9-F81A-4344-8BC5-DD5F5FC107B1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V7" authorId="0" shapeId="0" xr:uid="{D6FC1886-C210-430A-A8C7-2F347583C0E5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X7" authorId="1" shapeId="0" xr:uid="{BF2496D6-E57D-4619-BDB3-2D9C2AA886BF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BB7" authorId="0" shapeId="0" xr:uid="{B42B104A-1270-4F66-97B1-D6601017704B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BC7" authorId="0" shapeId="0" xr:uid="{2EBD69CC-B620-4CFE-B992-394306276CDC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BD7" authorId="0" shapeId="0" xr:uid="{E3C49B11-C5BD-441A-B2A0-AB0734EEDF15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BE7" authorId="0" shapeId="0" xr:uid="{D33962D3-322E-4D2B-8744-67C61A533BEC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L8" authorId="2" shapeId="0" xr:uid="{E61415E8-B824-4F58-9AD2-1CAF6AD3417B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Plant + Pipeline + Storage</t>
        </r>
      </text>
    </comment>
    <comment ref="V8" authorId="2" shapeId="0" xr:uid="{2B51B894-C0F5-4C85-97AA-A9E3773FF99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Plant + Pipeline + Storage</t>
        </r>
      </text>
    </comment>
    <comment ref="AO8" authorId="0" shapeId="0" xr:uid="{222ACFC5-B47D-4259-BC83-D962E273C7A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<sst xmlns="http://schemas.openxmlformats.org/spreadsheetml/2006/main" count="525" uniqueCount="194">
  <si>
    <t>Unit</t>
  </si>
  <si>
    <t>Max. capacity factor</t>
  </si>
  <si>
    <t>GW</t>
  </si>
  <si>
    <t>Commercial solar PV system 0.1-2 MW</t>
  </si>
  <si>
    <t>Commercial solar PV &gt;2 MW without tracking</t>
  </si>
  <si>
    <t>Commercial solar PV &gt;2 MW with tracking</t>
  </si>
  <si>
    <t>Hydropower dam and reservoir, &gt;100 MW</t>
  </si>
  <si>
    <t>Hydropower dam and reservoir, 10-100 MW</t>
  </si>
  <si>
    <t>Hydropower dam and reservoir, &lt;10 MW</t>
  </si>
  <si>
    <t>Hydropower run-of-a-river</t>
  </si>
  <si>
    <t>Flash power plant extracting fluid from hydrothermal system at 2.5 km depth</t>
  </si>
  <si>
    <t>Organic Rankine Cycle hydrothermal system.</t>
  </si>
  <si>
    <t>Organic Rankine Cycle Enhanced Geothermal System at 5.5 km depth</t>
  </si>
  <si>
    <t>Wave energy</t>
  </si>
  <si>
    <t>Tidal energy</t>
  </si>
  <si>
    <t>Open-Cycle Gas Turbine conventional</t>
  </si>
  <si>
    <t>Open Cycle Gas Turbine advanced</t>
  </si>
  <si>
    <t>CCGT advanced CCS post combustion</t>
  </si>
  <si>
    <t>Pulverised coal supercritical CCS post-combustion</t>
  </si>
  <si>
    <t>TechName</t>
  </si>
  <si>
    <t>*TechDesc</t>
  </si>
  <si>
    <t>Comm-IN</t>
  </si>
  <si>
    <t>Comm-OUT</t>
  </si>
  <si>
    <t>INVCOST</t>
  </si>
  <si>
    <t>INVCOST~2020</t>
  </si>
  <si>
    <t>INVCOST~2030</t>
  </si>
  <si>
    <t>FIXOM</t>
  </si>
  <si>
    <t>FIXOM~2020</t>
  </si>
  <si>
    <t>FIXOM~2030</t>
  </si>
  <si>
    <t>VAROM</t>
  </si>
  <si>
    <t>VAROM~2020</t>
  </si>
  <si>
    <t>VAROM~2030</t>
  </si>
  <si>
    <t>LIFE</t>
  </si>
  <si>
    <t>Start</t>
  </si>
  <si>
    <t>Cap2Act</t>
  </si>
  <si>
    <t>*Technology Name</t>
  </si>
  <si>
    <t>Technology Description</t>
  </si>
  <si>
    <t>Input Commodity</t>
  </si>
  <si>
    <t>Output Commodity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</si>
  <si>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</si>
  <si>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</si>
  <si>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</si>
  <si>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</si>
  <si>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</si>
  <si>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</si>
  <si>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</si>
  <si>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</si>
  <si>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</si>
  <si>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</si>
  <si>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Activity Unit</t>
  </si>
  <si>
    <t>Capacity Unit</t>
  </si>
  <si>
    <t>Primary CommGrp</t>
  </si>
  <si>
    <t>Vintage Tracking</t>
  </si>
  <si>
    <t>Csets</t>
  </si>
  <si>
    <t>CommName</t>
  </si>
  <si>
    <t>CommDesc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</si>
  <si>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</si>
  <si>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</si>
  <si>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</si>
  <si>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</si>
  <si>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</si>
  <si>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</si>
  <si>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</si>
  <si>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</si>
  <si>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</si>
  <si>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</si>
  <si>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</si>
  <si>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~FI_Comm</t>
  </si>
  <si>
    <t>INVCOST~2040</t>
  </si>
  <si>
    <t>INVCOST~2050</t>
  </si>
  <si>
    <t>FIXOM~2040</t>
  </si>
  <si>
    <t>FIXOM~2050</t>
  </si>
  <si>
    <t>VAROM~2040</t>
  </si>
  <si>
    <t>VAROM~2050</t>
  </si>
  <si>
    <t>LIFE~2020</t>
  </si>
  <si>
    <t>LIFE~2030</t>
  </si>
  <si>
    <t>~FI_T: EUR13</t>
  </si>
  <si>
    <t>Technical life</t>
  </si>
  <si>
    <t>EFF</t>
  </si>
  <si>
    <t>EFF~2020</t>
  </si>
  <si>
    <t>EFF~2030</t>
  </si>
  <si>
    <t>EFF~2040</t>
  </si>
  <si>
    <t>EFF~2050</t>
  </si>
  <si>
    <t>Efficiency</t>
  </si>
  <si>
    <t>Solar thermal electricity power plants without thermal storage (power/heat=0.38)</t>
  </si>
  <si>
    <t>ELCC</t>
  </si>
  <si>
    <t>ELCD</t>
  </si>
  <si>
    <t>ELE</t>
  </si>
  <si>
    <t>PJ</t>
  </si>
  <si>
    <t>TimeSlice Level</t>
  </si>
  <si>
    <t>Electricity Generators Database</t>
  </si>
  <si>
    <t>Offshore wind</t>
  </si>
  <si>
    <t>CAPEX REF (€2013/kW)</t>
  </si>
  <si>
    <t>FOM (€2013/kW)</t>
  </si>
  <si>
    <t>VOM (€2013/GJ)</t>
  </si>
  <si>
    <t>ELCWIN</t>
  </si>
  <si>
    <t>ELCHYD</t>
  </si>
  <si>
    <t>ELCGAS</t>
  </si>
  <si>
    <t>ELCCOA</t>
  </si>
  <si>
    <t>Share-I~UP~ELCBIO</t>
  </si>
  <si>
    <t>DAYNITE</t>
  </si>
  <si>
    <t>\I: Process Set Membership</t>
  </si>
  <si>
    <t>Timeslice Operational Level</t>
  </si>
  <si>
    <t>Operational Commodity Group</t>
  </si>
  <si>
    <t>ELCPEA</t>
  </si>
  <si>
    <t>Electricity Generators Database - CCS options</t>
  </si>
  <si>
    <t>Techno-economic data: ETRI 2014 (https://setis.ec.europa.eu/publications/jrc-setis-reports/etri-2014 )</t>
  </si>
  <si>
    <t xml:space="preserve">Sources: </t>
  </si>
  <si>
    <t>ENV</t>
  </si>
  <si>
    <t>Sink_ELCCO2N</t>
  </si>
  <si>
    <t>kt</t>
  </si>
  <si>
    <t>Captured CO2 (ELC)</t>
  </si>
  <si>
    <t>Process options: Irish TIMES v1.0 (using Fionn's analysis)</t>
  </si>
  <si>
    <t>ENVACT_ELCCO2N</t>
  </si>
  <si>
    <t>kt/PJ</t>
  </si>
  <si>
    <t>Fluidised bed peat CCS post combustion</t>
  </si>
  <si>
    <t xml:space="preserve">Pulverised coal supercritical CCS post-combustion_Moneypoint Kinsale </t>
  </si>
  <si>
    <t xml:space="preserve">Pulverised coal supercritical CCS post-combustion_Moneypoint Spanish Point </t>
  </si>
  <si>
    <t>CCGT advanced CCS post combustion_Cork Kinsale</t>
  </si>
  <si>
    <t>CCGT advanced CCS post combustion_Cork Spanish Point</t>
  </si>
  <si>
    <t>CCGT advanced CCS post combustion_Dublin East Irish Sea</t>
  </si>
  <si>
    <t>CCGT advanced CCS post combustion_Dublin Central Irish Sea</t>
  </si>
  <si>
    <t>IGCC peat CCS pre combustion_Offaly Kinsale</t>
  </si>
  <si>
    <t>IGCC peat CCS pre combustion_Offaly East Irish Sea</t>
  </si>
  <si>
    <t>IGCC peat CCS pre combustion_Offaly Central Irish Sea</t>
  </si>
  <si>
    <t>Pulverised coal supercritical CCS post-combustion_Kilroot Portpatrick</t>
  </si>
  <si>
    <t xml:space="preserve">Pipeline </t>
  </si>
  <si>
    <t>Storage</t>
  </si>
  <si>
    <t>*VAROM</t>
  </si>
  <si>
    <t>*INVCOST</t>
  </si>
  <si>
    <t>Overall CAPEX (€2013/kW)</t>
  </si>
  <si>
    <t>Overall VOM (€2013/GJ)</t>
  </si>
  <si>
    <t>Combined Cycle Gas Turbine advanced</t>
  </si>
  <si>
    <t>Pulverised coal supercritical CCS oxyfuel</t>
  </si>
  <si>
    <t>IGCC peat CCS pre combustion</t>
  </si>
  <si>
    <t>EPPSol_01_PV</t>
  </si>
  <si>
    <t>EPPSol_02_PV</t>
  </si>
  <si>
    <t>EPPSol_03_PV</t>
  </si>
  <si>
    <t>EPPSol_05_CSP</t>
  </si>
  <si>
    <t>EPPHyd_01_DAM</t>
  </si>
  <si>
    <t>EPPHyd_02_DAM</t>
  </si>
  <si>
    <t>EPPHyd_03_DAM</t>
  </si>
  <si>
    <t>EPPHyd_04_ROR</t>
  </si>
  <si>
    <t>EPPGeo_01</t>
  </si>
  <si>
    <t>EPPGeo_02</t>
  </si>
  <si>
    <t>EPPGeo_03</t>
  </si>
  <si>
    <t>EPPOce_02_TID</t>
  </si>
  <si>
    <t>EPPGas_01_OCGT</t>
  </si>
  <si>
    <t>EPPGas_02_OCGT</t>
  </si>
  <si>
    <t>EPPGas_03_CCGT</t>
  </si>
  <si>
    <t>*EPPGas_04_CCS</t>
  </si>
  <si>
    <t>*EPPCoa_04_CCS</t>
  </si>
  <si>
    <t>*EPPPea_04_CCS</t>
  </si>
  <si>
    <t>*EPPCoa_05_CCS</t>
  </si>
  <si>
    <t>*EPPCoa_06_CCS</t>
  </si>
  <si>
    <t>*EPPPea_05_CCS</t>
  </si>
  <si>
    <t>EPPGas_04_CCS-Dublin1</t>
  </si>
  <si>
    <t>EPPGas_04_CCS-Dublin2</t>
  </si>
  <si>
    <t>EPPCoa_04_CCS-Moneypoint1</t>
  </si>
  <si>
    <t>EPPCoa_04_CCS-Moneypoint2</t>
  </si>
  <si>
    <t>EPPCoa_04_CCS-Kilroot1</t>
  </si>
  <si>
    <t>EPPCoa_06_CCS-Moneypoint1</t>
  </si>
  <si>
    <t>EPPCoa_06_CCS-Moneypoint2</t>
  </si>
  <si>
    <t>EPPGas_04_CCS-Cork1</t>
  </si>
  <si>
    <t>EPPGas_04_CCS-Cork2</t>
  </si>
  <si>
    <t>EPPPea_05_CCS-Offaly1</t>
  </si>
  <si>
    <t>EPPPea_05_CCS-Offaly2</t>
  </si>
  <si>
    <t>EPPPea_05_CCS-Offaly3</t>
  </si>
  <si>
    <t>2000-2012 CPI</t>
  </si>
  <si>
    <t>-&gt;</t>
  </si>
  <si>
    <t>(source Eurostat)</t>
  </si>
  <si>
    <t>EPPWin_02_OF</t>
  </si>
  <si>
    <t xml:space="preserve">IGCC coal CCS pre-combustion_Moneypoint Spanish Point </t>
  </si>
  <si>
    <t xml:space="preserve">IGCC coal CCS pre-combustion_Moneypoint Kinsale </t>
  </si>
  <si>
    <t>IGCC coal CCS pre-combustion</t>
  </si>
  <si>
    <t>EPPH2_02_CCGT</t>
  </si>
  <si>
    <t>New Power Plant - Hydrogen Combined Cycle Gas Turbine</t>
  </si>
  <si>
    <t>EPPH2_01_OCGT</t>
  </si>
  <si>
    <t>New Power Plant - Hydrogen Open Cycle Gas Turbine</t>
  </si>
  <si>
    <t xml:space="preserve">Source: ETRI 2014 (https://setis.ec.europa.eu/publications/jrc-setis-reports/etri-2014 ) </t>
  </si>
  <si>
    <t>~FI_T: EUR12</t>
  </si>
  <si>
    <t>Source: UK TIMES (for H2)</t>
  </si>
  <si>
    <t>CAPEX REF (€2012/kW)</t>
  </si>
  <si>
    <t>ELCH2G</t>
  </si>
  <si>
    <t>EPPOce_01_WAV</t>
    <phoneticPr fontId="15" type="noConversion"/>
  </si>
  <si>
    <t>AFA</t>
    <phoneticPr fontId="15" type="noConversion"/>
  </si>
  <si>
    <t>AFA~2020</t>
    <phoneticPr fontId="15" type="noConversion"/>
  </si>
  <si>
    <t>AFA~2030</t>
    <phoneticPr fontId="15" type="noConversion"/>
  </si>
  <si>
    <t>AFA~2040</t>
    <phoneticPr fontId="15" type="noConversion"/>
  </si>
  <si>
    <t>AFA~2050</t>
    <phoneticPr fontId="15" type="noConversion"/>
  </si>
  <si>
    <t>ELCSOL</t>
    <phoneticPr fontId="15" type="noConversion"/>
  </si>
  <si>
    <t>ELCGEO</t>
    <phoneticPr fontId="15" type="noConversion"/>
  </si>
  <si>
    <t>ELCOCE</t>
    <phoneticPr fontId="15" type="noConversion"/>
  </si>
  <si>
    <t>ELCC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</si>
</sst>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b/>
      <sz val="10"/>
      <color indexed="12"/>
      <name val="Arial"/>
      <family val="2"/>
    </font>
    <font>
      <sz val="9"/>
      <name val="Calibri"/>
      <family val="3"/>
      <charset val="134"/>
      <scheme val="minor"/>
    </font>
    <font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15" applyNumberFormat="0" applyAlignment="0" applyProtection="0">
      <alignment vertical="center"/>
    </xf>
    <xf numFmtId="0" fontId="24" fillId="13" borderId="16" applyNumberFormat="0" applyAlignment="0" applyProtection="0">
      <alignment vertical="center"/>
    </xf>
    <xf numFmtId="0" fontId="25" fillId="13" borderId="15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14" borderId="1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</cellStyleXfs>
  <cellXfs count="118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64" fontId="5" fillId="5" borderId="0" xfId="2" applyNumberFormat="1" applyFont="1" applyAlignment="1">
      <alignment vertical="center"/>
    </xf>
    <xf numFmtId="0" fontId="7" fillId="3" borderId="1" xfId="0" applyFont="1" applyFill="1" applyBorder="1" applyAlignment="1">
      <alignment vertical="center"/>
    </xf>
    <xf numFmtId="164" fontId="7" fillId="3" borderId="2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0" borderId="0" xfId="0" applyFont="1" applyFill="1"/>
    <xf numFmtId="164" fontId="6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164" fontId="8" fillId="4" borderId="2" xfId="0" applyNumberFormat="1" applyFont="1" applyFill="1" applyBorder="1" applyAlignment="1">
      <alignment horizontal="left" vertical="center" wrapText="1"/>
    </xf>
    <xf numFmtId="164" fontId="9" fillId="0" borderId="0" xfId="0" applyNumberFormat="1" applyFont="1" applyAlignment="1">
      <alignment vertical="center"/>
    </xf>
    <xf numFmtId="164" fontId="7" fillId="3" borderId="1" xfId="0" applyNumberFormat="1" applyFont="1" applyFill="1" applyBorder="1" applyAlignment="1">
      <alignment vertical="center"/>
    </xf>
    <xf numFmtId="164" fontId="7" fillId="3" borderId="1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5" fillId="2" borderId="0" xfId="0" applyFont="1" applyFill="1"/>
    <xf numFmtId="0" fontId="8" fillId="4" borderId="4" xfId="0" applyFont="1" applyFill="1" applyBorder="1" applyAlignment="1">
      <alignment vertical="center"/>
    </xf>
    <xf numFmtId="9" fontId="0" fillId="0" borderId="0" xfId="1" applyFont="1" applyBorder="1"/>
    <xf numFmtId="0" fontId="10" fillId="0" borderId="0" xfId="0" applyFont="1" applyBorder="1" applyAlignment="1">
      <alignment vertical="center"/>
    </xf>
    <xf numFmtId="0" fontId="0" fillId="0" borderId="0" xfId="0"/>
    <xf numFmtId="0" fontId="0" fillId="0" borderId="0" xfId="0" applyFont="1"/>
    <xf numFmtId="0" fontId="0" fillId="0" borderId="5" xfId="0" applyFont="1" applyFill="1" applyBorder="1"/>
    <xf numFmtId="0" fontId="0" fillId="0" borderId="5" xfId="0" applyFont="1" applyBorder="1"/>
    <xf numFmtId="0" fontId="0" fillId="0" borderId="5" xfId="0" applyBorder="1" applyAlignment="1">
      <alignment vertical="center"/>
    </xf>
    <xf numFmtId="9" fontId="0" fillId="0" borderId="5" xfId="1" applyFont="1" applyBorder="1"/>
    <xf numFmtId="0" fontId="0" fillId="0" borderId="5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6" xfId="0" applyFont="1" applyFill="1" applyBorder="1"/>
    <xf numFmtId="0" fontId="10" fillId="0" borderId="6" xfId="0" applyFont="1" applyFill="1" applyBorder="1" applyAlignment="1">
      <alignment vertical="center"/>
    </xf>
    <xf numFmtId="9" fontId="0" fillId="0" borderId="6" xfId="1" applyFont="1" applyBorder="1"/>
    <xf numFmtId="0" fontId="0" fillId="0" borderId="6" xfId="0" applyFont="1" applyBorder="1"/>
    <xf numFmtId="0" fontId="0" fillId="0" borderId="6" xfId="0" applyFont="1" applyBorder="1" applyAlignment="1">
      <alignment horizontal="center" vertical="center"/>
    </xf>
    <xf numFmtId="9" fontId="0" fillId="0" borderId="6" xfId="1" applyFont="1" applyFill="1" applyBorder="1"/>
    <xf numFmtId="0" fontId="9" fillId="0" borderId="6" xfId="0" applyFont="1" applyBorder="1"/>
    <xf numFmtId="0" fontId="10" fillId="0" borderId="6" xfId="0" applyFont="1" applyFill="1" applyBorder="1"/>
    <xf numFmtId="0" fontId="10" fillId="0" borderId="6" xfId="0" applyFont="1" applyBorder="1" applyAlignment="1">
      <alignment vertical="center"/>
    </xf>
    <xf numFmtId="0" fontId="0" fillId="6" borderId="6" xfId="0" applyFont="1" applyFill="1" applyBorder="1"/>
    <xf numFmtId="0" fontId="10" fillId="6" borderId="6" xfId="0" applyFont="1" applyFill="1" applyBorder="1" applyAlignment="1">
      <alignment vertical="center"/>
    </xf>
    <xf numFmtId="9" fontId="0" fillId="6" borderId="6" xfId="1" applyFont="1" applyFill="1" applyBorder="1"/>
    <xf numFmtId="0" fontId="0" fillId="6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vertical="center"/>
    </xf>
    <xf numFmtId="0" fontId="8" fillId="4" borderId="7" xfId="0" applyFont="1" applyFill="1" applyBorder="1" applyAlignment="1">
      <alignment horizontal="left" vertical="center"/>
    </xf>
    <xf numFmtId="1" fontId="0" fillId="0" borderId="6" xfId="0" applyNumberFormat="1" applyFont="1" applyBorder="1"/>
    <xf numFmtId="1" fontId="0" fillId="6" borderId="6" xfId="0" applyNumberFormat="1" applyFont="1" applyFill="1" applyBorder="1"/>
    <xf numFmtId="0" fontId="0" fillId="0" borderId="0" xfId="0" applyFont="1" applyBorder="1"/>
    <xf numFmtId="0" fontId="0" fillId="0" borderId="0" xfId="0" applyFont="1"/>
    <xf numFmtId="9" fontId="0" fillId="0" borderId="6" xfId="1" applyFont="1" applyFill="1" applyBorder="1"/>
    <xf numFmtId="0" fontId="7" fillId="3" borderId="2" xfId="0" applyFont="1" applyFill="1" applyBorder="1" applyAlignment="1">
      <alignment horizontal="center" vertical="center" wrapText="1"/>
    </xf>
    <xf numFmtId="0" fontId="0" fillId="0" borderId="0" xfId="0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Fill="1"/>
    <xf numFmtId="0" fontId="2" fillId="0" borderId="0" xfId="0" applyFont="1"/>
    <xf numFmtId="164" fontId="14" fillId="0" borderId="0" xfId="0" applyNumberFormat="1" applyFont="1"/>
    <xf numFmtId="164" fontId="0" fillId="0" borderId="0" xfId="0" applyNumberFormat="1"/>
    <xf numFmtId="164" fontId="0" fillId="0" borderId="0" xfId="0" applyNumberFormat="1" applyFill="1"/>
    <xf numFmtId="0" fontId="8" fillId="4" borderId="8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center" vertical="center" wrapText="1"/>
    </xf>
    <xf numFmtId="165" fontId="0" fillId="0" borderId="6" xfId="0" applyNumberFormat="1" applyFont="1" applyBorder="1"/>
    <xf numFmtId="165" fontId="0" fillId="0" borderId="9" xfId="0" applyNumberFormat="1" applyFont="1" applyBorder="1"/>
    <xf numFmtId="0" fontId="8" fillId="4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2" fontId="0" fillId="0" borderId="6" xfId="0" applyNumberFormat="1" applyFont="1" applyBorder="1"/>
    <xf numFmtId="1" fontId="0" fillId="7" borderId="6" xfId="0" applyNumberFormat="1" applyFont="1" applyFill="1" applyBorder="1"/>
    <xf numFmtId="2" fontId="0" fillId="7" borderId="6" xfId="0" applyNumberFormat="1" applyFont="1" applyFill="1" applyBorder="1"/>
    <xf numFmtId="1" fontId="0" fillId="7" borderId="5" xfId="0" applyNumberFormat="1" applyFont="1" applyFill="1" applyBorder="1"/>
    <xf numFmtId="1" fontId="0" fillId="7" borderId="9" xfId="0" applyNumberFormat="1" applyFont="1" applyFill="1" applyBorder="1"/>
    <xf numFmtId="1" fontId="0" fillId="8" borderId="6" xfId="0" applyNumberFormat="1" applyFont="1" applyFill="1" applyBorder="1"/>
    <xf numFmtId="1" fontId="0" fillId="8" borderId="5" xfId="0" applyNumberFormat="1" applyFont="1" applyFill="1" applyBorder="1"/>
    <xf numFmtId="2" fontId="0" fillId="7" borderId="9" xfId="0" applyNumberFormat="1" applyFont="1" applyFill="1" applyBorder="1"/>
    <xf numFmtId="2" fontId="0" fillId="6" borderId="6" xfId="0" applyNumberFormat="1" applyFont="1" applyFill="1" applyBorder="1"/>
    <xf numFmtId="2" fontId="0" fillId="0" borderId="9" xfId="0" applyNumberFormat="1" applyFont="1" applyBorder="1"/>
    <xf numFmtId="0" fontId="0" fillId="0" borderId="9" xfId="0" applyFont="1" applyFill="1" applyBorder="1"/>
    <xf numFmtId="0" fontId="10" fillId="0" borderId="9" xfId="0" applyFont="1" applyBorder="1" applyAlignment="1">
      <alignment vertical="center"/>
    </xf>
    <xf numFmtId="9" fontId="0" fillId="0" borderId="9" xfId="1" applyFont="1" applyBorder="1"/>
    <xf numFmtId="0" fontId="0" fillId="0" borderId="9" xfId="0" applyFont="1" applyBorder="1"/>
    <xf numFmtId="1" fontId="0" fillId="0" borderId="9" xfId="0" applyNumberFormat="1" applyFont="1" applyBorder="1"/>
    <xf numFmtId="0" fontId="0" fillId="0" borderId="9" xfId="0" applyFont="1" applyBorder="1" applyAlignment="1">
      <alignment horizontal="center" vertical="center"/>
    </xf>
    <xf numFmtId="9" fontId="0" fillId="0" borderId="9" xfId="1" applyFont="1" applyFill="1" applyBorder="1"/>
    <xf numFmtId="165" fontId="0" fillId="8" borderId="6" xfId="0" applyNumberFormat="1" applyFont="1" applyFill="1" applyBorder="1"/>
    <xf numFmtId="165" fontId="0" fillId="8" borderId="5" xfId="0" applyNumberFormat="1" applyFont="1" applyFill="1" applyBorder="1"/>
    <xf numFmtId="0" fontId="0" fillId="0" borderId="0" xfId="0" quotePrefix="1"/>
    <xf numFmtId="0" fontId="0" fillId="0" borderId="0" xfId="0" applyFont="1" applyFill="1" applyBorder="1"/>
    <xf numFmtId="0" fontId="0" fillId="0" borderId="10" xfId="0" applyFont="1" applyFill="1" applyBorder="1"/>
    <xf numFmtId="0" fontId="10" fillId="0" borderId="10" xfId="0" applyFont="1" applyBorder="1" applyAlignment="1">
      <alignment vertical="center"/>
    </xf>
    <xf numFmtId="9" fontId="0" fillId="0" borderId="10" xfId="1" applyFont="1" applyBorder="1"/>
    <xf numFmtId="0" fontId="0" fillId="0" borderId="10" xfId="0" applyFont="1" applyBorder="1"/>
    <xf numFmtId="1" fontId="0" fillId="0" borderId="10" xfId="0" applyNumberFormat="1" applyFont="1" applyBorder="1"/>
    <xf numFmtId="2" fontId="0" fillId="0" borderId="10" xfId="0" applyNumberFormat="1" applyFont="1" applyBorder="1"/>
    <xf numFmtId="0" fontId="0" fillId="0" borderId="10" xfId="0" applyFont="1" applyBorder="1" applyAlignment="1">
      <alignment horizontal="center" vertical="center"/>
    </xf>
    <xf numFmtId="9" fontId="0" fillId="0" borderId="10" xfId="1" applyFont="1" applyFill="1" applyBorder="1"/>
    <xf numFmtId="1" fontId="0" fillId="0" borderId="0" xfId="0" applyNumberFormat="1" applyFont="1" applyBorder="1"/>
    <xf numFmtId="2" fontId="0" fillId="0" borderId="0" xfId="0" applyNumberFormat="1" applyFont="1" applyBorder="1"/>
    <xf numFmtId="0" fontId="0" fillId="0" borderId="0" xfId="0" applyFont="1" applyBorder="1" applyAlignment="1">
      <alignment horizontal="center" vertical="center"/>
    </xf>
    <xf numFmtId="9" fontId="0" fillId="0" borderId="0" xfId="1" applyFont="1" applyFill="1" applyBorder="1"/>
    <xf numFmtId="0" fontId="0" fillId="0" borderId="11" xfId="0" applyFont="1" applyFill="1" applyBorder="1"/>
    <xf numFmtId="0" fontId="10" fillId="0" borderId="11" xfId="0" applyFont="1" applyBorder="1" applyAlignment="1">
      <alignment vertical="center"/>
    </xf>
    <xf numFmtId="9" fontId="0" fillId="0" borderId="11" xfId="1" applyFont="1" applyBorder="1"/>
    <xf numFmtId="0" fontId="0" fillId="0" borderId="11" xfId="0" applyFont="1" applyBorder="1"/>
    <xf numFmtId="1" fontId="0" fillId="0" borderId="11" xfId="0" applyNumberFormat="1" applyFont="1" applyBorder="1"/>
    <xf numFmtId="2" fontId="0" fillId="0" borderId="11" xfId="0" applyNumberFormat="1" applyFont="1" applyBorder="1"/>
    <xf numFmtId="0" fontId="0" fillId="0" borderId="11" xfId="0" applyFont="1" applyBorder="1" applyAlignment="1">
      <alignment horizontal="center" vertical="center"/>
    </xf>
    <xf numFmtId="9" fontId="0" fillId="0" borderId="11" xfId="1" applyFont="1" applyFill="1" applyBorder="1"/>
    <xf numFmtId="0" fontId="8" fillId="4" borderId="7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2" builtinId="29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Output" xfId="12" builtinId="21" customBuiltin="1"/>
    <cellStyle name="Percent" xfId="1" builtinId="5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V36"/>
  <sheetViews>
    <sheetView tabSelected="1" topLeftCell="A4" zoomScale="70" zoomScaleNormal="70" workbookViewId="0">
      <selection activeCell="A29" sqref="A29"/>
    </sheetView>
  </sheetViews>
  <sheetFormatPr defaultColWidth="9.1328125" defaultRowHeight="14.25"/>
  <cols>
    <col min="1" max="1" width="22.46484375" style="1" customWidth="1"/>
    <col min="2" max="2" width="75.19921875" style="1" bestFit="1" customWidth="1"/>
    <col min="3" max="3" width="11.1328125" style="1" customWidth="1"/>
    <col min="4" max="4" width="13.46484375" style="1" bestFit="1" customWidth="1"/>
    <col min="5" max="35" width="9.1328125" style="1"/>
    <col min="36" max="36" width="3.46484375" style="1" customWidth="1"/>
    <col min="37" max="37" width="12.46484375" style="1" bestFit="1" customWidth="1"/>
    <col min="38" max="38" width="21.19921875" style="1" bestFit="1" customWidth="1"/>
    <col min="39" max="39" width="117.46484375" style="1" bestFit="1" customWidth="1"/>
    <col min="40" max="41" width="9.1328125" style="1"/>
    <col min="42" max="42" width="12.19921875" style="1" bestFit="1" customWidth="1"/>
    <col min="43" max="43" width="10.19921875" style="1" bestFit="1" customWidth="1"/>
    <col min="44" max="16384" width="9.1328125" style="1"/>
  </cols>
  <sheetData>
    <row r="1" spans="1:48" ht="23.25">
      <c r="A1" s="17" t="s">
        <v>90</v>
      </c>
      <c r="B1" s="18"/>
    </row>
    <row r="2" spans="1:48">
      <c r="A2" s="2" t="s">
        <v>179</v>
      </c>
      <c r="B2" s="2"/>
      <c r="C2" s="2"/>
      <c r="D2" s="3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2"/>
      <c r="Q2" s="2"/>
      <c r="R2" s="2"/>
      <c r="S2" s="2"/>
      <c r="U2" s="2"/>
      <c r="V2" s="2"/>
      <c r="W2" s="2"/>
      <c r="Y2" s="2"/>
      <c r="Z2" s="2"/>
    </row>
    <row r="3" spans="1:48">
      <c r="A3" s="2"/>
      <c r="B3" s="2"/>
      <c r="C3" s="2"/>
      <c r="D3" s="5" t="s">
        <v>76</v>
      </c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2"/>
      <c r="Q3" s="2"/>
      <c r="R3" s="2"/>
      <c r="S3" s="2"/>
      <c r="U3" s="2"/>
      <c r="V3" s="2"/>
      <c r="W3" s="2"/>
      <c r="Y3" s="2"/>
      <c r="Z3" s="2"/>
      <c r="AK3" s="5" t="s">
        <v>39</v>
      </c>
      <c r="AL3" s="11"/>
      <c r="AM3" s="12"/>
      <c r="AN3" s="12"/>
      <c r="AO3" s="12"/>
      <c r="AP3" s="12"/>
      <c r="AQ3" s="12"/>
      <c r="AR3" s="12"/>
    </row>
    <row r="4" spans="1:48" ht="39.4">
      <c r="A4" s="6" t="s">
        <v>19</v>
      </c>
      <c r="B4" s="7" t="s">
        <v>20</v>
      </c>
      <c r="C4" s="6" t="s">
        <v>21</v>
      </c>
      <c r="D4" s="6" t="s">
        <v>22</v>
      </c>
      <c r="E4" s="8" t="s">
        <v>78</v>
      </c>
      <c r="F4" s="8" t="s">
        <v>79</v>
      </c>
      <c r="G4" s="8" t="s">
        <v>80</v>
      </c>
      <c r="H4" s="8" t="s">
        <v>81</v>
      </c>
      <c r="I4" s="8" t="s">
        <v>82</v>
      </c>
      <c r="J4" s="9" t="s">
        <v>33</v>
      </c>
      <c r="K4" s="9" t="s">
        <v>23</v>
      </c>
      <c r="L4" s="9" t="s">
        <v>24</v>
      </c>
      <c r="M4" s="9" t="s">
        <v>25</v>
      </c>
      <c r="N4" s="9" t="s">
        <v>68</v>
      </c>
      <c r="O4" s="9" t="s">
        <v>69</v>
      </c>
      <c r="P4" s="9" t="s">
        <v>26</v>
      </c>
      <c r="Q4" s="9" t="s">
        <v>27</v>
      </c>
      <c r="R4" s="9" t="s">
        <v>28</v>
      </c>
      <c r="S4" s="9" t="s">
        <v>70</v>
      </c>
      <c r="T4" s="9" t="s">
        <v>71</v>
      </c>
      <c r="U4" s="9" t="s">
        <v>29</v>
      </c>
      <c r="V4" s="9" t="s">
        <v>30</v>
      </c>
      <c r="W4" s="9" t="s">
        <v>31</v>
      </c>
      <c r="X4" s="9" t="s">
        <v>72</v>
      </c>
      <c r="Y4" s="9" t="s">
        <v>73</v>
      </c>
      <c r="Z4" s="9" t="s">
        <v>32</v>
      </c>
      <c r="AA4" s="9" t="s">
        <v>74</v>
      </c>
      <c r="AB4" s="9" t="s">
        <v>75</v>
      </c>
      <c r="AC4" s="9" t="s">
        <v>34</v>
      </c>
      <c r="AD4" s="9" t="s">
        <v>185</v>
      </c>
      <c r="AE4" s="9" t="s">
        <v>186</v>
      </c>
      <c r="AF4" s="9" t="s">
        <v>187</v>
      </c>
      <c r="AG4" s="9" t="s">
        <v>188</v>
      </c>
      <c r="AH4" s="9" t="s">
        <v>189</v>
      </c>
      <c r="AI4" s="9" t="s">
        <v>99</v>
      </c>
      <c r="AK4" s="7" t="s">
        <v>40</v>
      </c>
      <c r="AL4" s="7" t="s">
        <v>19</v>
      </c>
      <c r="AM4" s="7" t="s">
        <v>41</v>
      </c>
      <c r="AN4" s="7" t="s">
        <v>42</v>
      </c>
      <c r="AO4" s="7" t="s">
        <v>43</v>
      </c>
      <c r="AP4" s="7" t="s">
        <v>44</v>
      </c>
      <c r="AQ4" s="7" t="s">
        <v>45</v>
      </c>
      <c r="AR4" s="7" t="s">
        <v>46</v>
      </c>
    </row>
    <row r="5" spans="1:48" ht="38.25" customHeight="1">
      <c r="A5" s="29" t="s">
        <v>35</v>
      </c>
      <c r="B5" s="29" t="s">
        <v>36</v>
      </c>
      <c r="C5" s="29" t="s">
        <v>37</v>
      </c>
      <c r="D5" s="29" t="s">
        <v>38</v>
      </c>
      <c r="E5" s="30" t="s">
        <v>83</v>
      </c>
      <c r="F5" s="30"/>
      <c r="G5" s="30"/>
      <c r="H5" s="30"/>
      <c r="I5" s="30"/>
      <c r="J5" s="31"/>
      <c r="K5" s="19" t="s">
        <v>92</v>
      </c>
      <c r="L5" s="31"/>
      <c r="M5" s="31"/>
      <c r="N5" s="31"/>
      <c r="O5" s="31"/>
      <c r="P5" s="19" t="s">
        <v>93</v>
      </c>
      <c r="Q5" s="31"/>
      <c r="R5" s="31"/>
      <c r="S5" s="31"/>
      <c r="T5" s="31"/>
      <c r="U5" s="46" t="s">
        <v>94</v>
      </c>
      <c r="V5" s="46"/>
      <c r="W5" s="46"/>
      <c r="X5" s="46"/>
      <c r="Y5" s="46"/>
      <c r="Z5" s="116" t="s">
        <v>77</v>
      </c>
      <c r="AA5" s="116"/>
      <c r="AB5" s="116"/>
      <c r="AC5" s="31"/>
      <c r="AD5" s="45" t="s">
        <v>1</v>
      </c>
      <c r="AE5" s="45"/>
      <c r="AF5" s="45"/>
      <c r="AG5" s="45"/>
      <c r="AH5" s="45"/>
      <c r="AI5" s="31"/>
      <c r="AK5" s="13" t="s">
        <v>47</v>
      </c>
      <c r="AL5" s="13" t="s">
        <v>48</v>
      </c>
      <c r="AM5" s="13" t="s">
        <v>36</v>
      </c>
      <c r="AN5" s="13" t="s">
        <v>49</v>
      </c>
      <c r="AO5" s="13" t="s">
        <v>50</v>
      </c>
      <c r="AP5" s="13" t="s">
        <v>89</v>
      </c>
      <c r="AQ5" s="13" t="s">
        <v>51</v>
      </c>
      <c r="AR5" s="13" t="s">
        <v>52</v>
      </c>
    </row>
    <row r="6" spans="1:48">
      <c r="A6" s="32" t="s">
        <v>171</v>
      </c>
      <c r="B6" s="33" t="str">
        <f t="shared" ref="B6:B28" si="0">"New Power Plant - "&amp;AV6</f>
        <v>New Power Plant - Offshore wind</v>
      </c>
      <c r="C6" s="33" t="s">
        <v>95</v>
      </c>
      <c r="D6" s="32" t="s">
        <v>85</v>
      </c>
      <c r="E6" s="34">
        <v>1</v>
      </c>
      <c r="F6" s="34"/>
      <c r="G6" s="34"/>
      <c r="H6" s="34"/>
      <c r="I6" s="34"/>
      <c r="J6" s="35">
        <v>2018</v>
      </c>
      <c r="K6" s="38">
        <v>3470</v>
      </c>
      <c r="L6" s="38">
        <v>2880</v>
      </c>
      <c r="M6" s="38">
        <v>2580</v>
      </c>
      <c r="N6" s="38">
        <v>2380</v>
      </c>
      <c r="O6" s="35">
        <v>2280</v>
      </c>
      <c r="P6" s="47">
        <v>128.38999999999999</v>
      </c>
      <c r="Q6" s="47">
        <v>92.16</v>
      </c>
      <c r="R6" s="47">
        <v>77.400000000000006</v>
      </c>
      <c r="S6" s="47">
        <v>66.64</v>
      </c>
      <c r="T6" s="47">
        <v>52.44</v>
      </c>
      <c r="U6" s="71">
        <v>0</v>
      </c>
      <c r="V6" s="71">
        <v>0</v>
      </c>
      <c r="W6" s="71">
        <v>0</v>
      </c>
      <c r="X6" s="71">
        <v>0</v>
      </c>
      <c r="Y6" s="71">
        <v>0</v>
      </c>
      <c r="Z6" s="35">
        <v>20</v>
      </c>
      <c r="AA6" s="35">
        <v>25</v>
      </c>
      <c r="AB6" s="35">
        <v>30</v>
      </c>
      <c r="AC6" s="36">
        <v>31.536000000000001</v>
      </c>
      <c r="AD6" s="34">
        <v>0.5</v>
      </c>
      <c r="AE6" s="34">
        <v>0.55000000000000004</v>
      </c>
      <c r="AF6" s="34">
        <v>0.6</v>
      </c>
      <c r="AG6" s="34">
        <v>0.65</v>
      </c>
      <c r="AH6" s="34">
        <v>0.65</v>
      </c>
      <c r="AI6" s="37"/>
      <c r="AK6" s="50" t="s">
        <v>87</v>
      </c>
      <c r="AL6" s="1" t="str">
        <f t="shared" ref="AL6:AL28" si="1">A6</f>
        <v>EPPWin_02_OF</v>
      </c>
      <c r="AM6" s="10" t="str">
        <f t="shared" ref="AM6:AM28" si="2">B6</f>
        <v>New Power Plant - Offshore wind</v>
      </c>
      <c r="AN6" s="1" t="s">
        <v>88</v>
      </c>
      <c r="AO6" s="1" t="s">
        <v>2</v>
      </c>
      <c r="AP6" s="49" t="s">
        <v>100</v>
      </c>
      <c r="AQ6" s="115" t="s">
        <v>85</v>
      </c>
      <c r="AR6" s="23"/>
      <c r="AV6" s="32" t="s">
        <v>91</v>
      </c>
    </row>
    <row r="7" spans="1:48">
      <c r="A7" s="32" t="s">
        <v>135</v>
      </c>
      <c r="B7" s="39" t="str">
        <f t="shared" si="0"/>
        <v>New Power Plant - Commercial solar PV system 0.1-2 MW</v>
      </c>
      <c r="C7" s="39" t="s">
        <v>190</v>
      </c>
      <c r="D7" s="32" t="s">
        <v>86</v>
      </c>
      <c r="E7" s="34">
        <v>0.15</v>
      </c>
      <c r="F7" s="34">
        <v>0.17</v>
      </c>
      <c r="G7" s="34">
        <v>0.2</v>
      </c>
      <c r="H7" s="34">
        <v>0.25</v>
      </c>
      <c r="I7" s="34">
        <v>0.3</v>
      </c>
      <c r="J7" s="35">
        <v>2018</v>
      </c>
      <c r="K7" s="38">
        <v>1100</v>
      </c>
      <c r="L7" s="38">
        <v>900</v>
      </c>
      <c r="M7" s="38">
        <v>810</v>
      </c>
      <c r="N7" s="38">
        <v>760</v>
      </c>
      <c r="O7" s="35">
        <v>720</v>
      </c>
      <c r="P7" s="47">
        <v>27.5</v>
      </c>
      <c r="Q7" s="47">
        <v>22.5</v>
      </c>
      <c r="R7" s="47">
        <v>20.25</v>
      </c>
      <c r="S7" s="47">
        <v>19</v>
      </c>
      <c r="T7" s="47">
        <v>18</v>
      </c>
      <c r="U7" s="71">
        <v>0</v>
      </c>
      <c r="V7" s="71">
        <v>0</v>
      </c>
      <c r="W7" s="71">
        <v>0</v>
      </c>
      <c r="X7" s="71">
        <v>0</v>
      </c>
      <c r="Y7" s="71">
        <v>0</v>
      </c>
      <c r="Z7" s="35">
        <v>25</v>
      </c>
      <c r="AA7" s="35"/>
      <c r="AB7" s="35"/>
      <c r="AC7" s="36">
        <v>31.536000000000001</v>
      </c>
      <c r="AD7" s="34">
        <v>0.17</v>
      </c>
      <c r="AE7" s="34">
        <v>0.17</v>
      </c>
      <c r="AF7" s="34">
        <v>0.17</v>
      </c>
      <c r="AG7" s="34">
        <v>0.17</v>
      </c>
      <c r="AH7" s="34">
        <v>0.17</v>
      </c>
      <c r="AI7" s="37"/>
      <c r="AK7" s="50" t="s">
        <v>87</v>
      </c>
      <c r="AL7" s="1" t="str">
        <f t="shared" si="1"/>
        <v>EPPSol_01_PV</v>
      </c>
      <c r="AM7" s="10" t="str">
        <f t="shared" si="2"/>
        <v>New Power Plant - Commercial solar PV system 0.1-2 MW</v>
      </c>
      <c r="AN7" s="1" t="s">
        <v>88</v>
      </c>
      <c r="AO7" s="1" t="s">
        <v>2</v>
      </c>
      <c r="AP7" s="49" t="s">
        <v>100</v>
      </c>
      <c r="AQ7" s="115" t="s">
        <v>86</v>
      </c>
      <c r="AR7" s="23"/>
      <c r="AV7" s="32" t="s">
        <v>3</v>
      </c>
    </row>
    <row r="8" spans="1:48">
      <c r="A8" s="32" t="s">
        <v>136</v>
      </c>
      <c r="B8" s="39" t="str">
        <f t="shared" si="0"/>
        <v>New Power Plant - Commercial solar PV &gt;2 MW without tracking</v>
      </c>
      <c r="C8" s="39" t="s">
        <v>190</v>
      </c>
      <c r="D8" s="32" t="s">
        <v>85</v>
      </c>
      <c r="E8" s="34">
        <v>0.15</v>
      </c>
      <c r="F8" s="34">
        <v>0.17</v>
      </c>
      <c r="G8" s="34">
        <v>0.2</v>
      </c>
      <c r="H8" s="34">
        <v>0.25</v>
      </c>
      <c r="I8" s="34">
        <v>0.3</v>
      </c>
      <c r="J8" s="35">
        <v>2018</v>
      </c>
      <c r="K8" s="38">
        <v>980</v>
      </c>
      <c r="L8" s="38">
        <v>800</v>
      </c>
      <c r="M8" s="38">
        <v>640</v>
      </c>
      <c r="N8" s="38">
        <v>580</v>
      </c>
      <c r="O8" s="35">
        <v>520</v>
      </c>
      <c r="P8" s="47">
        <v>16.66</v>
      </c>
      <c r="Q8" s="47">
        <v>13.6</v>
      </c>
      <c r="R8" s="47">
        <v>10.88</v>
      </c>
      <c r="S8" s="47">
        <v>9.86</v>
      </c>
      <c r="T8" s="47">
        <v>8.84</v>
      </c>
      <c r="U8" s="71">
        <v>0</v>
      </c>
      <c r="V8" s="71">
        <v>0</v>
      </c>
      <c r="W8" s="71">
        <v>0</v>
      </c>
      <c r="X8" s="71">
        <v>0</v>
      </c>
      <c r="Y8" s="71">
        <v>0</v>
      </c>
      <c r="Z8" s="35">
        <v>25</v>
      </c>
      <c r="AA8" s="35"/>
      <c r="AB8" s="35"/>
      <c r="AC8" s="36">
        <v>31.536000000000001</v>
      </c>
      <c r="AD8" s="34">
        <v>0.17</v>
      </c>
      <c r="AE8" s="34">
        <v>0.17</v>
      </c>
      <c r="AF8" s="34">
        <v>0.17</v>
      </c>
      <c r="AG8" s="34">
        <v>0.17</v>
      </c>
      <c r="AH8" s="34">
        <v>0.17</v>
      </c>
      <c r="AI8" s="37"/>
      <c r="AK8" s="50" t="s">
        <v>87</v>
      </c>
      <c r="AL8" s="1" t="str">
        <f t="shared" si="1"/>
        <v>EPPSol_02_PV</v>
      </c>
      <c r="AM8" s="10" t="str">
        <f t="shared" si="2"/>
        <v>New Power Plant - Commercial solar PV &gt;2 MW without tracking</v>
      </c>
      <c r="AN8" s="1" t="s">
        <v>88</v>
      </c>
      <c r="AO8" s="1" t="s">
        <v>2</v>
      </c>
      <c r="AP8" s="49" t="s">
        <v>100</v>
      </c>
      <c r="AQ8" s="115" t="s">
        <v>85</v>
      </c>
      <c r="AR8" s="23"/>
      <c r="AV8" s="32" t="s">
        <v>4</v>
      </c>
    </row>
    <row r="9" spans="1:48">
      <c r="A9" s="32" t="s">
        <v>137</v>
      </c>
      <c r="B9" s="39" t="str">
        <f t="shared" si="0"/>
        <v>New Power Plant - Commercial solar PV &gt;2 MW with tracking</v>
      </c>
      <c r="C9" s="39" t="s">
        <v>190</v>
      </c>
      <c r="D9" s="32" t="s">
        <v>85</v>
      </c>
      <c r="E9" s="34">
        <v>0.15</v>
      </c>
      <c r="F9" s="34">
        <v>0.17</v>
      </c>
      <c r="G9" s="34">
        <v>0.2</v>
      </c>
      <c r="H9" s="34">
        <v>0.25</v>
      </c>
      <c r="I9" s="34">
        <v>0.3</v>
      </c>
      <c r="J9" s="35">
        <v>2018</v>
      </c>
      <c r="K9" s="38">
        <v>1450</v>
      </c>
      <c r="L9" s="38">
        <v>1100</v>
      </c>
      <c r="M9" s="38">
        <v>890</v>
      </c>
      <c r="N9" s="38">
        <v>790</v>
      </c>
      <c r="O9" s="35">
        <v>710</v>
      </c>
      <c r="P9" s="47">
        <v>21.75</v>
      </c>
      <c r="Q9" s="47">
        <v>16.5</v>
      </c>
      <c r="R9" s="47">
        <v>13.35</v>
      </c>
      <c r="S9" s="47">
        <v>11.85</v>
      </c>
      <c r="T9" s="47">
        <v>10.65</v>
      </c>
      <c r="U9" s="71">
        <v>0</v>
      </c>
      <c r="V9" s="71">
        <v>0</v>
      </c>
      <c r="W9" s="71">
        <v>0</v>
      </c>
      <c r="X9" s="71">
        <v>0</v>
      </c>
      <c r="Y9" s="71">
        <v>0</v>
      </c>
      <c r="Z9" s="35">
        <v>25</v>
      </c>
      <c r="AA9" s="35"/>
      <c r="AB9" s="35"/>
      <c r="AC9" s="36">
        <v>31.536000000000001</v>
      </c>
      <c r="AD9" s="34">
        <v>0.21</v>
      </c>
      <c r="AE9" s="34">
        <v>0.21</v>
      </c>
      <c r="AF9" s="34">
        <v>0.21</v>
      </c>
      <c r="AG9" s="34">
        <v>0.21</v>
      </c>
      <c r="AH9" s="34">
        <v>0.21</v>
      </c>
      <c r="AI9" s="37"/>
      <c r="AK9" s="50" t="s">
        <v>87</v>
      </c>
      <c r="AL9" s="1" t="str">
        <f t="shared" si="1"/>
        <v>EPPSol_03_PV</v>
      </c>
      <c r="AM9" s="10" t="str">
        <f t="shared" si="2"/>
        <v>New Power Plant - Commercial solar PV &gt;2 MW with tracking</v>
      </c>
      <c r="AN9" s="1" t="s">
        <v>88</v>
      </c>
      <c r="AO9" s="1" t="s">
        <v>2</v>
      </c>
      <c r="AP9" s="49" t="s">
        <v>100</v>
      </c>
      <c r="AQ9" s="115" t="s">
        <v>85</v>
      </c>
      <c r="AR9" s="23"/>
      <c r="AV9" s="32" t="s">
        <v>5</v>
      </c>
    </row>
    <row r="10" spans="1:48">
      <c r="A10" s="32" t="s">
        <v>138</v>
      </c>
      <c r="B10" s="39" t="str">
        <f t="shared" si="0"/>
        <v>New Power Plant - Solar thermal electricity power plants without thermal storage (power/heat=0.38)</v>
      </c>
      <c r="C10" s="39" t="s">
        <v>190</v>
      </c>
      <c r="D10" s="32" t="s">
        <v>85</v>
      </c>
      <c r="E10" s="34">
        <v>0.36</v>
      </c>
      <c r="F10" s="34"/>
      <c r="G10" s="34"/>
      <c r="H10" s="34"/>
      <c r="I10" s="34"/>
      <c r="J10" s="35">
        <v>2018</v>
      </c>
      <c r="K10" s="38">
        <v>5600</v>
      </c>
      <c r="L10" s="38">
        <v>4500</v>
      </c>
      <c r="M10" s="38">
        <v>3800</v>
      </c>
      <c r="N10" s="38">
        <v>3500</v>
      </c>
      <c r="O10" s="35">
        <v>3400</v>
      </c>
      <c r="P10" s="47">
        <v>224</v>
      </c>
      <c r="Q10" s="47">
        <v>180</v>
      </c>
      <c r="R10" s="47">
        <v>152</v>
      </c>
      <c r="S10" s="47">
        <v>140</v>
      </c>
      <c r="T10" s="47">
        <v>136</v>
      </c>
      <c r="U10" s="71">
        <v>0.44800000000000001</v>
      </c>
      <c r="V10" s="71">
        <v>0.36</v>
      </c>
      <c r="W10" s="71">
        <v>0.30399999999999999</v>
      </c>
      <c r="X10" s="71">
        <v>0.28000000000000003</v>
      </c>
      <c r="Y10" s="71">
        <v>0.27200000000000002</v>
      </c>
      <c r="Z10" s="35">
        <v>30</v>
      </c>
      <c r="AA10" s="35"/>
      <c r="AB10" s="35"/>
      <c r="AC10" s="36">
        <v>31.536000000000001</v>
      </c>
      <c r="AD10" s="34">
        <v>0.42</v>
      </c>
      <c r="AE10" s="34">
        <v>0.42</v>
      </c>
      <c r="AF10" s="34">
        <v>0.42</v>
      </c>
      <c r="AG10" s="34">
        <v>0.42</v>
      </c>
      <c r="AH10" s="34">
        <v>0.42</v>
      </c>
      <c r="AI10" s="37"/>
      <c r="AK10" s="50" t="s">
        <v>87</v>
      </c>
      <c r="AL10" s="1" t="str">
        <f t="shared" si="1"/>
        <v>EPPSol_05_CSP</v>
      </c>
      <c r="AM10" s="10" t="str">
        <f t="shared" si="2"/>
        <v>New Power Plant - Solar thermal electricity power plants without thermal storage (power/heat=0.38)</v>
      </c>
      <c r="AN10" s="1" t="s">
        <v>88</v>
      </c>
      <c r="AO10" s="1" t="s">
        <v>2</v>
      </c>
      <c r="AP10" s="49" t="s">
        <v>100</v>
      </c>
      <c r="AQ10" s="115" t="s">
        <v>85</v>
      </c>
      <c r="AR10" s="23"/>
      <c r="AV10" s="32" t="s">
        <v>84</v>
      </c>
    </row>
    <row r="11" spans="1:48">
      <c r="A11" s="32" t="s">
        <v>139</v>
      </c>
      <c r="B11" s="40" t="str">
        <f t="shared" si="0"/>
        <v>New Power Plant - Hydropower dam and reservoir, &gt;100 MW</v>
      </c>
      <c r="C11" s="40" t="s">
        <v>96</v>
      </c>
      <c r="D11" s="32" t="s">
        <v>85</v>
      </c>
      <c r="E11" s="34">
        <v>1</v>
      </c>
      <c r="F11" s="34"/>
      <c r="G11" s="34"/>
      <c r="H11" s="34"/>
      <c r="I11" s="34"/>
      <c r="J11" s="35">
        <v>2018</v>
      </c>
      <c r="K11" s="38">
        <v>2200</v>
      </c>
      <c r="L11" s="38">
        <v>2200</v>
      </c>
      <c r="M11" s="38">
        <v>2200</v>
      </c>
      <c r="N11" s="38">
        <v>2200</v>
      </c>
      <c r="O11" s="35">
        <v>2200</v>
      </c>
      <c r="P11" s="47">
        <v>22</v>
      </c>
      <c r="Q11" s="47">
        <v>22</v>
      </c>
      <c r="R11" s="47">
        <v>22</v>
      </c>
      <c r="S11" s="47">
        <v>22</v>
      </c>
      <c r="T11" s="47">
        <v>22</v>
      </c>
      <c r="U11" s="71">
        <v>6.6000000000000003E-2</v>
      </c>
      <c r="V11" s="71">
        <v>6.6000000000000003E-2</v>
      </c>
      <c r="W11" s="71">
        <v>6.6000000000000003E-2</v>
      </c>
      <c r="X11" s="71">
        <v>6.6000000000000003E-2</v>
      </c>
      <c r="Y11" s="71">
        <v>6.6000000000000003E-2</v>
      </c>
      <c r="Z11" s="35">
        <v>60</v>
      </c>
      <c r="AA11" s="35"/>
      <c r="AB11" s="35"/>
      <c r="AC11" s="36">
        <v>31.536000000000001</v>
      </c>
      <c r="AD11" s="34">
        <v>0.35</v>
      </c>
      <c r="AE11" s="34">
        <v>0.35</v>
      </c>
      <c r="AF11" s="34">
        <v>0.35</v>
      </c>
      <c r="AG11" s="34">
        <v>0.35</v>
      </c>
      <c r="AH11" s="34">
        <v>0.35</v>
      </c>
      <c r="AI11" s="37"/>
      <c r="AK11" s="50" t="s">
        <v>87</v>
      </c>
      <c r="AL11" s="1" t="str">
        <f t="shared" si="1"/>
        <v>EPPHyd_01_DAM</v>
      </c>
      <c r="AM11" s="10" t="str">
        <f t="shared" si="2"/>
        <v>New Power Plant - Hydropower dam and reservoir, &gt;100 MW</v>
      </c>
      <c r="AN11" s="1" t="s">
        <v>88</v>
      </c>
      <c r="AO11" s="1" t="s">
        <v>2</v>
      </c>
      <c r="AP11" s="49" t="s">
        <v>100</v>
      </c>
      <c r="AQ11" s="115" t="s">
        <v>85</v>
      </c>
      <c r="AR11" s="23"/>
      <c r="AV11" s="32" t="s">
        <v>6</v>
      </c>
    </row>
    <row r="12" spans="1:48">
      <c r="A12" s="32" t="s">
        <v>140</v>
      </c>
      <c r="B12" s="40" t="str">
        <f t="shared" si="0"/>
        <v>New Power Plant - Hydropower dam and reservoir, 10-100 MW</v>
      </c>
      <c r="C12" s="40" t="s">
        <v>96</v>
      </c>
      <c r="D12" s="32" t="s">
        <v>85</v>
      </c>
      <c r="E12" s="34">
        <v>1</v>
      </c>
      <c r="F12" s="34"/>
      <c r="G12" s="34"/>
      <c r="H12" s="34"/>
      <c r="I12" s="34"/>
      <c r="J12" s="35">
        <v>2018</v>
      </c>
      <c r="K12" s="38">
        <v>3300</v>
      </c>
      <c r="L12" s="38">
        <v>3360</v>
      </c>
      <c r="M12" s="38">
        <v>3370</v>
      </c>
      <c r="N12" s="38">
        <v>3370</v>
      </c>
      <c r="O12" s="35">
        <v>3370</v>
      </c>
      <c r="P12" s="47">
        <v>49.5</v>
      </c>
      <c r="Q12" s="47">
        <v>50.4</v>
      </c>
      <c r="R12" s="47">
        <v>50.55</v>
      </c>
      <c r="S12" s="47">
        <v>50.55</v>
      </c>
      <c r="T12" s="47">
        <v>50.55</v>
      </c>
      <c r="U12" s="71">
        <v>0.16500000000000001</v>
      </c>
      <c r="V12" s="71">
        <v>0.16800000000000001</v>
      </c>
      <c r="W12" s="71">
        <v>0.16850000000000001</v>
      </c>
      <c r="X12" s="71">
        <v>0.16850000000000001</v>
      </c>
      <c r="Y12" s="71">
        <v>0.16850000000000001</v>
      </c>
      <c r="Z12" s="35">
        <v>60</v>
      </c>
      <c r="AA12" s="35"/>
      <c r="AB12" s="35"/>
      <c r="AC12" s="36">
        <v>31.536000000000001</v>
      </c>
      <c r="AD12" s="34">
        <v>0.4</v>
      </c>
      <c r="AE12" s="34">
        <v>0.4</v>
      </c>
      <c r="AF12" s="34">
        <v>0.4</v>
      </c>
      <c r="AG12" s="34">
        <v>0.4</v>
      </c>
      <c r="AH12" s="34">
        <v>0.4</v>
      </c>
      <c r="AI12" s="37"/>
      <c r="AK12" s="50" t="s">
        <v>87</v>
      </c>
      <c r="AL12" s="1" t="str">
        <f t="shared" si="1"/>
        <v>EPPHyd_02_DAM</v>
      </c>
      <c r="AM12" s="10" t="str">
        <f t="shared" si="2"/>
        <v>New Power Plant - Hydropower dam and reservoir, 10-100 MW</v>
      </c>
      <c r="AN12" s="1" t="s">
        <v>88</v>
      </c>
      <c r="AO12" s="1" t="s">
        <v>2</v>
      </c>
      <c r="AP12" s="49" t="s">
        <v>100</v>
      </c>
      <c r="AQ12" s="115" t="s">
        <v>85</v>
      </c>
      <c r="AR12" s="23"/>
      <c r="AV12" s="32" t="s">
        <v>7</v>
      </c>
    </row>
    <row r="13" spans="1:48">
      <c r="A13" s="32" t="s">
        <v>141</v>
      </c>
      <c r="B13" s="40" t="str">
        <f t="shared" si="0"/>
        <v>New Power Plant - Hydropower dam and reservoir, &lt;10 MW</v>
      </c>
      <c r="C13" s="40" t="s">
        <v>96</v>
      </c>
      <c r="D13" s="32" t="s">
        <v>85</v>
      </c>
      <c r="E13" s="34">
        <v>1</v>
      </c>
      <c r="F13" s="34"/>
      <c r="G13" s="34"/>
      <c r="H13" s="34"/>
      <c r="I13" s="34"/>
      <c r="J13" s="35">
        <v>2018</v>
      </c>
      <c r="K13" s="35">
        <v>4400</v>
      </c>
      <c r="L13" s="35">
        <v>4480</v>
      </c>
      <c r="M13" s="35">
        <v>4500</v>
      </c>
      <c r="N13" s="35">
        <v>4500</v>
      </c>
      <c r="O13" s="35">
        <v>4500</v>
      </c>
      <c r="P13" s="47">
        <v>66</v>
      </c>
      <c r="Q13" s="47">
        <v>67.2</v>
      </c>
      <c r="R13" s="47">
        <v>67.5</v>
      </c>
      <c r="S13" s="47">
        <v>67.5</v>
      </c>
      <c r="T13" s="47">
        <v>67.5</v>
      </c>
      <c r="U13" s="71">
        <v>0.22</v>
      </c>
      <c r="V13" s="71">
        <v>0.224</v>
      </c>
      <c r="W13" s="71">
        <v>0.22500000000000001</v>
      </c>
      <c r="X13" s="71">
        <v>0.22500000000000001</v>
      </c>
      <c r="Y13" s="71">
        <v>0.22500000000000001</v>
      </c>
      <c r="Z13" s="35">
        <v>60</v>
      </c>
      <c r="AA13" s="35"/>
      <c r="AB13" s="35"/>
      <c r="AC13" s="36">
        <v>31.536000000000001</v>
      </c>
      <c r="AD13" s="34">
        <v>0.37</v>
      </c>
      <c r="AE13" s="34">
        <v>0.37</v>
      </c>
      <c r="AF13" s="34">
        <v>0.37</v>
      </c>
      <c r="AG13" s="34">
        <v>0.37</v>
      </c>
      <c r="AH13" s="34">
        <v>0.37</v>
      </c>
      <c r="AI13" s="37"/>
      <c r="AK13" s="50" t="s">
        <v>87</v>
      </c>
      <c r="AL13" s="1" t="str">
        <f t="shared" si="1"/>
        <v>EPPHyd_03_DAM</v>
      </c>
      <c r="AM13" s="10" t="str">
        <f t="shared" si="2"/>
        <v>New Power Plant - Hydropower dam and reservoir, &lt;10 MW</v>
      </c>
      <c r="AN13" s="1" t="s">
        <v>88</v>
      </c>
      <c r="AO13" s="1" t="s">
        <v>2</v>
      </c>
      <c r="AP13" s="49" t="s">
        <v>100</v>
      </c>
      <c r="AQ13" s="115" t="s">
        <v>85</v>
      </c>
      <c r="AR13" s="23"/>
      <c r="AV13" s="32" t="s">
        <v>8</v>
      </c>
    </row>
    <row r="14" spans="1:48">
      <c r="A14" s="32" t="s">
        <v>142</v>
      </c>
      <c r="B14" s="40" t="str">
        <f t="shared" si="0"/>
        <v>New Power Plant - Hydropower run-of-a-river</v>
      </c>
      <c r="C14" s="40" t="s">
        <v>96</v>
      </c>
      <c r="D14" s="32" t="s">
        <v>86</v>
      </c>
      <c r="E14" s="34">
        <v>1</v>
      </c>
      <c r="F14" s="34"/>
      <c r="G14" s="34"/>
      <c r="H14" s="34"/>
      <c r="I14" s="34"/>
      <c r="J14" s="35">
        <v>2018</v>
      </c>
      <c r="K14" s="35">
        <v>5500</v>
      </c>
      <c r="L14" s="35">
        <v>5600</v>
      </c>
      <c r="M14" s="35">
        <v>5620</v>
      </c>
      <c r="N14" s="35">
        <v>5620</v>
      </c>
      <c r="O14" s="35">
        <v>5620</v>
      </c>
      <c r="P14" s="47">
        <v>82.5</v>
      </c>
      <c r="Q14" s="47">
        <v>84</v>
      </c>
      <c r="R14" s="47">
        <v>84.3</v>
      </c>
      <c r="S14" s="47">
        <v>84.3</v>
      </c>
      <c r="T14" s="47">
        <v>84.3</v>
      </c>
      <c r="U14" s="71">
        <v>0.27500000000000002</v>
      </c>
      <c r="V14" s="71">
        <v>0.28000000000000003</v>
      </c>
      <c r="W14" s="71">
        <v>0.28100000000000003</v>
      </c>
      <c r="X14" s="71">
        <v>0.28100000000000003</v>
      </c>
      <c r="Y14" s="71">
        <v>0.28100000000000003</v>
      </c>
      <c r="Z14" s="35">
        <v>60</v>
      </c>
      <c r="AA14" s="35"/>
      <c r="AB14" s="35"/>
      <c r="AC14" s="36">
        <v>31.536000000000001</v>
      </c>
      <c r="AD14" s="34">
        <v>0.37</v>
      </c>
      <c r="AE14" s="34">
        <v>0.37</v>
      </c>
      <c r="AF14" s="34">
        <v>0.37</v>
      </c>
      <c r="AG14" s="34">
        <v>0.37</v>
      </c>
      <c r="AH14" s="34">
        <v>0.37</v>
      </c>
      <c r="AI14" s="37"/>
      <c r="AK14" s="50" t="s">
        <v>87</v>
      </c>
      <c r="AL14" s="1" t="str">
        <f t="shared" si="1"/>
        <v>EPPHyd_04_ROR</v>
      </c>
      <c r="AM14" s="10" t="str">
        <f t="shared" si="2"/>
        <v>New Power Plant - Hydropower run-of-a-river</v>
      </c>
      <c r="AN14" s="1" t="s">
        <v>88</v>
      </c>
      <c r="AO14" s="1" t="s">
        <v>2</v>
      </c>
      <c r="AP14" s="49" t="s">
        <v>100</v>
      </c>
      <c r="AQ14" s="115" t="s">
        <v>86</v>
      </c>
      <c r="AR14" s="23"/>
      <c r="AV14" s="32" t="s">
        <v>9</v>
      </c>
    </row>
    <row r="15" spans="1:48">
      <c r="A15" s="32" t="s">
        <v>143</v>
      </c>
      <c r="B15" s="33" t="str">
        <f t="shared" si="0"/>
        <v>New Power Plant - Flash power plant extracting fluid from hydrothermal system at 2.5 km depth</v>
      </c>
      <c r="C15" s="33" t="s">
        <v>191</v>
      </c>
      <c r="D15" s="32" t="s">
        <v>85</v>
      </c>
      <c r="E15" s="34">
        <v>0.23</v>
      </c>
      <c r="F15" s="34">
        <v>0.23499999999999999</v>
      </c>
      <c r="G15" s="34">
        <v>0.23899999999999999</v>
      </c>
      <c r="H15" s="34">
        <v>0.24399999999999999</v>
      </c>
      <c r="I15" s="34">
        <v>0.249</v>
      </c>
      <c r="J15" s="35">
        <v>2018</v>
      </c>
      <c r="K15" s="35">
        <v>5530</v>
      </c>
      <c r="L15" s="35">
        <v>4970</v>
      </c>
      <c r="M15" s="35">
        <v>4470</v>
      </c>
      <c r="N15" s="35">
        <v>4020</v>
      </c>
      <c r="O15" s="35">
        <v>3610</v>
      </c>
      <c r="P15" s="47">
        <v>77.419999999999987</v>
      </c>
      <c r="Q15" s="47">
        <v>79.52</v>
      </c>
      <c r="R15" s="47">
        <v>80.459999999999994</v>
      </c>
      <c r="S15" s="47">
        <v>80.400000000000006</v>
      </c>
      <c r="T15" s="47">
        <v>79.420000000000016</v>
      </c>
      <c r="U15" s="71">
        <v>0</v>
      </c>
      <c r="V15" s="71">
        <v>0</v>
      </c>
      <c r="W15" s="71">
        <v>0</v>
      </c>
      <c r="X15" s="71">
        <v>0</v>
      </c>
      <c r="Y15" s="71">
        <v>0</v>
      </c>
      <c r="Z15" s="35">
        <v>30</v>
      </c>
      <c r="AA15" s="35"/>
      <c r="AB15" s="35"/>
      <c r="AC15" s="36">
        <v>31.536000000000001</v>
      </c>
      <c r="AD15" s="34">
        <v>0.95</v>
      </c>
      <c r="AE15" s="34">
        <v>0.95</v>
      </c>
      <c r="AF15" s="34">
        <v>0.95</v>
      </c>
      <c r="AG15" s="34">
        <v>0.95</v>
      </c>
      <c r="AH15" s="34">
        <v>0.95</v>
      </c>
      <c r="AI15" s="37"/>
      <c r="AK15" s="50" t="s">
        <v>87</v>
      </c>
      <c r="AL15" s="1" t="str">
        <f t="shared" si="1"/>
        <v>EPPGeo_01</v>
      </c>
      <c r="AM15" s="10" t="str">
        <f t="shared" si="2"/>
        <v>New Power Plant - Flash power plant extracting fluid from hydrothermal system at 2.5 km depth</v>
      </c>
      <c r="AN15" s="1" t="s">
        <v>88</v>
      </c>
      <c r="AO15" s="1" t="s">
        <v>2</v>
      </c>
      <c r="AP15" s="49" t="s">
        <v>100</v>
      </c>
      <c r="AQ15" s="115" t="s">
        <v>85</v>
      </c>
      <c r="AR15" s="23"/>
      <c r="AV15" s="32" t="s">
        <v>10</v>
      </c>
    </row>
    <row r="16" spans="1:48">
      <c r="A16" s="32" t="s">
        <v>144</v>
      </c>
      <c r="B16" s="33" t="str">
        <f t="shared" si="0"/>
        <v>New Power Plant - Organic Rankine Cycle hydrothermal system.</v>
      </c>
      <c r="C16" s="33" t="s">
        <v>191</v>
      </c>
      <c r="D16" s="32" t="s">
        <v>85</v>
      </c>
      <c r="E16" s="34">
        <v>0.13300000000000001</v>
      </c>
      <c r="F16" s="34">
        <v>0.13800000000000001</v>
      </c>
      <c r="G16" s="34">
        <v>0.14199999999999999</v>
      </c>
      <c r="H16" s="34">
        <v>0.14699999999999999</v>
      </c>
      <c r="I16" s="34">
        <v>0.151</v>
      </c>
      <c r="J16" s="35">
        <v>2018</v>
      </c>
      <c r="K16" s="35">
        <v>6970</v>
      </c>
      <c r="L16" s="35">
        <v>6600</v>
      </c>
      <c r="M16" s="35">
        <v>6240</v>
      </c>
      <c r="N16" s="35">
        <v>5870</v>
      </c>
      <c r="O16" s="35">
        <v>5510</v>
      </c>
      <c r="P16" s="47">
        <v>146.37</v>
      </c>
      <c r="Q16" s="47">
        <v>145.20000000000002</v>
      </c>
      <c r="R16" s="47">
        <v>143.51999999999998</v>
      </c>
      <c r="S16" s="47">
        <v>146.75</v>
      </c>
      <c r="T16" s="47">
        <v>148.77000000000001</v>
      </c>
      <c r="U16" s="71">
        <v>0</v>
      </c>
      <c r="V16" s="71">
        <v>0</v>
      </c>
      <c r="W16" s="71">
        <v>0</v>
      </c>
      <c r="X16" s="71">
        <v>0</v>
      </c>
      <c r="Y16" s="71">
        <v>0</v>
      </c>
      <c r="Z16" s="35">
        <v>30</v>
      </c>
      <c r="AA16" s="35"/>
      <c r="AB16" s="35"/>
      <c r="AC16" s="36">
        <v>31.536000000000001</v>
      </c>
      <c r="AD16" s="34">
        <v>0.95</v>
      </c>
      <c r="AE16" s="34">
        <v>0.95</v>
      </c>
      <c r="AF16" s="34">
        <v>0.95</v>
      </c>
      <c r="AG16" s="34">
        <v>0.95</v>
      </c>
      <c r="AH16" s="34">
        <v>0.95</v>
      </c>
      <c r="AI16" s="37"/>
      <c r="AK16" s="50" t="s">
        <v>87</v>
      </c>
      <c r="AL16" s="1" t="str">
        <f t="shared" si="1"/>
        <v>EPPGeo_02</v>
      </c>
      <c r="AM16" s="10" t="str">
        <f t="shared" si="2"/>
        <v>New Power Plant - Organic Rankine Cycle hydrothermal system.</v>
      </c>
      <c r="AN16" s="1" t="s">
        <v>88</v>
      </c>
      <c r="AO16" s="1" t="s">
        <v>2</v>
      </c>
      <c r="AP16" s="49" t="s">
        <v>100</v>
      </c>
      <c r="AQ16" s="115" t="s">
        <v>85</v>
      </c>
      <c r="AR16" s="23"/>
      <c r="AV16" s="35" t="s">
        <v>11</v>
      </c>
    </row>
    <row r="17" spans="1:48">
      <c r="A17" s="32" t="s">
        <v>145</v>
      </c>
      <c r="B17" s="33" t="str">
        <f t="shared" si="0"/>
        <v>New Power Plant - Organic Rankine Cycle Enhanced Geothermal System at 5.5 km depth</v>
      </c>
      <c r="C17" s="33" t="s">
        <v>191</v>
      </c>
      <c r="D17" s="32" t="s">
        <v>85</v>
      </c>
      <c r="E17" s="34">
        <v>0.106</v>
      </c>
      <c r="F17" s="34">
        <v>0.11199999999999999</v>
      </c>
      <c r="G17" s="34">
        <v>0.11800000000000001</v>
      </c>
      <c r="H17" s="34">
        <v>0.12300000000000001</v>
      </c>
      <c r="I17" s="34">
        <v>0.129</v>
      </c>
      <c r="J17" s="35">
        <v>2018</v>
      </c>
      <c r="K17" s="35">
        <v>12600</v>
      </c>
      <c r="L17" s="35">
        <v>10300</v>
      </c>
      <c r="M17" s="35">
        <v>9000</v>
      </c>
      <c r="N17" s="35">
        <v>8600</v>
      </c>
      <c r="O17" s="35">
        <v>8200</v>
      </c>
      <c r="P17" s="47">
        <v>226.8</v>
      </c>
      <c r="Q17" s="47">
        <v>185.4</v>
      </c>
      <c r="R17" s="47">
        <v>171</v>
      </c>
      <c r="S17" s="47">
        <v>163.4</v>
      </c>
      <c r="T17" s="47">
        <v>155.80000000000001</v>
      </c>
      <c r="U17" s="71">
        <v>0</v>
      </c>
      <c r="V17" s="71">
        <v>0</v>
      </c>
      <c r="W17" s="71">
        <v>0</v>
      </c>
      <c r="X17" s="71">
        <v>0</v>
      </c>
      <c r="Y17" s="71">
        <v>0</v>
      </c>
      <c r="Z17" s="35">
        <v>30</v>
      </c>
      <c r="AA17" s="35"/>
      <c r="AB17" s="35"/>
      <c r="AC17" s="36">
        <v>31.536000000000001</v>
      </c>
      <c r="AD17" s="34">
        <v>0.95</v>
      </c>
      <c r="AE17" s="34">
        <v>0.95</v>
      </c>
      <c r="AF17" s="34">
        <v>0.95</v>
      </c>
      <c r="AG17" s="34">
        <v>0.95</v>
      </c>
      <c r="AH17" s="34">
        <v>0.95</v>
      </c>
      <c r="AI17" s="37"/>
      <c r="AK17" s="50" t="s">
        <v>87</v>
      </c>
      <c r="AL17" s="1" t="str">
        <f t="shared" si="1"/>
        <v>EPPGeo_03</v>
      </c>
      <c r="AM17" s="10" t="str">
        <f t="shared" si="2"/>
        <v>New Power Plant - Organic Rankine Cycle Enhanced Geothermal System at 5.5 km depth</v>
      </c>
      <c r="AN17" s="1" t="s">
        <v>88</v>
      </c>
      <c r="AO17" s="1" t="s">
        <v>2</v>
      </c>
      <c r="AP17" s="49" t="s">
        <v>100</v>
      </c>
      <c r="AQ17" s="115" t="s">
        <v>85</v>
      </c>
      <c r="AR17" s="23"/>
      <c r="AV17" s="35" t="s">
        <v>12</v>
      </c>
    </row>
    <row r="18" spans="1:48">
      <c r="A18" s="32" t="s">
        <v>184</v>
      </c>
      <c r="B18" s="33" t="str">
        <f t="shared" si="0"/>
        <v>New Power Plant - Wave energy</v>
      </c>
      <c r="C18" s="33" t="s">
        <v>192</v>
      </c>
      <c r="D18" s="32" t="s">
        <v>193</v>
      </c>
      <c r="E18" s="34">
        <v>1</v>
      </c>
      <c r="F18" s="34"/>
      <c r="G18" s="34"/>
      <c r="H18" s="34"/>
      <c r="I18" s="34"/>
      <c r="J18" s="35">
        <v>2018</v>
      </c>
      <c r="K18" s="35">
        <v>9080</v>
      </c>
      <c r="L18" s="35">
        <v>5790</v>
      </c>
      <c r="M18" s="35">
        <v>4480</v>
      </c>
      <c r="N18" s="35">
        <v>2650</v>
      </c>
      <c r="O18" s="35">
        <v>2300</v>
      </c>
      <c r="P18" s="47">
        <v>326.88</v>
      </c>
      <c r="Q18" s="47">
        <v>237.38999999999996</v>
      </c>
      <c r="R18" s="47">
        <v>210.56</v>
      </c>
      <c r="S18" s="47">
        <v>153.69999999999999</v>
      </c>
      <c r="T18" s="47">
        <v>133.4</v>
      </c>
      <c r="U18" s="71">
        <v>0</v>
      </c>
      <c r="V18" s="71">
        <v>0</v>
      </c>
      <c r="W18" s="71">
        <v>0</v>
      </c>
      <c r="X18" s="71">
        <v>0</v>
      </c>
      <c r="Y18" s="71">
        <v>0</v>
      </c>
      <c r="Z18" s="35">
        <v>20</v>
      </c>
      <c r="AA18" s="35"/>
      <c r="AB18" s="35"/>
      <c r="AC18" s="36">
        <v>31.536000000000001</v>
      </c>
      <c r="AD18" s="34">
        <v>0.36</v>
      </c>
      <c r="AE18" s="34">
        <v>0.45</v>
      </c>
      <c r="AF18" s="34">
        <v>0.47</v>
      </c>
      <c r="AG18" s="34">
        <v>0.47</v>
      </c>
      <c r="AH18" s="34">
        <v>0.5</v>
      </c>
      <c r="AI18" s="37"/>
      <c r="AK18" s="50" t="s">
        <v>87</v>
      </c>
      <c r="AL18" s="1" t="str">
        <f t="shared" si="1"/>
        <v>EPPOce_01_WAV</v>
      </c>
      <c r="AM18" s="10" t="str">
        <f t="shared" si="2"/>
        <v>New Power Plant - Wave energy</v>
      </c>
      <c r="AN18" s="1" t="s">
        <v>88</v>
      </c>
      <c r="AO18" s="1" t="s">
        <v>2</v>
      </c>
      <c r="AP18" s="49" t="s">
        <v>100</v>
      </c>
      <c r="AQ18" s="115" t="s">
        <v>85</v>
      </c>
      <c r="AR18" s="23"/>
      <c r="AV18" s="35" t="s">
        <v>13</v>
      </c>
    </row>
    <row r="19" spans="1:48">
      <c r="A19" s="32" t="s">
        <v>146</v>
      </c>
      <c r="B19" s="33" t="str">
        <f t="shared" si="0"/>
        <v>New Power Plant - Tidal energy</v>
      </c>
      <c r="C19" s="33" t="s">
        <v>192</v>
      </c>
      <c r="D19" s="32" t="s">
        <v>193</v>
      </c>
      <c r="E19" s="34">
        <v>1</v>
      </c>
      <c r="F19" s="34"/>
      <c r="G19" s="34"/>
      <c r="H19" s="34"/>
      <c r="I19" s="34"/>
      <c r="J19" s="35">
        <v>2018</v>
      </c>
      <c r="K19" s="35">
        <v>10700</v>
      </c>
      <c r="L19" s="35">
        <v>4400</v>
      </c>
      <c r="M19" s="35">
        <v>3100</v>
      </c>
      <c r="N19" s="35">
        <v>2100</v>
      </c>
      <c r="O19" s="35">
        <v>1900</v>
      </c>
      <c r="P19" s="47">
        <v>363.8</v>
      </c>
      <c r="Q19" s="47">
        <v>158.4</v>
      </c>
      <c r="R19" s="47">
        <v>117.8</v>
      </c>
      <c r="S19" s="47">
        <v>90.3</v>
      </c>
      <c r="T19" s="47">
        <v>93.1</v>
      </c>
      <c r="U19" s="71">
        <v>0</v>
      </c>
      <c r="V19" s="71">
        <v>0</v>
      </c>
      <c r="W19" s="71">
        <v>0</v>
      </c>
      <c r="X19" s="71">
        <v>0</v>
      </c>
      <c r="Y19" s="71">
        <v>0</v>
      </c>
      <c r="Z19" s="35">
        <v>20</v>
      </c>
      <c r="AA19" s="35"/>
      <c r="AB19" s="35"/>
      <c r="AC19" s="36">
        <v>31.536000000000001</v>
      </c>
      <c r="AD19" s="34">
        <v>0.36</v>
      </c>
      <c r="AE19" s="34">
        <v>0.45</v>
      </c>
      <c r="AF19" s="34">
        <v>0.47</v>
      </c>
      <c r="AG19" s="34">
        <v>0.47</v>
      </c>
      <c r="AH19" s="34">
        <v>0.5</v>
      </c>
      <c r="AI19" s="37"/>
      <c r="AK19" s="50" t="s">
        <v>87</v>
      </c>
      <c r="AL19" s="1" t="str">
        <f t="shared" si="1"/>
        <v>EPPOce_02_TID</v>
      </c>
      <c r="AM19" s="10" t="str">
        <f t="shared" si="2"/>
        <v>New Power Plant - Tidal energy</v>
      </c>
      <c r="AN19" s="1" t="s">
        <v>88</v>
      </c>
      <c r="AO19" s="1" t="s">
        <v>2</v>
      </c>
      <c r="AP19" s="49" t="s">
        <v>100</v>
      </c>
      <c r="AQ19" s="115" t="s">
        <v>85</v>
      </c>
      <c r="AR19" s="23"/>
      <c r="AV19" s="35" t="s">
        <v>14</v>
      </c>
    </row>
    <row r="20" spans="1:48">
      <c r="A20" s="32" t="s">
        <v>147</v>
      </c>
      <c r="B20" s="40" t="str">
        <f t="shared" si="0"/>
        <v>New Power Plant - Open-Cycle Gas Turbine conventional</v>
      </c>
      <c r="C20" s="40" t="s">
        <v>97</v>
      </c>
      <c r="D20" s="32" t="s">
        <v>85</v>
      </c>
      <c r="E20" s="34">
        <v>0.38</v>
      </c>
      <c r="F20" s="34"/>
      <c r="G20" s="34"/>
      <c r="H20" s="34"/>
      <c r="I20" s="34"/>
      <c r="J20" s="35">
        <v>2018</v>
      </c>
      <c r="K20" s="35">
        <v>770</v>
      </c>
      <c r="L20" s="35"/>
      <c r="M20" s="35"/>
      <c r="N20" s="35"/>
      <c r="O20" s="35"/>
      <c r="P20" s="47">
        <v>7.7</v>
      </c>
      <c r="Q20" s="47"/>
      <c r="R20" s="47"/>
      <c r="S20" s="47"/>
      <c r="T20" s="47"/>
      <c r="U20" s="71">
        <v>0.10009999999999999</v>
      </c>
      <c r="V20" s="71">
        <v>0</v>
      </c>
      <c r="W20" s="71">
        <v>0</v>
      </c>
      <c r="X20" s="71">
        <v>0</v>
      </c>
      <c r="Y20" s="71">
        <v>0</v>
      </c>
      <c r="Z20" s="35">
        <v>30</v>
      </c>
      <c r="AA20" s="35"/>
      <c r="AB20" s="35"/>
      <c r="AC20" s="36">
        <v>31.536000000000001</v>
      </c>
      <c r="AD20" s="34">
        <v>0.95</v>
      </c>
      <c r="AE20" s="34"/>
      <c r="AF20" s="34"/>
      <c r="AG20" s="34"/>
      <c r="AH20" s="34"/>
      <c r="AI20" s="37"/>
      <c r="AK20" s="50" t="s">
        <v>87</v>
      </c>
      <c r="AL20" s="1" t="str">
        <f t="shared" si="1"/>
        <v>EPPGas_01_OCGT</v>
      </c>
      <c r="AM20" s="10" t="str">
        <f t="shared" si="2"/>
        <v>New Power Plant - Open-Cycle Gas Turbine conventional</v>
      </c>
      <c r="AN20" s="1" t="s">
        <v>88</v>
      </c>
      <c r="AO20" s="1" t="s">
        <v>2</v>
      </c>
      <c r="AP20" s="49" t="s">
        <v>100</v>
      </c>
      <c r="AQ20" s="115" t="s">
        <v>85</v>
      </c>
      <c r="AR20" s="23"/>
      <c r="AV20" s="35" t="s">
        <v>15</v>
      </c>
    </row>
    <row r="21" spans="1:48">
      <c r="A21" s="32" t="s">
        <v>148</v>
      </c>
      <c r="B21" s="40" t="str">
        <f t="shared" si="0"/>
        <v>New Power Plant - Open Cycle Gas Turbine advanced</v>
      </c>
      <c r="C21" s="40" t="s">
        <v>97</v>
      </c>
      <c r="D21" s="32" t="s">
        <v>85</v>
      </c>
      <c r="E21" s="34">
        <v>0.4</v>
      </c>
      <c r="F21" s="34">
        <v>0.4</v>
      </c>
      <c r="G21" s="34">
        <v>0.43</v>
      </c>
      <c r="H21" s="34">
        <v>0.44</v>
      </c>
      <c r="I21" s="34">
        <v>0.45</v>
      </c>
      <c r="J21" s="35">
        <v>2018</v>
      </c>
      <c r="K21" s="35">
        <v>550</v>
      </c>
      <c r="L21" s="35">
        <v>550</v>
      </c>
      <c r="M21" s="35">
        <v>550</v>
      </c>
      <c r="N21" s="35">
        <v>550</v>
      </c>
      <c r="O21" s="35">
        <v>550</v>
      </c>
      <c r="P21" s="47">
        <v>16.5</v>
      </c>
      <c r="Q21" s="47">
        <v>16.5</v>
      </c>
      <c r="R21" s="47">
        <v>16.5</v>
      </c>
      <c r="S21" s="47">
        <v>16.5</v>
      </c>
      <c r="T21" s="47">
        <v>16.5</v>
      </c>
      <c r="U21" s="71">
        <v>6.0499999999999998E-2</v>
      </c>
      <c r="V21" s="71">
        <v>6.0499999999999998E-2</v>
      </c>
      <c r="W21" s="71">
        <v>6.0499999999999998E-2</v>
      </c>
      <c r="X21" s="71">
        <v>6.0499999999999998E-2</v>
      </c>
      <c r="Y21" s="71">
        <v>6.0499999999999998E-2</v>
      </c>
      <c r="Z21" s="35">
        <v>30</v>
      </c>
      <c r="AA21" s="35"/>
      <c r="AB21" s="35"/>
      <c r="AC21" s="36">
        <v>31.536000000000001</v>
      </c>
      <c r="AD21" s="34">
        <v>0.95</v>
      </c>
      <c r="AE21" s="34">
        <v>0.95</v>
      </c>
      <c r="AF21" s="34">
        <v>0.95</v>
      </c>
      <c r="AG21" s="34">
        <v>0.95</v>
      </c>
      <c r="AH21" s="34">
        <v>0.95</v>
      </c>
      <c r="AI21" s="37"/>
      <c r="AK21" s="50" t="s">
        <v>87</v>
      </c>
      <c r="AL21" s="1" t="str">
        <f t="shared" si="1"/>
        <v>EPPGas_02_OCGT</v>
      </c>
      <c r="AM21" s="10" t="str">
        <f t="shared" si="2"/>
        <v>New Power Plant - Open Cycle Gas Turbine advanced</v>
      </c>
      <c r="AN21" s="1" t="s">
        <v>88</v>
      </c>
      <c r="AO21" s="1" t="s">
        <v>2</v>
      </c>
      <c r="AP21" s="49" t="s">
        <v>100</v>
      </c>
      <c r="AQ21" s="115" t="s">
        <v>85</v>
      </c>
      <c r="AR21" s="23"/>
      <c r="AV21" s="35" t="s">
        <v>16</v>
      </c>
    </row>
    <row r="22" spans="1:48">
      <c r="A22" s="32" t="s">
        <v>149</v>
      </c>
      <c r="B22" s="40" t="str">
        <f t="shared" si="0"/>
        <v>New Power Plant - Combined Cycle Gas Turbine advanced</v>
      </c>
      <c r="C22" s="40" t="s">
        <v>97</v>
      </c>
      <c r="D22" s="32" t="s">
        <v>85</v>
      </c>
      <c r="E22" s="34">
        <v>0.57999999999999996</v>
      </c>
      <c r="F22" s="34">
        <v>0.6</v>
      </c>
      <c r="G22" s="34">
        <v>0.62</v>
      </c>
      <c r="H22" s="34">
        <v>0.62</v>
      </c>
      <c r="I22" s="34">
        <v>0.63</v>
      </c>
      <c r="J22" s="35">
        <v>2018</v>
      </c>
      <c r="K22" s="35">
        <v>850</v>
      </c>
      <c r="L22" s="35">
        <v>850</v>
      </c>
      <c r="M22" s="35">
        <v>850</v>
      </c>
      <c r="N22" s="35">
        <v>850</v>
      </c>
      <c r="O22" s="35">
        <v>850</v>
      </c>
      <c r="P22" s="47">
        <v>21.25</v>
      </c>
      <c r="Q22" s="47">
        <v>21.25</v>
      </c>
      <c r="R22" s="47">
        <v>21.25</v>
      </c>
      <c r="S22" s="47">
        <v>21.25</v>
      </c>
      <c r="T22" s="47">
        <v>21.25</v>
      </c>
      <c r="U22" s="71">
        <v>1.7000000000000001E-2</v>
      </c>
      <c r="V22" s="71">
        <v>1.7000000000000001E-2</v>
      </c>
      <c r="W22" s="71">
        <v>1.7000000000000001E-2</v>
      </c>
      <c r="X22" s="71">
        <v>1.7000000000000001E-2</v>
      </c>
      <c r="Y22" s="71">
        <v>1.7000000000000001E-2</v>
      </c>
      <c r="Z22" s="35">
        <v>30</v>
      </c>
      <c r="AA22" s="35"/>
      <c r="AB22" s="35"/>
      <c r="AC22" s="36">
        <v>31.536000000000001</v>
      </c>
      <c r="AD22" s="34">
        <v>0.9</v>
      </c>
      <c r="AE22" s="34">
        <v>0.9</v>
      </c>
      <c r="AF22" s="34">
        <v>0.9</v>
      </c>
      <c r="AG22" s="34">
        <v>0.9</v>
      </c>
      <c r="AH22" s="34">
        <v>0.9</v>
      </c>
      <c r="AI22" s="37"/>
      <c r="AK22" s="50" t="s">
        <v>87</v>
      </c>
      <c r="AL22" s="1" t="str">
        <f t="shared" si="1"/>
        <v>EPPGas_03_CCGT</v>
      </c>
      <c r="AM22" s="10" t="str">
        <f t="shared" si="2"/>
        <v>New Power Plant - Combined Cycle Gas Turbine advanced</v>
      </c>
      <c r="AN22" s="1" t="s">
        <v>88</v>
      </c>
      <c r="AO22" s="1" t="s">
        <v>2</v>
      </c>
      <c r="AP22" s="49" t="s">
        <v>100</v>
      </c>
      <c r="AQ22" s="115" t="s">
        <v>85</v>
      </c>
      <c r="AR22" s="23"/>
      <c r="AV22" s="35" t="s">
        <v>132</v>
      </c>
    </row>
    <row r="23" spans="1:48">
      <c r="A23" s="41" t="s">
        <v>150</v>
      </c>
      <c r="B23" s="42" t="str">
        <f t="shared" si="0"/>
        <v>New Power Plant - CCGT advanced CCS post combustion</v>
      </c>
      <c r="C23" s="42" t="s">
        <v>97</v>
      </c>
      <c r="D23" s="41" t="s">
        <v>85</v>
      </c>
      <c r="E23" s="43">
        <v>0.5</v>
      </c>
      <c r="F23" s="43">
        <v>0.52</v>
      </c>
      <c r="G23" s="43">
        <v>0.55000000000000004</v>
      </c>
      <c r="H23" s="43">
        <v>0.55000000000000004</v>
      </c>
      <c r="I23" s="43">
        <v>0.55000000000000004</v>
      </c>
      <c r="J23" s="41">
        <v>2018</v>
      </c>
      <c r="K23" s="41">
        <v>1500</v>
      </c>
      <c r="L23" s="41">
        <v>1500</v>
      </c>
      <c r="M23" s="41">
        <v>1500</v>
      </c>
      <c r="N23" s="41">
        <v>1500</v>
      </c>
      <c r="O23" s="41">
        <v>1500</v>
      </c>
      <c r="P23" s="48">
        <v>37.5</v>
      </c>
      <c r="Q23" s="48">
        <v>37.5</v>
      </c>
      <c r="R23" s="48">
        <v>37.5</v>
      </c>
      <c r="S23" s="48">
        <v>37.5</v>
      </c>
      <c r="T23" s="48">
        <v>37.5</v>
      </c>
      <c r="U23" s="79">
        <v>0.06</v>
      </c>
      <c r="V23" s="79">
        <v>0.06</v>
      </c>
      <c r="W23" s="79">
        <v>0.06</v>
      </c>
      <c r="X23" s="79">
        <v>0.06</v>
      </c>
      <c r="Y23" s="79">
        <v>0.06</v>
      </c>
      <c r="Z23" s="41">
        <v>30</v>
      </c>
      <c r="AA23" s="41"/>
      <c r="AB23" s="41"/>
      <c r="AC23" s="44">
        <v>31.536000000000001</v>
      </c>
      <c r="AD23" s="43">
        <v>0.9</v>
      </c>
      <c r="AE23" s="43">
        <v>0.9</v>
      </c>
      <c r="AF23" s="43">
        <v>0.9</v>
      </c>
      <c r="AG23" s="43">
        <v>0.9</v>
      </c>
      <c r="AH23" s="43">
        <v>0.9</v>
      </c>
      <c r="AI23" s="51"/>
      <c r="AK23" s="50" t="s">
        <v>87</v>
      </c>
      <c r="AL23" s="1" t="str">
        <f t="shared" si="1"/>
        <v>*EPPGas_04_CCS</v>
      </c>
      <c r="AM23" s="10" t="str">
        <f t="shared" si="2"/>
        <v>New Power Plant - CCGT advanced CCS post combustion</v>
      </c>
      <c r="AN23" s="1" t="s">
        <v>88</v>
      </c>
      <c r="AO23" s="1" t="s">
        <v>2</v>
      </c>
      <c r="AP23" s="49" t="s">
        <v>100</v>
      </c>
      <c r="AQ23" s="115" t="s">
        <v>85</v>
      </c>
      <c r="AR23" s="23"/>
      <c r="AV23" s="35" t="s">
        <v>17</v>
      </c>
    </row>
    <row r="24" spans="1:48">
      <c r="A24" s="41" t="s">
        <v>151</v>
      </c>
      <c r="B24" s="42" t="str">
        <f t="shared" si="0"/>
        <v>New Power Plant - Pulverised coal supercritical CCS post-combustion</v>
      </c>
      <c r="C24" s="42" t="s">
        <v>98</v>
      </c>
      <c r="D24" s="41" t="s">
        <v>85</v>
      </c>
      <c r="E24" s="43">
        <v>0.34</v>
      </c>
      <c r="F24" s="43">
        <v>0.35</v>
      </c>
      <c r="G24" s="43">
        <v>0.35</v>
      </c>
      <c r="H24" s="43">
        <v>0.38</v>
      </c>
      <c r="I24" s="43">
        <v>0.38</v>
      </c>
      <c r="J24" s="41">
        <v>2018</v>
      </c>
      <c r="K24" s="41">
        <v>3000</v>
      </c>
      <c r="L24" s="41">
        <v>2700</v>
      </c>
      <c r="M24" s="41">
        <v>2550</v>
      </c>
      <c r="N24" s="41">
        <v>2550</v>
      </c>
      <c r="O24" s="41">
        <v>2550</v>
      </c>
      <c r="P24" s="48">
        <v>75</v>
      </c>
      <c r="Q24" s="48">
        <v>67.5</v>
      </c>
      <c r="R24" s="48">
        <v>63.75</v>
      </c>
      <c r="S24" s="48">
        <v>63.75</v>
      </c>
      <c r="T24" s="48">
        <v>63.75</v>
      </c>
      <c r="U24" s="79">
        <v>0.16500000000000001</v>
      </c>
      <c r="V24" s="79">
        <v>0.14849999999999999</v>
      </c>
      <c r="W24" s="79">
        <v>0.14025000000000001</v>
      </c>
      <c r="X24" s="79">
        <v>0.14025000000000001</v>
      </c>
      <c r="Y24" s="79">
        <v>0.14025000000000001</v>
      </c>
      <c r="Z24" s="41">
        <v>40</v>
      </c>
      <c r="AA24" s="41"/>
      <c r="AB24" s="41"/>
      <c r="AC24" s="44">
        <v>31.536000000000001</v>
      </c>
      <c r="AD24" s="43">
        <v>0.9</v>
      </c>
      <c r="AE24" s="43">
        <v>0.9</v>
      </c>
      <c r="AF24" s="43">
        <v>0.9</v>
      </c>
      <c r="AG24" s="43">
        <v>0.9</v>
      </c>
      <c r="AH24" s="43">
        <v>0.9</v>
      </c>
      <c r="AI24" s="51"/>
      <c r="AK24" s="50" t="s">
        <v>87</v>
      </c>
      <c r="AL24" s="1" t="str">
        <f t="shared" si="1"/>
        <v>*EPPCoa_04_CCS</v>
      </c>
      <c r="AM24" s="10" t="str">
        <f t="shared" si="2"/>
        <v>New Power Plant - Pulverised coal supercritical CCS post-combustion</v>
      </c>
      <c r="AN24" s="1" t="s">
        <v>88</v>
      </c>
      <c r="AO24" s="1" t="s">
        <v>2</v>
      </c>
      <c r="AP24" s="49" t="s">
        <v>100</v>
      </c>
      <c r="AQ24" s="115" t="s">
        <v>85</v>
      </c>
      <c r="AR24" s="23"/>
      <c r="AV24" s="35" t="s">
        <v>18</v>
      </c>
    </row>
    <row r="25" spans="1:48">
      <c r="A25" s="41" t="s">
        <v>152</v>
      </c>
      <c r="B25" s="42" t="str">
        <f t="shared" si="0"/>
        <v>New Power Plant - Fluidised bed peat CCS post combustion</v>
      </c>
      <c r="C25" s="42" t="s">
        <v>104</v>
      </c>
      <c r="D25" s="41" t="s">
        <v>85</v>
      </c>
      <c r="E25" s="43">
        <v>0.31</v>
      </c>
      <c r="F25" s="43">
        <v>0.32</v>
      </c>
      <c r="G25" s="43">
        <v>0.34</v>
      </c>
      <c r="H25" s="43">
        <v>0.34</v>
      </c>
      <c r="I25" s="43">
        <v>0.34</v>
      </c>
      <c r="J25" s="41">
        <v>2018</v>
      </c>
      <c r="K25" s="41">
        <v>3500</v>
      </c>
      <c r="L25" s="41">
        <v>3500</v>
      </c>
      <c r="M25" s="41">
        <v>3500</v>
      </c>
      <c r="N25" s="41">
        <v>3500</v>
      </c>
      <c r="O25" s="41">
        <v>3500</v>
      </c>
      <c r="P25" s="48">
        <v>87.5</v>
      </c>
      <c r="Q25" s="48">
        <v>87.5</v>
      </c>
      <c r="R25" s="48">
        <v>87.5</v>
      </c>
      <c r="S25" s="48">
        <v>87.5</v>
      </c>
      <c r="T25" s="48">
        <v>87.5</v>
      </c>
      <c r="U25" s="79">
        <v>0.35</v>
      </c>
      <c r="V25" s="79">
        <v>0.35</v>
      </c>
      <c r="W25" s="79">
        <v>0.35</v>
      </c>
      <c r="X25" s="79">
        <v>0.35</v>
      </c>
      <c r="Y25" s="79">
        <v>0.35</v>
      </c>
      <c r="Z25" s="41">
        <v>40</v>
      </c>
      <c r="AA25" s="41"/>
      <c r="AB25" s="41"/>
      <c r="AC25" s="44">
        <v>31.536000000000001</v>
      </c>
      <c r="AD25" s="43">
        <v>0.85</v>
      </c>
      <c r="AE25" s="43">
        <v>0.85</v>
      </c>
      <c r="AF25" s="43">
        <v>0.85</v>
      </c>
      <c r="AG25" s="43">
        <v>0.85</v>
      </c>
      <c r="AH25" s="43">
        <v>0.85</v>
      </c>
      <c r="AI25" s="51"/>
      <c r="AK25" s="50" t="s">
        <v>87</v>
      </c>
      <c r="AL25" s="1" t="str">
        <f t="shared" si="1"/>
        <v>*EPPPea_04_CCS</v>
      </c>
      <c r="AM25" s="10" t="str">
        <f t="shared" si="2"/>
        <v>New Power Plant - Fluidised bed peat CCS post combustion</v>
      </c>
      <c r="AN25" s="1" t="s">
        <v>88</v>
      </c>
      <c r="AO25" s="1" t="s">
        <v>2</v>
      </c>
      <c r="AP25" s="49" t="s">
        <v>100</v>
      </c>
      <c r="AQ25" s="115" t="s">
        <v>85</v>
      </c>
      <c r="AR25" s="23"/>
      <c r="AV25" s="35" t="s">
        <v>115</v>
      </c>
    </row>
    <row r="26" spans="1:48">
      <c r="A26" s="41" t="s">
        <v>153</v>
      </c>
      <c r="B26" s="42" t="str">
        <f t="shared" si="0"/>
        <v>New Power Plant - Pulverised coal supercritical CCS oxyfuel</v>
      </c>
      <c r="C26" s="42" t="s">
        <v>98</v>
      </c>
      <c r="D26" s="41" t="s">
        <v>85</v>
      </c>
      <c r="E26" s="43">
        <v>0.36</v>
      </c>
      <c r="F26" s="43">
        <v>0.37</v>
      </c>
      <c r="G26" s="43">
        <v>0.39</v>
      </c>
      <c r="H26" s="43">
        <v>0.4</v>
      </c>
      <c r="I26" s="43">
        <v>0.4</v>
      </c>
      <c r="J26" s="41">
        <v>2018</v>
      </c>
      <c r="K26" s="41">
        <v>3000</v>
      </c>
      <c r="L26" s="41">
        <v>2700</v>
      </c>
      <c r="M26" s="41">
        <v>2550</v>
      </c>
      <c r="N26" s="41">
        <v>2550</v>
      </c>
      <c r="O26" s="41">
        <v>2550</v>
      </c>
      <c r="P26" s="48">
        <v>75</v>
      </c>
      <c r="Q26" s="48">
        <v>67.5</v>
      </c>
      <c r="R26" s="48">
        <v>63.75</v>
      </c>
      <c r="S26" s="48">
        <v>63.75</v>
      </c>
      <c r="T26" s="48">
        <v>63.75</v>
      </c>
      <c r="U26" s="79">
        <v>0.09</v>
      </c>
      <c r="V26" s="79">
        <v>8.1000000000000003E-2</v>
      </c>
      <c r="W26" s="79">
        <v>7.6499999999999999E-2</v>
      </c>
      <c r="X26" s="79">
        <v>7.6499999999999999E-2</v>
      </c>
      <c r="Y26" s="79">
        <v>7.6499999999999999E-2</v>
      </c>
      <c r="Z26" s="41">
        <v>40</v>
      </c>
      <c r="AA26" s="41"/>
      <c r="AB26" s="41"/>
      <c r="AC26" s="44">
        <v>31.536000000000001</v>
      </c>
      <c r="AD26" s="43">
        <v>0.9</v>
      </c>
      <c r="AE26" s="43">
        <v>0.9</v>
      </c>
      <c r="AF26" s="43">
        <v>0.9</v>
      </c>
      <c r="AG26" s="43">
        <v>0.9</v>
      </c>
      <c r="AH26" s="43">
        <v>0.9</v>
      </c>
      <c r="AI26" s="51"/>
      <c r="AK26" s="50" t="s">
        <v>87</v>
      </c>
      <c r="AL26" s="1" t="str">
        <f t="shared" si="1"/>
        <v>*EPPCoa_05_CCS</v>
      </c>
      <c r="AM26" s="10" t="str">
        <f t="shared" si="2"/>
        <v>New Power Plant - Pulverised coal supercritical CCS oxyfuel</v>
      </c>
      <c r="AN26" s="1" t="s">
        <v>88</v>
      </c>
      <c r="AO26" s="1" t="s">
        <v>2</v>
      </c>
      <c r="AP26" s="49" t="s">
        <v>100</v>
      </c>
      <c r="AQ26" s="115" t="s">
        <v>85</v>
      </c>
      <c r="AR26" s="23"/>
      <c r="AV26" s="35" t="s">
        <v>133</v>
      </c>
    </row>
    <row r="27" spans="1:48">
      <c r="A27" s="41" t="s">
        <v>154</v>
      </c>
      <c r="B27" s="42" t="str">
        <f t="shared" si="0"/>
        <v>New Power Plant - IGCC coal CCS pre-combustion</v>
      </c>
      <c r="C27" s="42" t="s">
        <v>98</v>
      </c>
      <c r="D27" s="41" t="s">
        <v>85</v>
      </c>
      <c r="E27" s="43">
        <v>0.35</v>
      </c>
      <c r="F27" s="43">
        <v>0.37</v>
      </c>
      <c r="G27" s="43">
        <v>0.4</v>
      </c>
      <c r="H27" s="43">
        <v>0.41</v>
      </c>
      <c r="I27" s="43">
        <v>0.44</v>
      </c>
      <c r="J27" s="41">
        <v>2018</v>
      </c>
      <c r="K27" s="41">
        <v>3100</v>
      </c>
      <c r="L27" s="41">
        <v>2885</v>
      </c>
      <c r="M27" s="41">
        <v>2825</v>
      </c>
      <c r="N27" s="41">
        <v>2825</v>
      </c>
      <c r="O27" s="41">
        <v>2825</v>
      </c>
      <c r="P27" s="48">
        <v>93</v>
      </c>
      <c r="Q27" s="48">
        <v>86.55</v>
      </c>
      <c r="R27" s="48">
        <v>84.75</v>
      </c>
      <c r="S27" s="48">
        <v>84.75</v>
      </c>
      <c r="T27" s="48">
        <v>84.75</v>
      </c>
      <c r="U27" s="79">
        <v>0.186</v>
      </c>
      <c r="V27" s="79">
        <v>0.1731</v>
      </c>
      <c r="W27" s="79">
        <v>0.16950000000000001</v>
      </c>
      <c r="X27" s="79">
        <v>0.16950000000000001</v>
      </c>
      <c r="Y27" s="79">
        <v>0.16950000000000001</v>
      </c>
      <c r="Z27" s="41">
        <v>35</v>
      </c>
      <c r="AA27" s="41"/>
      <c r="AB27" s="41"/>
      <c r="AC27" s="44">
        <v>31.536000000000001</v>
      </c>
      <c r="AD27" s="43">
        <v>0.9</v>
      </c>
      <c r="AE27" s="43">
        <v>0.9</v>
      </c>
      <c r="AF27" s="43">
        <v>0.9</v>
      </c>
      <c r="AG27" s="43">
        <v>0.9</v>
      </c>
      <c r="AH27" s="43">
        <v>0.9</v>
      </c>
      <c r="AI27" s="51"/>
      <c r="AK27" s="50" t="s">
        <v>87</v>
      </c>
      <c r="AL27" s="1" t="str">
        <f t="shared" si="1"/>
        <v>*EPPCoa_06_CCS</v>
      </c>
      <c r="AM27" s="10" t="str">
        <f t="shared" si="2"/>
        <v>New Power Plant - IGCC coal CCS pre-combustion</v>
      </c>
      <c r="AN27" s="1" t="s">
        <v>88</v>
      </c>
      <c r="AO27" s="1" t="s">
        <v>2</v>
      </c>
      <c r="AP27" s="49" t="s">
        <v>100</v>
      </c>
      <c r="AQ27" s="115" t="s">
        <v>85</v>
      </c>
      <c r="AR27" s="23"/>
      <c r="AV27" s="35" t="s">
        <v>174</v>
      </c>
    </row>
    <row r="28" spans="1:48">
      <c r="A28" s="41" t="s">
        <v>155</v>
      </c>
      <c r="B28" s="42" t="str">
        <f t="shared" si="0"/>
        <v>New Power Plant - IGCC peat CCS pre combustion</v>
      </c>
      <c r="C28" s="42" t="s">
        <v>104</v>
      </c>
      <c r="D28" s="41" t="s">
        <v>85</v>
      </c>
      <c r="E28" s="43">
        <v>0.35</v>
      </c>
      <c r="F28" s="43">
        <v>0.37</v>
      </c>
      <c r="G28" s="43">
        <v>0.4</v>
      </c>
      <c r="H28" s="43">
        <v>0.41</v>
      </c>
      <c r="I28" s="43">
        <v>0.41</v>
      </c>
      <c r="J28" s="41">
        <v>2018</v>
      </c>
      <c r="K28" s="41">
        <v>4500</v>
      </c>
      <c r="L28" s="41">
        <v>4370</v>
      </c>
      <c r="M28" s="41">
        <v>4370</v>
      </c>
      <c r="N28" s="41">
        <v>4370</v>
      </c>
      <c r="O28" s="41">
        <v>4370</v>
      </c>
      <c r="P28" s="48">
        <v>103.5</v>
      </c>
      <c r="Q28" s="48">
        <v>100.51</v>
      </c>
      <c r="R28" s="48">
        <v>100.51</v>
      </c>
      <c r="S28" s="48">
        <v>100.51</v>
      </c>
      <c r="T28" s="48">
        <v>100.51</v>
      </c>
      <c r="U28" s="79">
        <v>0.36</v>
      </c>
      <c r="V28" s="79">
        <v>0.34960000000000002</v>
      </c>
      <c r="W28" s="79">
        <v>0.34960000000000002</v>
      </c>
      <c r="X28" s="79">
        <v>0.34960000000000002</v>
      </c>
      <c r="Y28" s="79">
        <v>0.34960000000000002</v>
      </c>
      <c r="Z28" s="41">
        <v>35</v>
      </c>
      <c r="AA28" s="41"/>
      <c r="AB28" s="41"/>
      <c r="AC28" s="44">
        <v>31.536000000000001</v>
      </c>
      <c r="AD28" s="43">
        <v>0.9</v>
      </c>
      <c r="AE28" s="43">
        <v>0.9</v>
      </c>
      <c r="AF28" s="43">
        <v>0.9</v>
      </c>
      <c r="AG28" s="43">
        <v>0.9</v>
      </c>
      <c r="AH28" s="43">
        <v>0.9</v>
      </c>
      <c r="AI28" s="51"/>
      <c r="AK28" s="50" t="s">
        <v>87</v>
      </c>
      <c r="AL28" s="1" t="str">
        <f t="shared" si="1"/>
        <v>*EPPPea_05_CCS</v>
      </c>
      <c r="AM28" s="10" t="str">
        <f t="shared" si="2"/>
        <v>New Power Plant - IGCC peat CCS pre combustion</v>
      </c>
      <c r="AN28" s="1" t="s">
        <v>88</v>
      </c>
      <c r="AO28" s="1" t="s">
        <v>2</v>
      </c>
      <c r="AP28" s="49" t="s">
        <v>100</v>
      </c>
      <c r="AQ28" s="115" t="s">
        <v>85</v>
      </c>
      <c r="AR28" s="23"/>
      <c r="AV28" s="35" t="s">
        <v>134</v>
      </c>
    </row>
    <row r="29" spans="1:48" s="50" customFormat="1">
      <c r="A29" s="92"/>
      <c r="B29" s="93"/>
      <c r="C29" s="93"/>
      <c r="D29" s="92"/>
      <c r="E29" s="94"/>
      <c r="F29" s="94"/>
      <c r="G29" s="94"/>
      <c r="H29" s="94"/>
      <c r="I29" s="94"/>
      <c r="J29" s="95"/>
      <c r="K29" s="95"/>
      <c r="L29" s="95"/>
      <c r="M29" s="95"/>
      <c r="N29" s="95"/>
      <c r="O29" s="95"/>
      <c r="P29" s="96"/>
      <c r="Q29" s="96"/>
      <c r="R29" s="96"/>
      <c r="S29" s="96"/>
      <c r="T29" s="96"/>
      <c r="U29" s="97"/>
      <c r="V29" s="97"/>
      <c r="W29" s="97"/>
      <c r="X29" s="97"/>
      <c r="Y29" s="97"/>
      <c r="Z29" s="95"/>
      <c r="AA29" s="95"/>
      <c r="AB29" s="95"/>
      <c r="AC29" s="98"/>
      <c r="AD29" s="94"/>
      <c r="AE29" s="94"/>
      <c r="AF29" s="94"/>
      <c r="AG29" s="94"/>
      <c r="AH29" s="94"/>
      <c r="AI29" s="99"/>
      <c r="AM29" s="10"/>
      <c r="AP29" s="49"/>
      <c r="AV29" s="49"/>
    </row>
    <row r="30" spans="1:48" s="50" customFormat="1">
      <c r="A30" s="91" t="s">
        <v>181</v>
      </c>
      <c r="B30" s="21"/>
      <c r="C30" s="21"/>
      <c r="D30" s="91"/>
      <c r="E30" s="20"/>
      <c r="F30" s="20"/>
      <c r="G30" s="20"/>
      <c r="H30" s="20"/>
      <c r="I30" s="20"/>
      <c r="J30" s="49"/>
      <c r="K30" s="49"/>
      <c r="L30" s="49"/>
      <c r="M30" s="49"/>
      <c r="N30" s="49"/>
      <c r="O30" s="49"/>
      <c r="P30" s="100"/>
      <c r="Q30" s="100"/>
      <c r="R30" s="100"/>
      <c r="S30" s="100"/>
      <c r="T30" s="100"/>
      <c r="U30" s="101"/>
      <c r="V30" s="101"/>
      <c r="W30" s="101"/>
      <c r="X30" s="101"/>
      <c r="Y30" s="101"/>
      <c r="Z30" s="49"/>
      <c r="AA30" s="49"/>
      <c r="AB30" s="49"/>
      <c r="AC30" s="102"/>
      <c r="AD30" s="20"/>
      <c r="AE30" s="20"/>
      <c r="AF30" s="20"/>
      <c r="AG30" s="20"/>
      <c r="AH30" s="20"/>
      <c r="AI30" s="103"/>
      <c r="AM30" s="10"/>
      <c r="AP30" s="49"/>
      <c r="AV30" s="49"/>
    </row>
    <row r="31" spans="1:48" s="50" customFormat="1">
      <c r="A31" s="2"/>
      <c r="B31" s="2"/>
      <c r="C31" s="2"/>
      <c r="D31" s="5" t="s">
        <v>180</v>
      </c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2"/>
      <c r="Q31" s="2"/>
      <c r="R31" s="2"/>
      <c r="S31" s="2"/>
      <c r="U31" s="2"/>
      <c r="V31" s="2"/>
      <c r="W31" s="2"/>
      <c r="Y31" s="2"/>
      <c r="Z31" s="2"/>
      <c r="AK31" s="5" t="s">
        <v>39</v>
      </c>
      <c r="AL31" s="11"/>
      <c r="AM31" s="12"/>
      <c r="AN31" s="12"/>
      <c r="AO31" s="12"/>
      <c r="AP31" s="12"/>
      <c r="AQ31" s="12"/>
      <c r="AR31" s="12"/>
      <c r="AV31" s="49"/>
    </row>
    <row r="32" spans="1:48" s="50" customFormat="1" ht="39.4">
      <c r="A32" s="6" t="s">
        <v>19</v>
      </c>
      <c r="B32" s="7" t="s">
        <v>20</v>
      </c>
      <c r="C32" s="6" t="s">
        <v>21</v>
      </c>
      <c r="D32" s="6" t="s">
        <v>22</v>
      </c>
      <c r="E32" s="8" t="s">
        <v>78</v>
      </c>
      <c r="F32" s="8" t="s">
        <v>79</v>
      </c>
      <c r="G32" s="8" t="s">
        <v>80</v>
      </c>
      <c r="H32" s="8" t="s">
        <v>81</v>
      </c>
      <c r="I32" s="8" t="s">
        <v>82</v>
      </c>
      <c r="J32" s="52" t="s">
        <v>33</v>
      </c>
      <c r="K32" s="52" t="s">
        <v>23</v>
      </c>
      <c r="L32" s="52" t="s">
        <v>24</v>
      </c>
      <c r="M32" s="52" t="s">
        <v>25</v>
      </c>
      <c r="N32" s="52" t="s">
        <v>68</v>
      </c>
      <c r="O32" s="52" t="s">
        <v>69</v>
      </c>
      <c r="P32" s="52" t="s">
        <v>26</v>
      </c>
      <c r="Q32" s="52" t="s">
        <v>27</v>
      </c>
      <c r="R32" s="52" t="s">
        <v>28</v>
      </c>
      <c r="S32" s="52" t="s">
        <v>70</v>
      </c>
      <c r="T32" s="52" t="s">
        <v>71</v>
      </c>
      <c r="U32" s="52" t="s">
        <v>29</v>
      </c>
      <c r="V32" s="52" t="s">
        <v>30</v>
      </c>
      <c r="W32" s="52" t="s">
        <v>31</v>
      </c>
      <c r="X32" s="52" t="s">
        <v>72</v>
      </c>
      <c r="Y32" s="52" t="s">
        <v>73</v>
      </c>
      <c r="Z32" s="52" t="s">
        <v>32</v>
      </c>
      <c r="AA32" s="52" t="s">
        <v>74</v>
      </c>
      <c r="AB32" s="52" t="s">
        <v>75</v>
      </c>
      <c r="AC32" s="52" t="s">
        <v>34</v>
      </c>
      <c r="AD32" s="52" t="s">
        <v>185</v>
      </c>
      <c r="AE32" s="52" t="s">
        <v>186</v>
      </c>
      <c r="AF32" s="52" t="s">
        <v>187</v>
      </c>
      <c r="AG32" s="52" t="s">
        <v>188</v>
      </c>
      <c r="AH32" s="52" t="s">
        <v>189</v>
      </c>
      <c r="AI32" s="52" t="s">
        <v>99</v>
      </c>
      <c r="AK32" s="7" t="s">
        <v>40</v>
      </c>
      <c r="AL32" s="7" t="s">
        <v>19</v>
      </c>
      <c r="AM32" s="7" t="s">
        <v>41</v>
      </c>
      <c r="AN32" s="7" t="s">
        <v>42</v>
      </c>
      <c r="AO32" s="7" t="s">
        <v>43</v>
      </c>
      <c r="AP32" s="7" t="s">
        <v>44</v>
      </c>
      <c r="AQ32" s="7" t="s">
        <v>45</v>
      </c>
      <c r="AR32" s="7" t="s">
        <v>46</v>
      </c>
      <c r="AV32" s="49"/>
    </row>
    <row r="33" spans="1:48" s="50" customFormat="1" ht="26.25">
      <c r="A33" s="112" t="s">
        <v>35</v>
      </c>
      <c r="B33" s="112" t="s">
        <v>36</v>
      </c>
      <c r="C33" s="112" t="s">
        <v>37</v>
      </c>
      <c r="D33" s="112" t="s">
        <v>38</v>
      </c>
      <c r="E33" s="113" t="s">
        <v>83</v>
      </c>
      <c r="F33" s="113"/>
      <c r="G33" s="113"/>
      <c r="H33" s="113"/>
      <c r="I33" s="113"/>
      <c r="J33" s="114"/>
      <c r="K33" s="45" t="s">
        <v>182</v>
      </c>
      <c r="L33" s="114"/>
      <c r="M33" s="114"/>
      <c r="N33" s="114"/>
      <c r="O33" s="114"/>
      <c r="P33" s="45" t="s">
        <v>93</v>
      </c>
      <c r="Q33" s="114"/>
      <c r="R33" s="114"/>
      <c r="S33" s="114"/>
      <c r="T33" s="114"/>
      <c r="U33" s="46" t="s">
        <v>94</v>
      </c>
      <c r="V33" s="46"/>
      <c r="W33" s="46"/>
      <c r="X33" s="46"/>
      <c r="Y33" s="46"/>
      <c r="Z33" s="117" t="s">
        <v>77</v>
      </c>
      <c r="AA33" s="117"/>
      <c r="AB33" s="117"/>
      <c r="AC33" s="114"/>
      <c r="AD33" s="45" t="s">
        <v>1</v>
      </c>
      <c r="AE33" s="45"/>
      <c r="AF33" s="45"/>
      <c r="AG33" s="45"/>
      <c r="AH33" s="45"/>
      <c r="AI33" s="114"/>
      <c r="AK33" s="13" t="s">
        <v>47</v>
      </c>
      <c r="AL33" s="13" t="s">
        <v>48</v>
      </c>
      <c r="AM33" s="13" t="s">
        <v>36</v>
      </c>
      <c r="AN33" s="13" t="s">
        <v>49</v>
      </c>
      <c r="AO33" s="13" t="s">
        <v>50</v>
      </c>
      <c r="AP33" s="13" t="s">
        <v>89</v>
      </c>
      <c r="AQ33" s="13" t="s">
        <v>51</v>
      </c>
      <c r="AR33" s="13" t="s">
        <v>52</v>
      </c>
      <c r="AV33" s="49"/>
    </row>
    <row r="34" spans="1:48">
      <c r="A34" s="104" t="s">
        <v>177</v>
      </c>
      <c r="B34" s="105" t="s">
        <v>178</v>
      </c>
      <c r="C34" s="105" t="s">
        <v>183</v>
      </c>
      <c r="D34" s="104" t="s">
        <v>85</v>
      </c>
      <c r="E34" s="106"/>
      <c r="F34" s="106">
        <v>0.42735000000000001</v>
      </c>
      <c r="G34" s="106"/>
      <c r="H34" s="106"/>
      <c r="I34" s="106"/>
      <c r="J34" s="107">
        <v>2030</v>
      </c>
      <c r="K34" s="108">
        <v>520.82330184680677</v>
      </c>
      <c r="L34" s="108">
        <v>515.50765998241911</v>
      </c>
      <c r="M34" s="108">
        <v>509.75361466529853</v>
      </c>
      <c r="N34" s="108">
        <v>504.71197495886901</v>
      </c>
      <c r="O34" s="107"/>
      <c r="P34" s="108"/>
      <c r="Q34" s="108"/>
      <c r="R34" s="108"/>
      <c r="S34" s="108"/>
      <c r="T34" s="108"/>
      <c r="U34" s="109"/>
      <c r="V34" s="109"/>
      <c r="W34" s="109"/>
      <c r="X34" s="109"/>
      <c r="Y34" s="109"/>
      <c r="Z34" s="107">
        <v>30</v>
      </c>
      <c r="AA34" s="107"/>
      <c r="AB34" s="107"/>
      <c r="AC34" s="110">
        <v>31.536000000000001</v>
      </c>
      <c r="AD34" s="106">
        <v>0.91200000000000003</v>
      </c>
      <c r="AE34" s="106"/>
      <c r="AF34" s="106"/>
      <c r="AG34" s="106"/>
      <c r="AH34" s="106"/>
      <c r="AI34" s="111"/>
      <c r="AJ34" s="50"/>
      <c r="AK34" s="50" t="s">
        <v>87</v>
      </c>
      <c r="AL34" s="50" t="str">
        <f>A34</f>
        <v>EPPH2_01_OCGT</v>
      </c>
      <c r="AM34" s="10" t="str">
        <f t="shared" ref="AM34:AM35" si="3">B34</f>
        <v>New Power Plant - Hydrogen Open Cycle Gas Turbine</v>
      </c>
      <c r="AN34" s="50" t="s">
        <v>88</v>
      </c>
      <c r="AO34" s="50" t="s">
        <v>2</v>
      </c>
      <c r="AP34" s="49" t="s">
        <v>100</v>
      </c>
      <c r="AQ34" s="115" t="s">
        <v>85</v>
      </c>
    </row>
    <row r="35" spans="1:48">
      <c r="A35" s="81" t="s">
        <v>175</v>
      </c>
      <c r="B35" s="82" t="s">
        <v>176</v>
      </c>
      <c r="C35" s="82" t="s">
        <v>183</v>
      </c>
      <c r="D35" s="81" t="s">
        <v>85</v>
      </c>
      <c r="E35" s="83"/>
      <c r="F35" s="83">
        <v>0.59</v>
      </c>
      <c r="G35" s="83"/>
      <c r="H35" s="83"/>
      <c r="I35" s="83"/>
      <c r="J35" s="84">
        <v>2030</v>
      </c>
      <c r="K35" s="85">
        <v>700.29671746046984</v>
      </c>
      <c r="L35" s="85">
        <v>690.76686594620696</v>
      </c>
      <c r="M35" s="85">
        <v>680.45104729674722</v>
      </c>
      <c r="N35" s="85">
        <v>671.41242524198253</v>
      </c>
      <c r="O35" s="84"/>
      <c r="P35" s="85"/>
      <c r="Q35" s="85"/>
      <c r="R35" s="85"/>
      <c r="S35" s="85"/>
      <c r="T35" s="85"/>
      <c r="U35" s="80"/>
      <c r="V35" s="80"/>
      <c r="W35" s="80"/>
      <c r="X35" s="80"/>
      <c r="Y35" s="80"/>
      <c r="Z35" s="84">
        <v>35</v>
      </c>
      <c r="AA35" s="84"/>
      <c r="AB35" s="84"/>
      <c r="AC35" s="86">
        <v>31.536000000000001</v>
      </c>
      <c r="AD35" s="83">
        <v>0.91200000000000003</v>
      </c>
      <c r="AE35" s="83"/>
      <c r="AF35" s="83"/>
      <c r="AG35" s="83"/>
      <c r="AH35" s="83"/>
      <c r="AI35" s="87"/>
      <c r="AJ35" s="50"/>
      <c r="AK35" s="50"/>
      <c r="AL35" s="50" t="str">
        <f>A35</f>
        <v>EPPH2_02_CCGT</v>
      </c>
      <c r="AM35" s="10" t="str">
        <f t="shared" si="3"/>
        <v>New Power Plant - Hydrogen Combined Cycle Gas Turbine</v>
      </c>
      <c r="AN35" s="50" t="s">
        <v>88</v>
      </c>
      <c r="AO35" s="50" t="s">
        <v>2</v>
      </c>
      <c r="AP35" s="49" t="s">
        <v>100</v>
      </c>
      <c r="AQ35" s="115" t="s">
        <v>85</v>
      </c>
    </row>
    <row r="36" spans="1:48">
      <c r="B36" s="50"/>
    </row>
  </sheetData>
  <mergeCells count="2">
    <mergeCell ref="Z5:AB5"/>
    <mergeCell ref="Z33:AB33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200B-55A9-4071-AF7F-CF4CC5335CAE}">
  <sheetPr codeName="Sheet2"/>
  <dimension ref="B1:BG25"/>
  <sheetViews>
    <sheetView zoomScale="85" zoomScaleNormal="85" workbookViewId="0">
      <selection activeCell="J9" sqref="J9"/>
    </sheetView>
  </sheetViews>
  <sheetFormatPr defaultColWidth="8.86328125" defaultRowHeight="14.25"/>
  <cols>
    <col min="1" max="1" width="4.46484375" style="53" customWidth="1"/>
    <col min="2" max="2" width="29.6640625" style="53" customWidth="1"/>
    <col min="3" max="3" width="40.46484375" style="53" customWidth="1"/>
    <col min="4" max="4" width="14.6640625" style="53" customWidth="1"/>
    <col min="5" max="5" width="20.46484375" style="53" customWidth="1"/>
    <col min="6" max="39" width="7.46484375" style="53" customWidth="1"/>
    <col min="41" max="41" width="14.46484375" style="22" customWidth="1"/>
    <col min="42" max="42" width="27.19921875" style="22" bestFit="1" customWidth="1"/>
    <col min="43" max="43" width="87.46484375" style="22" bestFit="1" customWidth="1"/>
    <col min="44" max="49" width="8.86328125" style="22"/>
    <col min="50" max="50" width="14.6640625" style="53" customWidth="1"/>
    <col min="51" max="51" width="14.46484375" style="53" bestFit="1" customWidth="1"/>
    <col min="52" max="52" width="21.46484375" style="53" customWidth="1"/>
    <col min="53" max="269" width="8.86328125" style="53"/>
    <col min="270" max="270" width="4.46484375" style="53" customWidth="1"/>
    <col min="271" max="271" width="25.86328125" style="53" customWidth="1"/>
    <col min="272" max="272" width="55" style="53" bestFit="1" customWidth="1"/>
    <col min="273" max="273" width="42.46484375" style="53" customWidth="1"/>
    <col min="274" max="274" width="11.86328125" style="53" customWidth="1"/>
    <col min="275" max="275" width="8.19921875" style="53" customWidth="1"/>
    <col min="276" max="276" width="12" style="53" customWidth="1"/>
    <col min="277" max="277" width="11.86328125" style="53" customWidth="1"/>
    <col min="278" max="278" width="12.46484375" style="53" customWidth="1"/>
    <col min="279" max="279" width="10.6640625" style="53" bestFit="1" customWidth="1"/>
    <col min="280" max="280" width="11" style="53" customWidth="1"/>
    <col min="281" max="282" width="10.6640625" style="53" customWidth="1"/>
    <col min="283" max="284" width="8.19921875" style="53" customWidth="1"/>
    <col min="285" max="295" width="9.46484375" style="53" customWidth="1"/>
    <col min="296" max="525" width="8.86328125" style="53"/>
    <col min="526" max="526" width="4.46484375" style="53" customWidth="1"/>
    <col min="527" max="527" width="25.86328125" style="53" customWidth="1"/>
    <col min="528" max="528" width="55" style="53" bestFit="1" customWidth="1"/>
    <col min="529" max="529" width="42.46484375" style="53" customWidth="1"/>
    <col min="530" max="530" width="11.86328125" style="53" customWidth="1"/>
    <col min="531" max="531" width="8.19921875" style="53" customWidth="1"/>
    <col min="532" max="532" width="12" style="53" customWidth="1"/>
    <col min="533" max="533" width="11.86328125" style="53" customWidth="1"/>
    <col min="534" max="534" width="12.46484375" style="53" customWidth="1"/>
    <col min="535" max="535" width="10.6640625" style="53" bestFit="1" customWidth="1"/>
    <col min="536" max="536" width="11" style="53" customWidth="1"/>
    <col min="537" max="538" width="10.6640625" style="53" customWidth="1"/>
    <col min="539" max="540" width="8.19921875" style="53" customWidth="1"/>
    <col min="541" max="551" width="9.46484375" style="53" customWidth="1"/>
    <col min="552" max="781" width="8.86328125" style="53"/>
    <col min="782" max="782" width="4.46484375" style="53" customWidth="1"/>
    <col min="783" max="783" width="25.86328125" style="53" customWidth="1"/>
    <col min="784" max="784" width="55" style="53" bestFit="1" customWidth="1"/>
    <col min="785" max="785" width="42.46484375" style="53" customWidth="1"/>
    <col min="786" max="786" width="11.86328125" style="53" customWidth="1"/>
    <col min="787" max="787" width="8.19921875" style="53" customWidth="1"/>
    <col min="788" max="788" width="12" style="53" customWidth="1"/>
    <col min="789" max="789" width="11.86328125" style="53" customWidth="1"/>
    <col min="790" max="790" width="12.46484375" style="53" customWidth="1"/>
    <col min="791" max="791" width="10.6640625" style="53" bestFit="1" customWidth="1"/>
    <col min="792" max="792" width="11" style="53" customWidth="1"/>
    <col min="793" max="794" width="10.6640625" style="53" customWidth="1"/>
    <col min="795" max="796" width="8.19921875" style="53" customWidth="1"/>
    <col min="797" max="807" width="9.46484375" style="53" customWidth="1"/>
    <col min="808" max="1037" width="8.86328125" style="53"/>
    <col min="1038" max="1038" width="4.46484375" style="53" customWidth="1"/>
    <col min="1039" max="1039" width="25.86328125" style="53" customWidth="1"/>
    <col min="1040" max="1040" width="55" style="53" bestFit="1" customWidth="1"/>
    <col min="1041" max="1041" width="42.46484375" style="53" customWidth="1"/>
    <col min="1042" max="1042" width="11.86328125" style="53" customWidth="1"/>
    <col min="1043" max="1043" width="8.19921875" style="53" customWidth="1"/>
    <col min="1044" max="1044" width="12" style="53" customWidth="1"/>
    <col min="1045" max="1045" width="11.86328125" style="53" customWidth="1"/>
    <col min="1046" max="1046" width="12.46484375" style="53" customWidth="1"/>
    <col min="1047" max="1047" width="10.6640625" style="53" bestFit="1" customWidth="1"/>
    <col min="1048" max="1048" width="11" style="53" customWidth="1"/>
    <col min="1049" max="1050" width="10.6640625" style="53" customWidth="1"/>
    <col min="1051" max="1052" width="8.19921875" style="53" customWidth="1"/>
    <col min="1053" max="1063" width="9.46484375" style="53" customWidth="1"/>
    <col min="1064" max="1293" width="8.86328125" style="53"/>
    <col min="1294" max="1294" width="4.46484375" style="53" customWidth="1"/>
    <col min="1295" max="1295" width="25.86328125" style="53" customWidth="1"/>
    <col min="1296" max="1296" width="55" style="53" bestFit="1" customWidth="1"/>
    <col min="1297" max="1297" width="42.46484375" style="53" customWidth="1"/>
    <col min="1298" max="1298" width="11.86328125" style="53" customWidth="1"/>
    <col min="1299" max="1299" width="8.19921875" style="53" customWidth="1"/>
    <col min="1300" max="1300" width="12" style="53" customWidth="1"/>
    <col min="1301" max="1301" width="11.86328125" style="53" customWidth="1"/>
    <col min="1302" max="1302" width="12.46484375" style="53" customWidth="1"/>
    <col min="1303" max="1303" width="10.6640625" style="53" bestFit="1" customWidth="1"/>
    <col min="1304" max="1304" width="11" style="53" customWidth="1"/>
    <col min="1305" max="1306" width="10.6640625" style="53" customWidth="1"/>
    <col min="1307" max="1308" width="8.19921875" style="53" customWidth="1"/>
    <col min="1309" max="1319" width="9.46484375" style="53" customWidth="1"/>
    <col min="1320" max="1549" width="8.86328125" style="53"/>
    <col min="1550" max="1550" width="4.46484375" style="53" customWidth="1"/>
    <col min="1551" max="1551" width="25.86328125" style="53" customWidth="1"/>
    <col min="1552" max="1552" width="55" style="53" bestFit="1" customWidth="1"/>
    <col min="1553" max="1553" width="42.46484375" style="53" customWidth="1"/>
    <col min="1554" max="1554" width="11.86328125" style="53" customWidth="1"/>
    <col min="1555" max="1555" width="8.19921875" style="53" customWidth="1"/>
    <col min="1556" max="1556" width="12" style="53" customWidth="1"/>
    <col min="1557" max="1557" width="11.86328125" style="53" customWidth="1"/>
    <col min="1558" max="1558" width="12.46484375" style="53" customWidth="1"/>
    <col min="1559" max="1559" width="10.6640625" style="53" bestFit="1" customWidth="1"/>
    <col min="1560" max="1560" width="11" style="53" customWidth="1"/>
    <col min="1561" max="1562" width="10.6640625" style="53" customWidth="1"/>
    <col min="1563" max="1564" width="8.19921875" style="53" customWidth="1"/>
    <col min="1565" max="1575" width="9.46484375" style="53" customWidth="1"/>
    <col min="1576" max="1805" width="8.86328125" style="53"/>
    <col min="1806" max="1806" width="4.46484375" style="53" customWidth="1"/>
    <col min="1807" max="1807" width="25.86328125" style="53" customWidth="1"/>
    <col min="1808" max="1808" width="55" style="53" bestFit="1" customWidth="1"/>
    <col min="1809" max="1809" width="42.46484375" style="53" customWidth="1"/>
    <col min="1810" max="1810" width="11.86328125" style="53" customWidth="1"/>
    <col min="1811" max="1811" width="8.19921875" style="53" customWidth="1"/>
    <col min="1812" max="1812" width="12" style="53" customWidth="1"/>
    <col min="1813" max="1813" width="11.86328125" style="53" customWidth="1"/>
    <col min="1814" max="1814" width="12.46484375" style="53" customWidth="1"/>
    <col min="1815" max="1815" width="10.6640625" style="53" bestFit="1" customWidth="1"/>
    <col min="1816" max="1816" width="11" style="53" customWidth="1"/>
    <col min="1817" max="1818" width="10.6640625" style="53" customWidth="1"/>
    <col min="1819" max="1820" width="8.19921875" style="53" customWidth="1"/>
    <col min="1821" max="1831" width="9.46484375" style="53" customWidth="1"/>
    <col min="1832" max="2061" width="8.86328125" style="53"/>
    <col min="2062" max="2062" width="4.46484375" style="53" customWidth="1"/>
    <col min="2063" max="2063" width="25.86328125" style="53" customWidth="1"/>
    <col min="2064" max="2064" width="55" style="53" bestFit="1" customWidth="1"/>
    <col min="2065" max="2065" width="42.46484375" style="53" customWidth="1"/>
    <col min="2066" max="2066" width="11.86328125" style="53" customWidth="1"/>
    <col min="2067" max="2067" width="8.19921875" style="53" customWidth="1"/>
    <col min="2068" max="2068" width="12" style="53" customWidth="1"/>
    <col min="2069" max="2069" width="11.86328125" style="53" customWidth="1"/>
    <col min="2070" max="2070" width="12.46484375" style="53" customWidth="1"/>
    <col min="2071" max="2071" width="10.6640625" style="53" bestFit="1" customWidth="1"/>
    <col min="2072" max="2072" width="11" style="53" customWidth="1"/>
    <col min="2073" max="2074" width="10.6640625" style="53" customWidth="1"/>
    <col min="2075" max="2076" width="8.19921875" style="53" customWidth="1"/>
    <col min="2077" max="2087" width="9.46484375" style="53" customWidth="1"/>
    <col min="2088" max="2317" width="8.86328125" style="53"/>
    <col min="2318" max="2318" width="4.46484375" style="53" customWidth="1"/>
    <col min="2319" max="2319" width="25.86328125" style="53" customWidth="1"/>
    <col min="2320" max="2320" width="55" style="53" bestFit="1" customWidth="1"/>
    <col min="2321" max="2321" width="42.46484375" style="53" customWidth="1"/>
    <col min="2322" max="2322" width="11.86328125" style="53" customWidth="1"/>
    <col min="2323" max="2323" width="8.19921875" style="53" customWidth="1"/>
    <col min="2324" max="2324" width="12" style="53" customWidth="1"/>
    <col min="2325" max="2325" width="11.86328125" style="53" customWidth="1"/>
    <col min="2326" max="2326" width="12.46484375" style="53" customWidth="1"/>
    <col min="2327" max="2327" width="10.6640625" style="53" bestFit="1" customWidth="1"/>
    <col min="2328" max="2328" width="11" style="53" customWidth="1"/>
    <col min="2329" max="2330" width="10.6640625" style="53" customWidth="1"/>
    <col min="2331" max="2332" width="8.19921875" style="53" customWidth="1"/>
    <col min="2333" max="2343" width="9.46484375" style="53" customWidth="1"/>
    <col min="2344" max="2573" width="8.86328125" style="53"/>
    <col min="2574" max="2574" width="4.46484375" style="53" customWidth="1"/>
    <col min="2575" max="2575" width="25.86328125" style="53" customWidth="1"/>
    <col min="2576" max="2576" width="55" style="53" bestFit="1" customWidth="1"/>
    <col min="2577" max="2577" width="42.46484375" style="53" customWidth="1"/>
    <col min="2578" max="2578" width="11.86328125" style="53" customWidth="1"/>
    <col min="2579" max="2579" width="8.19921875" style="53" customWidth="1"/>
    <col min="2580" max="2580" width="12" style="53" customWidth="1"/>
    <col min="2581" max="2581" width="11.86328125" style="53" customWidth="1"/>
    <col min="2582" max="2582" width="12.46484375" style="53" customWidth="1"/>
    <col min="2583" max="2583" width="10.6640625" style="53" bestFit="1" customWidth="1"/>
    <col min="2584" max="2584" width="11" style="53" customWidth="1"/>
    <col min="2585" max="2586" width="10.6640625" style="53" customWidth="1"/>
    <col min="2587" max="2588" width="8.19921875" style="53" customWidth="1"/>
    <col min="2589" max="2599" width="9.46484375" style="53" customWidth="1"/>
    <col min="2600" max="2829" width="8.86328125" style="53"/>
    <col min="2830" max="2830" width="4.46484375" style="53" customWidth="1"/>
    <col min="2831" max="2831" width="25.86328125" style="53" customWidth="1"/>
    <col min="2832" max="2832" width="55" style="53" bestFit="1" customWidth="1"/>
    <col min="2833" max="2833" width="42.46484375" style="53" customWidth="1"/>
    <col min="2834" max="2834" width="11.86328125" style="53" customWidth="1"/>
    <col min="2835" max="2835" width="8.19921875" style="53" customWidth="1"/>
    <col min="2836" max="2836" width="12" style="53" customWidth="1"/>
    <col min="2837" max="2837" width="11.86328125" style="53" customWidth="1"/>
    <col min="2838" max="2838" width="12.46484375" style="53" customWidth="1"/>
    <col min="2839" max="2839" width="10.6640625" style="53" bestFit="1" customWidth="1"/>
    <col min="2840" max="2840" width="11" style="53" customWidth="1"/>
    <col min="2841" max="2842" width="10.6640625" style="53" customWidth="1"/>
    <col min="2843" max="2844" width="8.19921875" style="53" customWidth="1"/>
    <col min="2845" max="2855" width="9.46484375" style="53" customWidth="1"/>
    <col min="2856" max="3085" width="8.86328125" style="53"/>
    <col min="3086" max="3086" width="4.46484375" style="53" customWidth="1"/>
    <col min="3087" max="3087" width="25.86328125" style="53" customWidth="1"/>
    <col min="3088" max="3088" width="55" style="53" bestFit="1" customWidth="1"/>
    <col min="3089" max="3089" width="42.46484375" style="53" customWidth="1"/>
    <col min="3090" max="3090" width="11.86328125" style="53" customWidth="1"/>
    <col min="3091" max="3091" width="8.19921875" style="53" customWidth="1"/>
    <col min="3092" max="3092" width="12" style="53" customWidth="1"/>
    <col min="3093" max="3093" width="11.86328125" style="53" customWidth="1"/>
    <col min="3094" max="3094" width="12.46484375" style="53" customWidth="1"/>
    <col min="3095" max="3095" width="10.6640625" style="53" bestFit="1" customWidth="1"/>
    <col min="3096" max="3096" width="11" style="53" customWidth="1"/>
    <col min="3097" max="3098" width="10.6640625" style="53" customWidth="1"/>
    <col min="3099" max="3100" width="8.19921875" style="53" customWidth="1"/>
    <col min="3101" max="3111" width="9.46484375" style="53" customWidth="1"/>
    <col min="3112" max="3341" width="8.86328125" style="53"/>
    <col min="3342" max="3342" width="4.46484375" style="53" customWidth="1"/>
    <col min="3343" max="3343" width="25.86328125" style="53" customWidth="1"/>
    <col min="3344" max="3344" width="55" style="53" bestFit="1" customWidth="1"/>
    <col min="3345" max="3345" width="42.46484375" style="53" customWidth="1"/>
    <col min="3346" max="3346" width="11.86328125" style="53" customWidth="1"/>
    <col min="3347" max="3347" width="8.19921875" style="53" customWidth="1"/>
    <col min="3348" max="3348" width="12" style="53" customWidth="1"/>
    <col min="3349" max="3349" width="11.86328125" style="53" customWidth="1"/>
    <col min="3350" max="3350" width="12.46484375" style="53" customWidth="1"/>
    <col min="3351" max="3351" width="10.6640625" style="53" bestFit="1" customWidth="1"/>
    <col min="3352" max="3352" width="11" style="53" customWidth="1"/>
    <col min="3353" max="3354" width="10.6640625" style="53" customWidth="1"/>
    <col min="3355" max="3356" width="8.19921875" style="53" customWidth="1"/>
    <col min="3357" max="3367" width="9.46484375" style="53" customWidth="1"/>
    <col min="3368" max="3597" width="8.86328125" style="53"/>
    <col min="3598" max="3598" width="4.46484375" style="53" customWidth="1"/>
    <col min="3599" max="3599" width="25.86328125" style="53" customWidth="1"/>
    <col min="3600" max="3600" width="55" style="53" bestFit="1" customWidth="1"/>
    <col min="3601" max="3601" width="42.46484375" style="53" customWidth="1"/>
    <col min="3602" max="3602" width="11.86328125" style="53" customWidth="1"/>
    <col min="3603" max="3603" width="8.19921875" style="53" customWidth="1"/>
    <col min="3604" max="3604" width="12" style="53" customWidth="1"/>
    <col min="3605" max="3605" width="11.86328125" style="53" customWidth="1"/>
    <col min="3606" max="3606" width="12.46484375" style="53" customWidth="1"/>
    <col min="3607" max="3607" width="10.6640625" style="53" bestFit="1" customWidth="1"/>
    <col min="3608" max="3608" width="11" style="53" customWidth="1"/>
    <col min="3609" max="3610" width="10.6640625" style="53" customWidth="1"/>
    <col min="3611" max="3612" width="8.19921875" style="53" customWidth="1"/>
    <col min="3613" max="3623" width="9.46484375" style="53" customWidth="1"/>
    <col min="3624" max="3853" width="8.86328125" style="53"/>
    <col min="3854" max="3854" width="4.46484375" style="53" customWidth="1"/>
    <col min="3855" max="3855" width="25.86328125" style="53" customWidth="1"/>
    <col min="3856" max="3856" width="55" style="53" bestFit="1" customWidth="1"/>
    <col min="3857" max="3857" width="42.46484375" style="53" customWidth="1"/>
    <col min="3858" max="3858" width="11.86328125" style="53" customWidth="1"/>
    <col min="3859" max="3859" width="8.19921875" style="53" customWidth="1"/>
    <col min="3860" max="3860" width="12" style="53" customWidth="1"/>
    <col min="3861" max="3861" width="11.86328125" style="53" customWidth="1"/>
    <col min="3862" max="3862" width="12.46484375" style="53" customWidth="1"/>
    <col min="3863" max="3863" width="10.6640625" style="53" bestFit="1" customWidth="1"/>
    <col min="3864" max="3864" width="11" style="53" customWidth="1"/>
    <col min="3865" max="3866" width="10.6640625" style="53" customWidth="1"/>
    <col min="3867" max="3868" width="8.19921875" style="53" customWidth="1"/>
    <col min="3869" max="3879" width="9.46484375" style="53" customWidth="1"/>
    <col min="3880" max="4109" width="8.86328125" style="53"/>
    <col min="4110" max="4110" width="4.46484375" style="53" customWidth="1"/>
    <col min="4111" max="4111" width="25.86328125" style="53" customWidth="1"/>
    <col min="4112" max="4112" width="55" style="53" bestFit="1" customWidth="1"/>
    <col min="4113" max="4113" width="42.46484375" style="53" customWidth="1"/>
    <col min="4114" max="4114" width="11.86328125" style="53" customWidth="1"/>
    <col min="4115" max="4115" width="8.19921875" style="53" customWidth="1"/>
    <col min="4116" max="4116" width="12" style="53" customWidth="1"/>
    <col min="4117" max="4117" width="11.86328125" style="53" customWidth="1"/>
    <col min="4118" max="4118" width="12.46484375" style="53" customWidth="1"/>
    <col min="4119" max="4119" width="10.6640625" style="53" bestFit="1" customWidth="1"/>
    <col min="4120" max="4120" width="11" style="53" customWidth="1"/>
    <col min="4121" max="4122" width="10.6640625" style="53" customWidth="1"/>
    <col min="4123" max="4124" width="8.19921875" style="53" customWidth="1"/>
    <col min="4125" max="4135" width="9.46484375" style="53" customWidth="1"/>
    <col min="4136" max="4365" width="8.86328125" style="53"/>
    <col min="4366" max="4366" width="4.46484375" style="53" customWidth="1"/>
    <col min="4367" max="4367" width="25.86328125" style="53" customWidth="1"/>
    <col min="4368" max="4368" width="55" style="53" bestFit="1" customWidth="1"/>
    <col min="4369" max="4369" width="42.46484375" style="53" customWidth="1"/>
    <col min="4370" max="4370" width="11.86328125" style="53" customWidth="1"/>
    <col min="4371" max="4371" width="8.19921875" style="53" customWidth="1"/>
    <col min="4372" max="4372" width="12" style="53" customWidth="1"/>
    <col min="4373" max="4373" width="11.86328125" style="53" customWidth="1"/>
    <col min="4374" max="4374" width="12.46484375" style="53" customWidth="1"/>
    <col min="4375" max="4375" width="10.6640625" style="53" bestFit="1" customWidth="1"/>
    <col min="4376" max="4376" width="11" style="53" customWidth="1"/>
    <col min="4377" max="4378" width="10.6640625" style="53" customWidth="1"/>
    <col min="4379" max="4380" width="8.19921875" style="53" customWidth="1"/>
    <col min="4381" max="4391" width="9.46484375" style="53" customWidth="1"/>
    <col min="4392" max="4621" width="8.86328125" style="53"/>
    <col min="4622" max="4622" width="4.46484375" style="53" customWidth="1"/>
    <col min="4623" max="4623" width="25.86328125" style="53" customWidth="1"/>
    <col min="4624" max="4624" width="55" style="53" bestFit="1" customWidth="1"/>
    <col min="4625" max="4625" width="42.46484375" style="53" customWidth="1"/>
    <col min="4626" max="4626" width="11.86328125" style="53" customWidth="1"/>
    <col min="4627" max="4627" width="8.19921875" style="53" customWidth="1"/>
    <col min="4628" max="4628" width="12" style="53" customWidth="1"/>
    <col min="4629" max="4629" width="11.86328125" style="53" customWidth="1"/>
    <col min="4630" max="4630" width="12.46484375" style="53" customWidth="1"/>
    <col min="4631" max="4631" width="10.6640625" style="53" bestFit="1" customWidth="1"/>
    <col min="4632" max="4632" width="11" style="53" customWidth="1"/>
    <col min="4633" max="4634" width="10.6640625" style="53" customWidth="1"/>
    <col min="4635" max="4636" width="8.19921875" style="53" customWidth="1"/>
    <col min="4637" max="4647" width="9.46484375" style="53" customWidth="1"/>
    <col min="4648" max="4877" width="8.86328125" style="53"/>
    <col min="4878" max="4878" width="4.46484375" style="53" customWidth="1"/>
    <col min="4879" max="4879" width="25.86328125" style="53" customWidth="1"/>
    <col min="4880" max="4880" width="55" style="53" bestFit="1" customWidth="1"/>
    <col min="4881" max="4881" width="42.46484375" style="53" customWidth="1"/>
    <col min="4882" max="4882" width="11.86328125" style="53" customWidth="1"/>
    <col min="4883" max="4883" width="8.19921875" style="53" customWidth="1"/>
    <col min="4884" max="4884" width="12" style="53" customWidth="1"/>
    <col min="4885" max="4885" width="11.86328125" style="53" customWidth="1"/>
    <col min="4886" max="4886" width="12.46484375" style="53" customWidth="1"/>
    <col min="4887" max="4887" width="10.6640625" style="53" bestFit="1" customWidth="1"/>
    <col min="4888" max="4888" width="11" style="53" customWidth="1"/>
    <col min="4889" max="4890" width="10.6640625" style="53" customWidth="1"/>
    <col min="4891" max="4892" width="8.19921875" style="53" customWidth="1"/>
    <col min="4893" max="4903" width="9.46484375" style="53" customWidth="1"/>
    <col min="4904" max="5133" width="8.86328125" style="53"/>
    <col min="5134" max="5134" width="4.46484375" style="53" customWidth="1"/>
    <col min="5135" max="5135" width="25.86328125" style="53" customWidth="1"/>
    <col min="5136" max="5136" width="55" style="53" bestFit="1" customWidth="1"/>
    <col min="5137" max="5137" width="42.46484375" style="53" customWidth="1"/>
    <col min="5138" max="5138" width="11.86328125" style="53" customWidth="1"/>
    <col min="5139" max="5139" width="8.19921875" style="53" customWidth="1"/>
    <col min="5140" max="5140" width="12" style="53" customWidth="1"/>
    <col min="5141" max="5141" width="11.86328125" style="53" customWidth="1"/>
    <col min="5142" max="5142" width="12.46484375" style="53" customWidth="1"/>
    <col min="5143" max="5143" width="10.6640625" style="53" bestFit="1" customWidth="1"/>
    <col min="5144" max="5144" width="11" style="53" customWidth="1"/>
    <col min="5145" max="5146" width="10.6640625" style="53" customWidth="1"/>
    <col min="5147" max="5148" width="8.19921875" style="53" customWidth="1"/>
    <col min="5149" max="5159" width="9.46484375" style="53" customWidth="1"/>
    <col min="5160" max="5389" width="8.86328125" style="53"/>
    <col min="5390" max="5390" width="4.46484375" style="53" customWidth="1"/>
    <col min="5391" max="5391" width="25.86328125" style="53" customWidth="1"/>
    <col min="5392" max="5392" width="55" style="53" bestFit="1" customWidth="1"/>
    <col min="5393" max="5393" width="42.46484375" style="53" customWidth="1"/>
    <col min="5394" max="5394" width="11.86328125" style="53" customWidth="1"/>
    <col min="5395" max="5395" width="8.19921875" style="53" customWidth="1"/>
    <col min="5396" max="5396" width="12" style="53" customWidth="1"/>
    <col min="5397" max="5397" width="11.86328125" style="53" customWidth="1"/>
    <col min="5398" max="5398" width="12.46484375" style="53" customWidth="1"/>
    <col min="5399" max="5399" width="10.6640625" style="53" bestFit="1" customWidth="1"/>
    <col min="5400" max="5400" width="11" style="53" customWidth="1"/>
    <col min="5401" max="5402" width="10.6640625" style="53" customWidth="1"/>
    <col min="5403" max="5404" width="8.19921875" style="53" customWidth="1"/>
    <col min="5405" max="5415" width="9.46484375" style="53" customWidth="1"/>
    <col min="5416" max="5645" width="8.86328125" style="53"/>
    <col min="5646" max="5646" width="4.46484375" style="53" customWidth="1"/>
    <col min="5647" max="5647" width="25.86328125" style="53" customWidth="1"/>
    <col min="5648" max="5648" width="55" style="53" bestFit="1" customWidth="1"/>
    <col min="5649" max="5649" width="42.46484375" style="53" customWidth="1"/>
    <col min="5650" max="5650" width="11.86328125" style="53" customWidth="1"/>
    <col min="5651" max="5651" width="8.19921875" style="53" customWidth="1"/>
    <col min="5652" max="5652" width="12" style="53" customWidth="1"/>
    <col min="5653" max="5653" width="11.86328125" style="53" customWidth="1"/>
    <col min="5654" max="5654" width="12.46484375" style="53" customWidth="1"/>
    <col min="5655" max="5655" width="10.6640625" style="53" bestFit="1" customWidth="1"/>
    <col min="5656" max="5656" width="11" style="53" customWidth="1"/>
    <col min="5657" max="5658" width="10.6640625" style="53" customWidth="1"/>
    <col min="5659" max="5660" width="8.19921875" style="53" customWidth="1"/>
    <col min="5661" max="5671" width="9.46484375" style="53" customWidth="1"/>
    <col min="5672" max="5901" width="8.86328125" style="53"/>
    <col min="5902" max="5902" width="4.46484375" style="53" customWidth="1"/>
    <col min="5903" max="5903" width="25.86328125" style="53" customWidth="1"/>
    <col min="5904" max="5904" width="55" style="53" bestFit="1" customWidth="1"/>
    <col min="5905" max="5905" width="42.46484375" style="53" customWidth="1"/>
    <col min="5906" max="5906" width="11.86328125" style="53" customWidth="1"/>
    <col min="5907" max="5907" width="8.19921875" style="53" customWidth="1"/>
    <col min="5908" max="5908" width="12" style="53" customWidth="1"/>
    <col min="5909" max="5909" width="11.86328125" style="53" customWidth="1"/>
    <col min="5910" max="5910" width="12.46484375" style="53" customWidth="1"/>
    <col min="5911" max="5911" width="10.6640625" style="53" bestFit="1" customWidth="1"/>
    <col min="5912" max="5912" width="11" style="53" customWidth="1"/>
    <col min="5913" max="5914" width="10.6640625" style="53" customWidth="1"/>
    <col min="5915" max="5916" width="8.19921875" style="53" customWidth="1"/>
    <col min="5917" max="5927" width="9.46484375" style="53" customWidth="1"/>
    <col min="5928" max="6157" width="8.86328125" style="53"/>
    <col min="6158" max="6158" width="4.46484375" style="53" customWidth="1"/>
    <col min="6159" max="6159" width="25.86328125" style="53" customWidth="1"/>
    <col min="6160" max="6160" width="55" style="53" bestFit="1" customWidth="1"/>
    <col min="6161" max="6161" width="42.46484375" style="53" customWidth="1"/>
    <col min="6162" max="6162" width="11.86328125" style="53" customWidth="1"/>
    <col min="6163" max="6163" width="8.19921875" style="53" customWidth="1"/>
    <col min="6164" max="6164" width="12" style="53" customWidth="1"/>
    <col min="6165" max="6165" width="11.86328125" style="53" customWidth="1"/>
    <col min="6166" max="6166" width="12.46484375" style="53" customWidth="1"/>
    <col min="6167" max="6167" width="10.6640625" style="53" bestFit="1" customWidth="1"/>
    <col min="6168" max="6168" width="11" style="53" customWidth="1"/>
    <col min="6169" max="6170" width="10.6640625" style="53" customWidth="1"/>
    <col min="6171" max="6172" width="8.19921875" style="53" customWidth="1"/>
    <col min="6173" max="6183" width="9.46484375" style="53" customWidth="1"/>
    <col min="6184" max="6413" width="8.86328125" style="53"/>
    <col min="6414" max="6414" width="4.46484375" style="53" customWidth="1"/>
    <col min="6415" max="6415" width="25.86328125" style="53" customWidth="1"/>
    <col min="6416" max="6416" width="55" style="53" bestFit="1" customWidth="1"/>
    <col min="6417" max="6417" width="42.46484375" style="53" customWidth="1"/>
    <col min="6418" max="6418" width="11.86328125" style="53" customWidth="1"/>
    <col min="6419" max="6419" width="8.19921875" style="53" customWidth="1"/>
    <col min="6420" max="6420" width="12" style="53" customWidth="1"/>
    <col min="6421" max="6421" width="11.86328125" style="53" customWidth="1"/>
    <col min="6422" max="6422" width="12.46484375" style="53" customWidth="1"/>
    <col min="6423" max="6423" width="10.6640625" style="53" bestFit="1" customWidth="1"/>
    <col min="6424" max="6424" width="11" style="53" customWidth="1"/>
    <col min="6425" max="6426" width="10.6640625" style="53" customWidth="1"/>
    <col min="6427" max="6428" width="8.19921875" style="53" customWidth="1"/>
    <col min="6429" max="6439" width="9.46484375" style="53" customWidth="1"/>
    <col min="6440" max="6669" width="8.86328125" style="53"/>
    <col min="6670" max="6670" width="4.46484375" style="53" customWidth="1"/>
    <col min="6671" max="6671" width="25.86328125" style="53" customWidth="1"/>
    <col min="6672" max="6672" width="55" style="53" bestFit="1" customWidth="1"/>
    <col min="6673" max="6673" width="42.46484375" style="53" customWidth="1"/>
    <col min="6674" max="6674" width="11.86328125" style="53" customWidth="1"/>
    <col min="6675" max="6675" width="8.19921875" style="53" customWidth="1"/>
    <col min="6676" max="6676" width="12" style="53" customWidth="1"/>
    <col min="6677" max="6677" width="11.86328125" style="53" customWidth="1"/>
    <col min="6678" max="6678" width="12.46484375" style="53" customWidth="1"/>
    <col min="6679" max="6679" width="10.6640625" style="53" bestFit="1" customWidth="1"/>
    <col min="6680" max="6680" width="11" style="53" customWidth="1"/>
    <col min="6681" max="6682" width="10.6640625" style="53" customWidth="1"/>
    <col min="6683" max="6684" width="8.19921875" style="53" customWidth="1"/>
    <col min="6685" max="6695" width="9.46484375" style="53" customWidth="1"/>
    <col min="6696" max="6925" width="8.86328125" style="53"/>
    <col min="6926" max="6926" width="4.46484375" style="53" customWidth="1"/>
    <col min="6927" max="6927" width="25.86328125" style="53" customWidth="1"/>
    <col min="6928" max="6928" width="55" style="53" bestFit="1" customWidth="1"/>
    <col min="6929" max="6929" width="42.46484375" style="53" customWidth="1"/>
    <col min="6930" max="6930" width="11.86328125" style="53" customWidth="1"/>
    <col min="6931" max="6931" width="8.19921875" style="53" customWidth="1"/>
    <col min="6932" max="6932" width="12" style="53" customWidth="1"/>
    <col min="6933" max="6933" width="11.86328125" style="53" customWidth="1"/>
    <col min="6934" max="6934" width="12.46484375" style="53" customWidth="1"/>
    <col min="6935" max="6935" width="10.6640625" style="53" bestFit="1" customWidth="1"/>
    <col min="6936" max="6936" width="11" style="53" customWidth="1"/>
    <col min="6937" max="6938" width="10.6640625" style="53" customWidth="1"/>
    <col min="6939" max="6940" width="8.19921875" style="53" customWidth="1"/>
    <col min="6941" max="6951" width="9.46484375" style="53" customWidth="1"/>
    <col min="6952" max="7181" width="8.86328125" style="53"/>
    <col min="7182" max="7182" width="4.46484375" style="53" customWidth="1"/>
    <col min="7183" max="7183" width="25.86328125" style="53" customWidth="1"/>
    <col min="7184" max="7184" width="55" style="53" bestFit="1" customWidth="1"/>
    <col min="7185" max="7185" width="42.46484375" style="53" customWidth="1"/>
    <col min="7186" max="7186" width="11.86328125" style="53" customWidth="1"/>
    <col min="7187" max="7187" width="8.19921875" style="53" customWidth="1"/>
    <col min="7188" max="7188" width="12" style="53" customWidth="1"/>
    <col min="7189" max="7189" width="11.86328125" style="53" customWidth="1"/>
    <col min="7190" max="7190" width="12.46484375" style="53" customWidth="1"/>
    <col min="7191" max="7191" width="10.6640625" style="53" bestFit="1" customWidth="1"/>
    <col min="7192" max="7192" width="11" style="53" customWidth="1"/>
    <col min="7193" max="7194" width="10.6640625" style="53" customWidth="1"/>
    <col min="7195" max="7196" width="8.19921875" style="53" customWidth="1"/>
    <col min="7197" max="7207" width="9.46484375" style="53" customWidth="1"/>
    <col min="7208" max="7437" width="8.86328125" style="53"/>
    <col min="7438" max="7438" width="4.46484375" style="53" customWidth="1"/>
    <col min="7439" max="7439" width="25.86328125" style="53" customWidth="1"/>
    <col min="7440" max="7440" width="55" style="53" bestFit="1" customWidth="1"/>
    <col min="7441" max="7441" width="42.46484375" style="53" customWidth="1"/>
    <col min="7442" max="7442" width="11.86328125" style="53" customWidth="1"/>
    <col min="7443" max="7443" width="8.19921875" style="53" customWidth="1"/>
    <col min="7444" max="7444" width="12" style="53" customWidth="1"/>
    <col min="7445" max="7445" width="11.86328125" style="53" customWidth="1"/>
    <col min="7446" max="7446" width="12.46484375" style="53" customWidth="1"/>
    <col min="7447" max="7447" width="10.6640625" style="53" bestFit="1" customWidth="1"/>
    <col min="7448" max="7448" width="11" style="53" customWidth="1"/>
    <col min="7449" max="7450" width="10.6640625" style="53" customWidth="1"/>
    <col min="7451" max="7452" width="8.19921875" style="53" customWidth="1"/>
    <col min="7453" max="7463" width="9.46484375" style="53" customWidth="1"/>
    <col min="7464" max="7693" width="8.86328125" style="53"/>
    <col min="7694" max="7694" width="4.46484375" style="53" customWidth="1"/>
    <col min="7695" max="7695" width="25.86328125" style="53" customWidth="1"/>
    <col min="7696" max="7696" width="55" style="53" bestFit="1" customWidth="1"/>
    <col min="7697" max="7697" width="42.46484375" style="53" customWidth="1"/>
    <col min="7698" max="7698" width="11.86328125" style="53" customWidth="1"/>
    <col min="7699" max="7699" width="8.19921875" style="53" customWidth="1"/>
    <col min="7700" max="7700" width="12" style="53" customWidth="1"/>
    <col min="7701" max="7701" width="11.86328125" style="53" customWidth="1"/>
    <col min="7702" max="7702" width="12.46484375" style="53" customWidth="1"/>
    <col min="7703" max="7703" width="10.6640625" style="53" bestFit="1" customWidth="1"/>
    <col min="7704" max="7704" width="11" style="53" customWidth="1"/>
    <col min="7705" max="7706" width="10.6640625" style="53" customWidth="1"/>
    <col min="7707" max="7708" width="8.19921875" style="53" customWidth="1"/>
    <col min="7709" max="7719" width="9.46484375" style="53" customWidth="1"/>
    <col min="7720" max="7949" width="8.86328125" style="53"/>
    <col min="7950" max="7950" width="4.46484375" style="53" customWidth="1"/>
    <col min="7951" max="7951" width="25.86328125" style="53" customWidth="1"/>
    <col min="7952" max="7952" width="55" style="53" bestFit="1" customWidth="1"/>
    <col min="7953" max="7953" width="42.46484375" style="53" customWidth="1"/>
    <col min="7954" max="7954" width="11.86328125" style="53" customWidth="1"/>
    <col min="7955" max="7955" width="8.19921875" style="53" customWidth="1"/>
    <col min="7956" max="7956" width="12" style="53" customWidth="1"/>
    <col min="7957" max="7957" width="11.86328125" style="53" customWidth="1"/>
    <col min="7958" max="7958" width="12.46484375" style="53" customWidth="1"/>
    <col min="7959" max="7959" width="10.6640625" style="53" bestFit="1" customWidth="1"/>
    <col min="7960" max="7960" width="11" style="53" customWidth="1"/>
    <col min="7961" max="7962" width="10.6640625" style="53" customWidth="1"/>
    <col min="7963" max="7964" width="8.19921875" style="53" customWidth="1"/>
    <col min="7965" max="7975" width="9.46484375" style="53" customWidth="1"/>
    <col min="7976" max="8205" width="8.86328125" style="53"/>
    <col min="8206" max="8206" width="4.46484375" style="53" customWidth="1"/>
    <col min="8207" max="8207" width="25.86328125" style="53" customWidth="1"/>
    <col min="8208" max="8208" width="55" style="53" bestFit="1" customWidth="1"/>
    <col min="8209" max="8209" width="42.46484375" style="53" customWidth="1"/>
    <col min="8210" max="8210" width="11.86328125" style="53" customWidth="1"/>
    <col min="8211" max="8211" width="8.19921875" style="53" customWidth="1"/>
    <col min="8212" max="8212" width="12" style="53" customWidth="1"/>
    <col min="8213" max="8213" width="11.86328125" style="53" customWidth="1"/>
    <col min="8214" max="8214" width="12.46484375" style="53" customWidth="1"/>
    <col min="8215" max="8215" width="10.6640625" style="53" bestFit="1" customWidth="1"/>
    <col min="8216" max="8216" width="11" style="53" customWidth="1"/>
    <col min="8217" max="8218" width="10.6640625" style="53" customWidth="1"/>
    <col min="8219" max="8220" width="8.19921875" style="53" customWidth="1"/>
    <col min="8221" max="8231" width="9.46484375" style="53" customWidth="1"/>
    <col min="8232" max="8461" width="8.86328125" style="53"/>
    <col min="8462" max="8462" width="4.46484375" style="53" customWidth="1"/>
    <col min="8463" max="8463" width="25.86328125" style="53" customWidth="1"/>
    <col min="8464" max="8464" width="55" style="53" bestFit="1" customWidth="1"/>
    <col min="8465" max="8465" width="42.46484375" style="53" customWidth="1"/>
    <col min="8466" max="8466" width="11.86328125" style="53" customWidth="1"/>
    <col min="8467" max="8467" width="8.19921875" style="53" customWidth="1"/>
    <col min="8468" max="8468" width="12" style="53" customWidth="1"/>
    <col min="8469" max="8469" width="11.86328125" style="53" customWidth="1"/>
    <col min="8470" max="8470" width="12.46484375" style="53" customWidth="1"/>
    <col min="8471" max="8471" width="10.6640625" style="53" bestFit="1" customWidth="1"/>
    <col min="8472" max="8472" width="11" style="53" customWidth="1"/>
    <col min="8473" max="8474" width="10.6640625" style="53" customWidth="1"/>
    <col min="8475" max="8476" width="8.19921875" style="53" customWidth="1"/>
    <col min="8477" max="8487" width="9.46484375" style="53" customWidth="1"/>
    <col min="8488" max="8717" width="8.86328125" style="53"/>
    <col min="8718" max="8718" width="4.46484375" style="53" customWidth="1"/>
    <col min="8719" max="8719" width="25.86328125" style="53" customWidth="1"/>
    <col min="8720" max="8720" width="55" style="53" bestFit="1" customWidth="1"/>
    <col min="8721" max="8721" width="42.46484375" style="53" customWidth="1"/>
    <col min="8722" max="8722" width="11.86328125" style="53" customWidth="1"/>
    <col min="8723" max="8723" width="8.19921875" style="53" customWidth="1"/>
    <col min="8724" max="8724" width="12" style="53" customWidth="1"/>
    <col min="8725" max="8725" width="11.86328125" style="53" customWidth="1"/>
    <col min="8726" max="8726" width="12.46484375" style="53" customWidth="1"/>
    <col min="8727" max="8727" width="10.6640625" style="53" bestFit="1" customWidth="1"/>
    <col min="8728" max="8728" width="11" style="53" customWidth="1"/>
    <col min="8729" max="8730" width="10.6640625" style="53" customWidth="1"/>
    <col min="8731" max="8732" width="8.19921875" style="53" customWidth="1"/>
    <col min="8733" max="8743" width="9.46484375" style="53" customWidth="1"/>
    <col min="8744" max="8973" width="8.86328125" style="53"/>
    <col min="8974" max="8974" width="4.46484375" style="53" customWidth="1"/>
    <col min="8975" max="8975" width="25.86328125" style="53" customWidth="1"/>
    <col min="8976" max="8976" width="55" style="53" bestFit="1" customWidth="1"/>
    <col min="8977" max="8977" width="42.46484375" style="53" customWidth="1"/>
    <col min="8978" max="8978" width="11.86328125" style="53" customWidth="1"/>
    <col min="8979" max="8979" width="8.19921875" style="53" customWidth="1"/>
    <col min="8980" max="8980" width="12" style="53" customWidth="1"/>
    <col min="8981" max="8981" width="11.86328125" style="53" customWidth="1"/>
    <col min="8982" max="8982" width="12.46484375" style="53" customWidth="1"/>
    <col min="8983" max="8983" width="10.6640625" style="53" bestFit="1" customWidth="1"/>
    <col min="8984" max="8984" width="11" style="53" customWidth="1"/>
    <col min="8985" max="8986" width="10.6640625" style="53" customWidth="1"/>
    <col min="8987" max="8988" width="8.19921875" style="53" customWidth="1"/>
    <col min="8989" max="8999" width="9.46484375" style="53" customWidth="1"/>
    <col min="9000" max="9229" width="8.86328125" style="53"/>
    <col min="9230" max="9230" width="4.46484375" style="53" customWidth="1"/>
    <col min="9231" max="9231" width="25.86328125" style="53" customWidth="1"/>
    <col min="9232" max="9232" width="55" style="53" bestFit="1" customWidth="1"/>
    <col min="9233" max="9233" width="42.46484375" style="53" customWidth="1"/>
    <col min="9234" max="9234" width="11.86328125" style="53" customWidth="1"/>
    <col min="9235" max="9235" width="8.19921875" style="53" customWidth="1"/>
    <col min="9236" max="9236" width="12" style="53" customWidth="1"/>
    <col min="9237" max="9237" width="11.86328125" style="53" customWidth="1"/>
    <col min="9238" max="9238" width="12.46484375" style="53" customWidth="1"/>
    <col min="9239" max="9239" width="10.6640625" style="53" bestFit="1" customWidth="1"/>
    <col min="9240" max="9240" width="11" style="53" customWidth="1"/>
    <col min="9241" max="9242" width="10.6640625" style="53" customWidth="1"/>
    <col min="9243" max="9244" width="8.19921875" style="53" customWidth="1"/>
    <col min="9245" max="9255" width="9.46484375" style="53" customWidth="1"/>
    <col min="9256" max="9485" width="8.86328125" style="53"/>
    <col min="9486" max="9486" width="4.46484375" style="53" customWidth="1"/>
    <col min="9487" max="9487" width="25.86328125" style="53" customWidth="1"/>
    <col min="9488" max="9488" width="55" style="53" bestFit="1" customWidth="1"/>
    <col min="9489" max="9489" width="42.46484375" style="53" customWidth="1"/>
    <col min="9490" max="9490" width="11.86328125" style="53" customWidth="1"/>
    <col min="9491" max="9491" width="8.19921875" style="53" customWidth="1"/>
    <col min="9492" max="9492" width="12" style="53" customWidth="1"/>
    <col min="9493" max="9493" width="11.86328125" style="53" customWidth="1"/>
    <col min="9494" max="9494" width="12.46484375" style="53" customWidth="1"/>
    <col min="9495" max="9495" width="10.6640625" style="53" bestFit="1" customWidth="1"/>
    <col min="9496" max="9496" width="11" style="53" customWidth="1"/>
    <col min="9497" max="9498" width="10.6640625" style="53" customWidth="1"/>
    <col min="9499" max="9500" width="8.19921875" style="53" customWidth="1"/>
    <col min="9501" max="9511" width="9.46484375" style="53" customWidth="1"/>
    <col min="9512" max="9741" width="8.86328125" style="53"/>
    <col min="9742" max="9742" width="4.46484375" style="53" customWidth="1"/>
    <col min="9743" max="9743" width="25.86328125" style="53" customWidth="1"/>
    <col min="9744" max="9744" width="55" style="53" bestFit="1" customWidth="1"/>
    <col min="9745" max="9745" width="42.46484375" style="53" customWidth="1"/>
    <col min="9746" max="9746" width="11.86328125" style="53" customWidth="1"/>
    <col min="9747" max="9747" width="8.19921875" style="53" customWidth="1"/>
    <col min="9748" max="9748" width="12" style="53" customWidth="1"/>
    <col min="9749" max="9749" width="11.86328125" style="53" customWidth="1"/>
    <col min="9750" max="9750" width="12.46484375" style="53" customWidth="1"/>
    <col min="9751" max="9751" width="10.6640625" style="53" bestFit="1" customWidth="1"/>
    <col min="9752" max="9752" width="11" style="53" customWidth="1"/>
    <col min="9753" max="9754" width="10.6640625" style="53" customWidth="1"/>
    <col min="9755" max="9756" width="8.19921875" style="53" customWidth="1"/>
    <col min="9757" max="9767" width="9.46484375" style="53" customWidth="1"/>
    <col min="9768" max="9997" width="8.86328125" style="53"/>
    <col min="9998" max="9998" width="4.46484375" style="53" customWidth="1"/>
    <col min="9999" max="9999" width="25.86328125" style="53" customWidth="1"/>
    <col min="10000" max="10000" width="55" style="53" bestFit="1" customWidth="1"/>
    <col min="10001" max="10001" width="42.46484375" style="53" customWidth="1"/>
    <col min="10002" max="10002" width="11.86328125" style="53" customWidth="1"/>
    <col min="10003" max="10003" width="8.19921875" style="53" customWidth="1"/>
    <col min="10004" max="10004" width="12" style="53" customWidth="1"/>
    <col min="10005" max="10005" width="11.86328125" style="53" customWidth="1"/>
    <col min="10006" max="10006" width="12.46484375" style="53" customWidth="1"/>
    <col min="10007" max="10007" width="10.6640625" style="53" bestFit="1" customWidth="1"/>
    <col min="10008" max="10008" width="11" style="53" customWidth="1"/>
    <col min="10009" max="10010" width="10.6640625" style="53" customWidth="1"/>
    <col min="10011" max="10012" width="8.19921875" style="53" customWidth="1"/>
    <col min="10013" max="10023" width="9.46484375" style="53" customWidth="1"/>
    <col min="10024" max="10253" width="8.86328125" style="53"/>
    <col min="10254" max="10254" width="4.46484375" style="53" customWidth="1"/>
    <col min="10255" max="10255" width="25.86328125" style="53" customWidth="1"/>
    <col min="10256" max="10256" width="55" style="53" bestFit="1" customWidth="1"/>
    <col min="10257" max="10257" width="42.46484375" style="53" customWidth="1"/>
    <col min="10258" max="10258" width="11.86328125" style="53" customWidth="1"/>
    <col min="10259" max="10259" width="8.19921875" style="53" customWidth="1"/>
    <col min="10260" max="10260" width="12" style="53" customWidth="1"/>
    <col min="10261" max="10261" width="11.86328125" style="53" customWidth="1"/>
    <col min="10262" max="10262" width="12.46484375" style="53" customWidth="1"/>
    <col min="10263" max="10263" width="10.6640625" style="53" bestFit="1" customWidth="1"/>
    <col min="10264" max="10264" width="11" style="53" customWidth="1"/>
    <col min="10265" max="10266" width="10.6640625" style="53" customWidth="1"/>
    <col min="10267" max="10268" width="8.19921875" style="53" customWidth="1"/>
    <col min="10269" max="10279" width="9.46484375" style="53" customWidth="1"/>
    <col min="10280" max="10509" width="8.86328125" style="53"/>
    <col min="10510" max="10510" width="4.46484375" style="53" customWidth="1"/>
    <col min="10511" max="10511" width="25.86328125" style="53" customWidth="1"/>
    <col min="10512" max="10512" width="55" style="53" bestFit="1" customWidth="1"/>
    <col min="10513" max="10513" width="42.46484375" style="53" customWidth="1"/>
    <col min="10514" max="10514" width="11.86328125" style="53" customWidth="1"/>
    <col min="10515" max="10515" width="8.19921875" style="53" customWidth="1"/>
    <col min="10516" max="10516" width="12" style="53" customWidth="1"/>
    <col min="10517" max="10517" width="11.86328125" style="53" customWidth="1"/>
    <col min="10518" max="10518" width="12.46484375" style="53" customWidth="1"/>
    <col min="10519" max="10519" width="10.6640625" style="53" bestFit="1" customWidth="1"/>
    <col min="10520" max="10520" width="11" style="53" customWidth="1"/>
    <col min="10521" max="10522" width="10.6640625" style="53" customWidth="1"/>
    <col min="10523" max="10524" width="8.19921875" style="53" customWidth="1"/>
    <col min="10525" max="10535" width="9.46484375" style="53" customWidth="1"/>
    <col min="10536" max="10765" width="8.86328125" style="53"/>
    <col min="10766" max="10766" width="4.46484375" style="53" customWidth="1"/>
    <col min="10767" max="10767" width="25.86328125" style="53" customWidth="1"/>
    <col min="10768" max="10768" width="55" style="53" bestFit="1" customWidth="1"/>
    <col min="10769" max="10769" width="42.46484375" style="53" customWidth="1"/>
    <col min="10770" max="10770" width="11.86328125" style="53" customWidth="1"/>
    <col min="10771" max="10771" width="8.19921875" style="53" customWidth="1"/>
    <col min="10772" max="10772" width="12" style="53" customWidth="1"/>
    <col min="10773" max="10773" width="11.86328125" style="53" customWidth="1"/>
    <col min="10774" max="10774" width="12.46484375" style="53" customWidth="1"/>
    <col min="10775" max="10775" width="10.6640625" style="53" bestFit="1" customWidth="1"/>
    <col min="10776" max="10776" width="11" style="53" customWidth="1"/>
    <col min="10777" max="10778" width="10.6640625" style="53" customWidth="1"/>
    <col min="10779" max="10780" width="8.19921875" style="53" customWidth="1"/>
    <col min="10781" max="10791" width="9.46484375" style="53" customWidth="1"/>
    <col min="10792" max="11021" width="8.86328125" style="53"/>
    <col min="11022" max="11022" width="4.46484375" style="53" customWidth="1"/>
    <col min="11023" max="11023" width="25.86328125" style="53" customWidth="1"/>
    <col min="11024" max="11024" width="55" style="53" bestFit="1" customWidth="1"/>
    <col min="11025" max="11025" width="42.46484375" style="53" customWidth="1"/>
    <col min="11026" max="11026" width="11.86328125" style="53" customWidth="1"/>
    <col min="11027" max="11027" width="8.19921875" style="53" customWidth="1"/>
    <col min="11028" max="11028" width="12" style="53" customWidth="1"/>
    <col min="11029" max="11029" width="11.86328125" style="53" customWidth="1"/>
    <col min="11030" max="11030" width="12.46484375" style="53" customWidth="1"/>
    <col min="11031" max="11031" width="10.6640625" style="53" bestFit="1" customWidth="1"/>
    <col min="11032" max="11032" width="11" style="53" customWidth="1"/>
    <col min="11033" max="11034" width="10.6640625" style="53" customWidth="1"/>
    <col min="11035" max="11036" width="8.19921875" style="53" customWidth="1"/>
    <col min="11037" max="11047" width="9.46484375" style="53" customWidth="1"/>
    <col min="11048" max="11277" width="8.86328125" style="53"/>
    <col min="11278" max="11278" width="4.46484375" style="53" customWidth="1"/>
    <col min="11279" max="11279" width="25.86328125" style="53" customWidth="1"/>
    <col min="11280" max="11280" width="55" style="53" bestFit="1" customWidth="1"/>
    <col min="11281" max="11281" width="42.46484375" style="53" customWidth="1"/>
    <col min="11282" max="11282" width="11.86328125" style="53" customWidth="1"/>
    <col min="11283" max="11283" width="8.19921875" style="53" customWidth="1"/>
    <col min="11284" max="11284" width="12" style="53" customWidth="1"/>
    <col min="11285" max="11285" width="11.86328125" style="53" customWidth="1"/>
    <col min="11286" max="11286" width="12.46484375" style="53" customWidth="1"/>
    <col min="11287" max="11287" width="10.6640625" style="53" bestFit="1" customWidth="1"/>
    <col min="11288" max="11288" width="11" style="53" customWidth="1"/>
    <col min="11289" max="11290" width="10.6640625" style="53" customWidth="1"/>
    <col min="11291" max="11292" width="8.19921875" style="53" customWidth="1"/>
    <col min="11293" max="11303" width="9.46484375" style="53" customWidth="1"/>
    <col min="11304" max="11533" width="8.86328125" style="53"/>
    <col min="11534" max="11534" width="4.46484375" style="53" customWidth="1"/>
    <col min="11535" max="11535" width="25.86328125" style="53" customWidth="1"/>
    <col min="11536" max="11536" width="55" style="53" bestFit="1" customWidth="1"/>
    <col min="11537" max="11537" width="42.46484375" style="53" customWidth="1"/>
    <col min="11538" max="11538" width="11.86328125" style="53" customWidth="1"/>
    <col min="11539" max="11539" width="8.19921875" style="53" customWidth="1"/>
    <col min="11540" max="11540" width="12" style="53" customWidth="1"/>
    <col min="11541" max="11541" width="11.86328125" style="53" customWidth="1"/>
    <col min="11542" max="11542" width="12.46484375" style="53" customWidth="1"/>
    <col min="11543" max="11543" width="10.6640625" style="53" bestFit="1" customWidth="1"/>
    <col min="11544" max="11544" width="11" style="53" customWidth="1"/>
    <col min="11545" max="11546" width="10.6640625" style="53" customWidth="1"/>
    <col min="11547" max="11548" width="8.19921875" style="53" customWidth="1"/>
    <col min="11549" max="11559" width="9.46484375" style="53" customWidth="1"/>
    <col min="11560" max="11789" width="8.86328125" style="53"/>
    <col min="11790" max="11790" width="4.46484375" style="53" customWidth="1"/>
    <col min="11791" max="11791" width="25.86328125" style="53" customWidth="1"/>
    <col min="11792" max="11792" width="55" style="53" bestFit="1" customWidth="1"/>
    <col min="11793" max="11793" width="42.46484375" style="53" customWidth="1"/>
    <col min="11794" max="11794" width="11.86328125" style="53" customWidth="1"/>
    <col min="11795" max="11795" width="8.19921875" style="53" customWidth="1"/>
    <col min="11796" max="11796" width="12" style="53" customWidth="1"/>
    <col min="11797" max="11797" width="11.86328125" style="53" customWidth="1"/>
    <col min="11798" max="11798" width="12.46484375" style="53" customWidth="1"/>
    <col min="11799" max="11799" width="10.6640625" style="53" bestFit="1" customWidth="1"/>
    <col min="11800" max="11800" width="11" style="53" customWidth="1"/>
    <col min="11801" max="11802" width="10.6640625" style="53" customWidth="1"/>
    <col min="11803" max="11804" width="8.19921875" style="53" customWidth="1"/>
    <col min="11805" max="11815" width="9.46484375" style="53" customWidth="1"/>
    <col min="11816" max="12045" width="8.86328125" style="53"/>
    <col min="12046" max="12046" width="4.46484375" style="53" customWidth="1"/>
    <col min="12047" max="12047" width="25.86328125" style="53" customWidth="1"/>
    <col min="12048" max="12048" width="55" style="53" bestFit="1" customWidth="1"/>
    <col min="12049" max="12049" width="42.46484375" style="53" customWidth="1"/>
    <col min="12050" max="12050" width="11.86328125" style="53" customWidth="1"/>
    <col min="12051" max="12051" width="8.19921875" style="53" customWidth="1"/>
    <col min="12052" max="12052" width="12" style="53" customWidth="1"/>
    <col min="12053" max="12053" width="11.86328125" style="53" customWidth="1"/>
    <col min="12054" max="12054" width="12.46484375" style="53" customWidth="1"/>
    <col min="12055" max="12055" width="10.6640625" style="53" bestFit="1" customWidth="1"/>
    <col min="12056" max="12056" width="11" style="53" customWidth="1"/>
    <col min="12057" max="12058" width="10.6640625" style="53" customWidth="1"/>
    <col min="12059" max="12060" width="8.19921875" style="53" customWidth="1"/>
    <col min="12061" max="12071" width="9.46484375" style="53" customWidth="1"/>
    <col min="12072" max="12301" width="8.86328125" style="53"/>
    <col min="12302" max="12302" width="4.46484375" style="53" customWidth="1"/>
    <col min="12303" max="12303" width="25.86328125" style="53" customWidth="1"/>
    <col min="12304" max="12304" width="55" style="53" bestFit="1" customWidth="1"/>
    <col min="12305" max="12305" width="42.46484375" style="53" customWidth="1"/>
    <col min="12306" max="12306" width="11.86328125" style="53" customWidth="1"/>
    <col min="12307" max="12307" width="8.19921875" style="53" customWidth="1"/>
    <col min="12308" max="12308" width="12" style="53" customWidth="1"/>
    <col min="12309" max="12309" width="11.86328125" style="53" customWidth="1"/>
    <col min="12310" max="12310" width="12.46484375" style="53" customWidth="1"/>
    <col min="12311" max="12311" width="10.6640625" style="53" bestFit="1" customWidth="1"/>
    <col min="12312" max="12312" width="11" style="53" customWidth="1"/>
    <col min="12313" max="12314" width="10.6640625" style="53" customWidth="1"/>
    <col min="12315" max="12316" width="8.19921875" style="53" customWidth="1"/>
    <col min="12317" max="12327" width="9.46484375" style="53" customWidth="1"/>
    <col min="12328" max="12557" width="8.86328125" style="53"/>
    <col min="12558" max="12558" width="4.46484375" style="53" customWidth="1"/>
    <col min="12559" max="12559" width="25.86328125" style="53" customWidth="1"/>
    <col min="12560" max="12560" width="55" style="53" bestFit="1" customWidth="1"/>
    <col min="12561" max="12561" width="42.46484375" style="53" customWidth="1"/>
    <col min="12562" max="12562" width="11.86328125" style="53" customWidth="1"/>
    <col min="12563" max="12563" width="8.19921875" style="53" customWidth="1"/>
    <col min="12564" max="12564" width="12" style="53" customWidth="1"/>
    <col min="12565" max="12565" width="11.86328125" style="53" customWidth="1"/>
    <col min="12566" max="12566" width="12.46484375" style="53" customWidth="1"/>
    <col min="12567" max="12567" width="10.6640625" style="53" bestFit="1" customWidth="1"/>
    <col min="12568" max="12568" width="11" style="53" customWidth="1"/>
    <col min="12569" max="12570" width="10.6640625" style="53" customWidth="1"/>
    <col min="12571" max="12572" width="8.19921875" style="53" customWidth="1"/>
    <col min="12573" max="12583" width="9.46484375" style="53" customWidth="1"/>
    <col min="12584" max="12813" width="8.86328125" style="53"/>
    <col min="12814" max="12814" width="4.46484375" style="53" customWidth="1"/>
    <col min="12815" max="12815" width="25.86328125" style="53" customWidth="1"/>
    <col min="12816" max="12816" width="55" style="53" bestFit="1" customWidth="1"/>
    <col min="12817" max="12817" width="42.46484375" style="53" customWidth="1"/>
    <col min="12818" max="12818" width="11.86328125" style="53" customWidth="1"/>
    <col min="12819" max="12819" width="8.19921875" style="53" customWidth="1"/>
    <col min="12820" max="12820" width="12" style="53" customWidth="1"/>
    <col min="12821" max="12821" width="11.86328125" style="53" customWidth="1"/>
    <col min="12822" max="12822" width="12.46484375" style="53" customWidth="1"/>
    <col min="12823" max="12823" width="10.6640625" style="53" bestFit="1" customWidth="1"/>
    <col min="12824" max="12824" width="11" style="53" customWidth="1"/>
    <col min="12825" max="12826" width="10.6640625" style="53" customWidth="1"/>
    <col min="12827" max="12828" width="8.19921875" style="53" customWidth="1"/>
    <col min="12829" max="12839" width="9.46484375" style="53" customWidth="1"/>
    <col min="12840" max="13069" width="8.86328125" style="53"/>
    <col min="13070" max="13070" width="4.46484375" style="53" customWidth="1"/>
    <col min="13071" max="13071" width="25.86328125" style="53" customWidth="1"/>
    <col min="13072" max="13072" width="55" style="53" bestFit="1" customWidth="1"/>
    <col min="13073" max="13073" width="42.46484375" style="53" customWidth="1"/>
    <col min="13074" max="13074" width="11.86328125" style="53" customWidth="1"/>
    <col min="13075" max="13075" width="8.19921875" style="53" customWidth="1"/>
    <col min="13076" max="13076" width="12" style="53" customWidth="1"/>
    <col min="13077" max="13077" width="11.86328125" style="53" customWidth="1"/>
    <col min="13078" max="13078" width="12.46484375" style="53" customWidth="1"/>
    <col min="13079" max="13079" width="10.6640625" style="53" bestFit="1" customWidth="1"/>
    <col min="13080" max="13080" width="11" style="53" customWidth="1"/>
    <col min="13081" max="13082" width="10.6640625" style="53" customWidth="1"/>
    <col min="13083" max="13084" width="8.19921875" style="53" customWidth="1"/>
    <col min="13085" max="13095" width="9.46484375" style="53" customWidth="1"/>
    <col min="13096" max="13325" width="8.86328125" style="53"/>
    <col min="13326" max="13326" width="4.46484375" style="53" customWidth="1"/>
    <col min="13327" max="13327" width="25.86328125" style="53" customWidth="1"/>
    <col min="13328" max="13328" width="55" style="53" bestFit="1" customWidth="1"/>
    <col min="13329" max="13329" width="42.46484375" style="53" customWidth="1"/>
    <col min="13330" max="13330" width="11.86328125" style="53" customWidth="1"/>
    <col min="13331" max="13331" width="8.19921875" style="53" customWidth="1"/>
    <col min="13332" max="13332" width="12" style="53" customWidth="1"/>
    <col min="13333" max="13333" width="11.86328125" style="53" customWidth="1"/>
    <col min="13334" max="13334" width="12.46484375" style="53" customWidth="1"/>
    <col min="13335" max="13335" width="10.6640625" style="53" bestFit="1" customWidth="1"/>
    <col min="13336" max="13336" width="11" style="53" customWidth="1"/>
    <col min="13337" max="13338" width="10.6640625" style="53" customWidth="1"/>
    <col min="13339" max="13340" width="8.19921875" style="53" customWidth="1"/>
    <col min="13341" max="13351" width="9.46484375" style="53" customWidth="1"/>
    <col min="13352" max="13581" width="8.86328125" style="53"/>
    <col min="13582" max="13582" width="4.46484375" style="53" customWidth="1"/>
    <col min="13583" max="13583" width="25.86328125" style="53" customWidth="1"/>
    <col min="13584" max="13584" width="55" style="53" bestFit="1" customWidth="1"/>
    <col min="13585" max="13585" width="42.46484375" style="53" customWidth="1"/>
    <col min="13586" max="13586" width="11.86328125" style="53" customWidth="1"/>
    <col min="13587" max="13587" width="8.19921875" style="53" customWidth="1"/>
    <col min="13588" max="13588" width="12" style="53" customWidth="1"/>
    <col min="13589" max="13589" width="11.86328125" style="53" customWidth="1"/>
    <col min="13590" max="13590" width="12.46484375" style="53" customWidth="1"/>
    <col min="13591" max="13591" width="10.6640625" style="53" bestFit="1" customWidth="1"/>
    <col min="13592" max="13592" width="11" style="53" customWidth="1"/>
    <col min="13593" max="13594" width="10.6640625" style="53" customWidth="1"/>
    <col min="13595" max="13596" width="8.19921875" style="53" customWidth="1"/>
    <col min="13597" max="13607" width="9.46484375" style="53" customWidth="1"/>
    <col min="13608" max="13837" width="8.86328125" style="53"/>
    <col min="13838" max="13838" width="4.46484375" style="53" customWidth="1"/>
    <col min="13839" max="13839" width="25.86328125" style="53" customWidth="1"/>
    <col min="13840" max="13840" width="55" style="53" bestFit="1" customWidth="1"/>
    <col min="13841" max="13841" width="42.46484375" style="53" customWidth="1"/>
    <col min="13842" max="13842" width="11.86328125" style="53" customWidth="1"/>
    <col min="13843" max="13843" width="8.19921875" style="53" customWidth="1"/>
    <col min="13844" max="13844" width="12" style="53" customWidth="1"/>
    <col min="13845" max="13845" width="11.86328125" style="53" customWidth="1"/>
    <col min="13846" max="13846" width="12.46484375" style="53" customWidth="1"/>
    <col min="13847" max="13847" width="10.6640625" style="53" bestFit="1" customWidth="1"/>
    <col min="13848" max="13848" width="11" style="53" customWidth="1"/>
    <col min="13849" max="13850" width="10.6640625" style="53" customWidth="1"/>
    <col min="13851" max="13852" width="8.19921875" style="53" customWidth="1"/>
    <col min="13853" max="13863" width="9.46484375" style="53" customWidth="1"/>
    <col min="13864" max="14093" width="8.86328125" style="53"/>
    <col min="14094" max="14094" width="4.46484375" style="53" customWidth="1"/>
    <col min="14095" max="14095" width="25.86328125" style="53" customWidth="1"/>
    <col min="14096" max="14096" width="55" style="53" bestFit="1" customWidth="1"/>
    <col min="14097" max="14097" width="42.46484375" style="53" customWidth="1"/>
    <col min="14098" max="14098" width="11.86328125" style="53" customWidth="1"/>
    <col min="14099" max="14099" width="8.19921875" style="53" customWidth="1"/>
    <col min="14100" max="14100" width="12" style="53" customWidth="1"/>
    <col min="14101" max="14101" width="11.86328125" style="53" customWidth="1"/>
    <col min="14102" max="14102" width="12.46484375" style="53" customWidth="1"/>
    <col min="14103" max="14103" width="10.6640625" style="53" bestFit="1" customWidth="1"/>
    <col min="14104" max="14104" width="11" style="53" customWidth="1"/>
    <col min="14105" max="14106" width="10.6640625" style="53" customWidth="1"/>
    <col min="14107" max="14108" width="8.19921875" style="53" customWidth="1"/>
    <col min="14109" max="14119" width="9.46484375" style="53" customWidth="1"/>
    <col min="14120" max="14349" width="8.86328125" style="53"/>
    <col min="14350" max="14350" width="4.46484375" style="53" customWidth="1"/>
    <col min="14351" max="14351" width="25.86328125" style="53" customWidth="1"/>
    <col min="14352" max="14352" width="55" style="53" bestFit="1" customWidth="1"/>
    <col min="14353" max="14353" width="42.46484375" style="53" customWidth="1"/>
    <col min="14354" max="14354" width="11.86328125" style="53" customWidth="1"/>
    <col min="14355" max="14355" width="8.19921875" style="53" customWidth="1"/>
    <col min="14356" max="14356" width="12" style="53" customWidth="1"/>
    <col min="14357" max="14357" width="11.86328125" style="53" customWidth="1"/>
    <col min="14358" max="14358" width="12.46484375" style="53" customWidth="1"/>
    <col min="14359" max="14359" width="10.6640625" style="53" bestFit="1" customWidth="1"/>
    <col min="14360" max="14360" width="11" style="53" customWidth="1"/>
    <col min="14361" max="14362" width="10.6640625" style="53" customWidth="1"/>
    <col min="14363" max="14364" width="8.19921875" style="53" customWidth="1"/>
    <col min="14365" max="14375" width="9.46484375" style="53" customWidth="1"/>
    <col min="14376" max="14605" width="8.86328125" style="53"/>
    <col min="14606" max="14606" width="4.46484375" style="53" customWidth="1"/>
    <col min="14607" max="14607" width="25.86328125" style="53" customWidth="1"/>
    <col min="14608" max="14608" width="55" style="53" bestFit="1" customWidth="1"/>
    <col min="14609" max="14609" width="42.46484375" style="53" customWidth="1"/>
    <col min="14610" max="14610" width="11.86328125" style="53" customWidth="1"/>
    <col min="14611" max="14611" width="8.19921875" style="53" customWidth="1"/>
    <col min="14612" max="14612" width="12" style="53" customWidth="1"/>
    <col min="14613" max="14613" width="11.86328125" style="53" customWidth="1"/>
    <col min="14614" max="14614" width="12.46484375" style="53" customWidth="1"/>
    <col min="14615" max="14615" width="10.6640625" style="53" bestFit="1" customWidth="1"/>
    <col min="14616" max="14616" width="11" style="53" customWidth="1"/>
    <col min="14617" max="14618" width="10.6640625" style="53" customWidth="1"/>
    <col min="14619" max="14620" width="8.19921875" style="53" customWidth="1"/>
    <col min="14621" max="14631" width="9.46484375" style="53" customWidth="1"/>
    <col min="14632" max="14861" width="8.86328125" style="53"/>
    <col min="14862" max="14862" width="4.46484375" style="53" customWidth="1"/>
    <col min="14863" max="14863" width="25.86328125" style="53" customWidth="1"/>
    <col min="14864" max="14864" width="55" style="53" bestFit="1" customWidth="1"/>
    <col min="14865" max="14865" width="42.46484375" style="53" customWidth="1"/>
    <col min="14866" max="14866" width="11.86328125" style="53" customWidth="1"/>
    <col min="14867" max="14867" width="8.19921875" style="53" customWidth="1"/>
    <col min="14868" max="14868" width="12" style="53" customWidth="1"/>
    <col min="14869" max="14869" width="11.86328125" style="53" customWidth="1"/>
    <col min="14870" max="14870" width="12.46484375" style="53" customWidth="1"/>
    <col min="14871" max="14871" width="10.6640625" style="53" bestFit="1" customWidth="1"/>
    <col min="14872" max="14872" width="11" style="53" customWidth="1"/>
    <col min="14873" max="14874" width="10.6640625" style="53" customWidth="1"/>
    <col min="14875" max="14876" width="8.19921875" style="53" customWidth="1"/>
    <col min="14877" max="14887" width="9.46484375" style="53" customWidth="1"/>
    <col min="14888" max="15117" width="8.86328125" style="53"/>
    <col min="15118" max="15118" width="4.46484375" style="53" customWidth="1"/>
    <col min="15119" max="15119" width="25.86328125" style="53" customWidth="1"/>
    <col min="15120" max="15120" width="55" style="53" bestFit="1" customWidth="1"/>
    <col min="15121" max="15121" width="42.46484375" style="53" customWidth="1"/>
    <col min="15122" max="15122" width="11.86328125" style="53" customWidth="1"/>
    <col min="15123" max="15123" width="8.19921875" style="53" customWidth="1"/>
    <col min="15124" max="15124" width="12" style="53" customWidth="1"/>
    <col min="15125" max="15125" width="11.86328125" style="53" customWidth="1"/>
    <col min="15126" max="15126" width="12.46484375" style="53" customWidth="1"/>
    <col min="15127" max="15127" width="10.6640625" style="53" bestFit="1" customWidth="1"/>
    <col min="15128" max="15128" width="11" style="53" customWidth="1"/>
    <col min="15129" max="15130" width="10.6640625" style="53" customWidth="1"/>
    <col min="15131" max="15132" width="8.19921875" style="53" customWidth="1"/>
    <col min="15133" max="15143" width="9.46484375" style="53" customWidth="1"/>
    <col min="15144" max="15373" width="8.86328125" style="53"/>
    <col min="15374" max="15374" width="4.46484375" style="53" customWidth="1"/>
    <col min="15375" max="15375" width="25.86328125" style="53" customWidth="1"/>
    <col min="15376" max="15376" width="55" style="53" bestFit="1" customWidth="1"/>
    <col min="15377" max="15377" width="42.46484375" style="53" customWidth="1"/>
    <col min="15378" max="15378" width="11.86328125" style="53" customWidth="1"/>
    <col min="15379" max="15379" width="8.19921875" style="53" customWidth="1"/>
    <col min="15380" max="15380" width="12" style="53" customWidth="1"/>
    <col min="15381" max="15381" width="11.86328125" style="53" customWidth="1"/>
    <col min="15382" max="15382" width="12.46484375" style="53" customWidth="1"/>
    <col min="15383" max="15383" width="10.6640625" style="53" bestFit="1" customWidth="1"/>
    <col min="15384" max="15384" width="11" style="53" customWidth="1"/>
    <col min="15385" max="15386" width="10.6640625" style="53" customWidth="1"/>
    <col min="15387" max="15388" width="8.19921875" style="53" customWidth="1"/>
    <col min="15389" max="15399" width="9.46484375" style="53" customWidth="1"/>
    <col min="15400" max="15629" width="8.86328125" style="53"/>
    <col min="15630" max="15630" width="4.46484375" style="53" customWidth="1"/>
    <col min="15631" max="15631" width="25.86328125" style="53" customWidth="1"/>
    <col min="15632" max="15632" width="55" style="53" bestFit="1" customWidth="1"/>
    <col min="15633" max="15633" width="42.46484375" style="53" customWidth="1"/>
    <col min="15634" max="15634" width="11.86328125" style="53" customWidth="1"/>
    <col min="15635" max="15635" width="8.19921875" style="53" customWidth="1"/>
    <col min="15636" max="15636" width="12" style="53" customWidth="1"/>
    <col min="15637" max="15637" width="11.86328125" style="53" customWidth="1"/>
    <col min="15638" max="15638" width="12.46484375" style="53" customWidth="1"/>
    <col min="15639" max="15639" width="10.6640625" style="53" bestFit="1" customWidth="1"/>
    <col min="15640" max="15640" width="11" style="53" customWidth="1"/>
    <col min="15641" max="15642" width="10.6640625" style="53" customWidth="1"/>
    <col min="15643" max="15644" width="8.19921875" style="53" customWidth="1"/>
    <col min="15645" max="15655" width="9.46484375" style="53" customWidth="1"/>
    <col min="15656" max="15885" width="8.86328125" style="53"/>
    <col min="15886" max="15886" width="4.46484375" style="53" customWidth="1"/>
    <col min="15887" max="15887" width="25.86328125" style="53" customWidth="1"/>
    <col min="15888" max="15888" width="55" style="53" bestFit="1" customWidth="1"/>
    <col min="15889" max="15889" width="42.46484375" style="53" customWidth="1"/>
    <col min="15890" max="15890" width="11.86328125" style="53" customWidth="1"/>
    <col min="15891" max="15891" width="8.19921875" style="53" customWidth="1"/>
    <col min="15892" max="15892" width="12" style="53" customWidth="1"/>
    <col min="15893" max="15893" width="11.86328125" style="53" customWidth="1"/>
    <col min="15894" max="15894" width="12.46484375" style="53" customWidth="1"/>
    <col min="15895" max="15895" width="10.6640625" style="53" bestFit="1" customWidth="1"/>
    <col min="15896" max="15896" width="11" style="53" customWidth="1"/>
    <col min="15897" max="15898" width="10.6640625" style="53" customWidth="1"/>
    <col min="15899" max="15900" width="8.19921875" style="53" customWidth="1"/>
    <col min="15901" max="15911" width="9.46484375" style="53" customWidth="1"/>
    <col min="15912" max="16141" width="8.86328125" style="53"/>
    <col min="16142" max="16142" width="4.46484375" style="53" customWidth="1"/>
    <col min="16143" max="16143" width="25.86328125" style="53" customWidth="1"/>
    <col min="16144" max="16144" width="55" style="53" bestFit="1" customWidth="1"/>
    <col min="16145" max="16145" width="42.46484375" style="53" customWidth="1"/>
    <col min="16146" max="16146" width="11.86328125" style="53" customWidth="1"/>
    <col min="16147" max="16147" width="8.19921875" style="53" customWidth="1"/>
    <col min="16148" max="16148" width="12" style="53" customWidth="1"/>
    <col min="16149" max="16149" width="11.86328125" style="53" customWidth="1"/>
    <col min="16150" max="16150" width="12.46484375" style="53" customWidth="1"/>
    <col min="16151" max="16151" width="10.6640625" style="53" bestFit="1" customWidth="1"/>
    <col min="16152" max="16152" width="11" style="53" customWidth="1"/>
    <col min="16153" max="16154" width="10.6640625" style="53" customWidth="1"/>
    <col min="16155" max="16156" width="8.19921875" style="53" customWidth="1"/>
    <col min="16157" max="16167" width="9.46484375" style="53" customWidth="1"/>
    <col min="16168" max="16384" width="8.86328125" style="53"/>
  </cols>
  <sheetData>
    <row r="1" spans="2:59" ht="23.25">
      <c r="B1" s="17" t="s">
        <v>105</v>
      </c>
      <c r="C1" s="18"/>
    </row>
    <row r="2" spans="2:59">
      <c r="B2" s="2" t="s">
        <v>107</v>
      </c>
      <c r="C2" s="2"/>
    </row>
    <row r="3" spans="2:59">
      <c r="B3" s="2" t="s">
        <v>106</v>
      </c>
    </row>
    <row r="4" spans="2:59">
      <c r="B4" s="2" t="s">
        <v>112</v>
      </c>
      <c r="AN4" s="22"/>
    </row>
    <row r="5" spans="2:59">
      <c r="E5" s="54"/>
      <c r="F5" s="54"/>
      <c r="G5" s="55"/>
      <c r="H5" s="55"/>
    </row>
    <row r="6" spans="2:59">
      <c r="E6" s="5" t="s">
        <v>76</v>
      </c>
      <c r="F6" s="56"/>
      <c r="G6" s="55"/>
      <c r="H6" s="55"/>
      <c r="AO6" s="5" t="s">
        <v>39</v>
      </c>
      <c r="AP6" s="58"/>
      <c r="AQ6" s="59"/>
      <c r="AR6" s="59"/>
      <c r="AS6" s="59"/>
      <c r="AT6" s="59"/>
      <c r="AU6" s="59"/>
      <c r="AV6" s="59"/>
      <c r="AX6" s="5" t="s">
        <v>67</v>
      </c>
      <c r="AY6" s="14"/>
      <c r="AZ6" s="14"/>
      <c r="BA6" s="14"/>
      <c r="BB6" s="14"/>
      <c r="BC6" s="14"/>
      <c r="BD6" s="14"/>
      <c r="BE6" s="14"/>
    </row>
    <row r="7" spans="2:59" ht="39.4">
      <c r="B7" s="6" t="s">
        <v>19</v>
      </c>
      <c r="C7" s="7" t="s">
        <v>20</v>
      </c>
      <c r="D7" s="6" t="s">
        <v>21</v>
      </c>
      <c r="E7" s="6" t="s">
        <v>22</v>
      </c>
      <c r="F7" s="8" t="s">
        <v>78</v>
      </c>
      <c r="G7" s="8" t="s">
        <v>79</v>
      </c>
      <c r="H7" s="8" t="s">
        <v>80</v>
      </c>
      <c r="I7" s="8" t="s">
        <v>81</v>
      </c>
      <c r="J7" s="8" t="s">
        <v>82</v>
      </c>
      <c r="K7" s="52" t="s">
        <v>33</v>
      </c>
      <c r="L7" s="52" t="s">
        <v>23</v>
      </c>
      <c r="M7" s="52" t="s">
        <v>24</v>
      </c>
      <c r="N7" s="52" t="s">
        <v>25</v>
      </c>
      <c r="O7" s="52" t="s">
        <v>68</v>
      </c>
      <c r="P7" s="52" t="s">
        <v>69</v>
      </c>
      <c r="Q7" s="52" t="s">
        <v>26</v>
      </c>
      <c r="R7" s="52" t="s">
        <v>27</v>
      </c>
      <c r="S7" s="52" t="s">
        <v>28</v>
      </c>
      <c r="T7" s="52" t="s">
        <v>70</v>
      </c>
      <c r="U7" s="52" t="s">
        <v>71</v>
      </c>
      <c r="V7" s="52" t="s">
        <v>29</v>
      </c>
      <c r="W7" s="52" t="s">
        <v>30</v>
      </c>
      <c r="X7" s="52" t="s">
        <v>31</v>
      </c>
      <c r="Y7" s="52" t="s">
        <v>72</v>
      </c>
      <c r="Z7" s="52" t="s">
        <v>73</v>
      </c>
      <c r="AA7" s="70" t="s">
        <v>129</v>
      </c>
      <c r="AB7" s="70" t="s">
        <v>129</v>
      </c>
      <c r="AC7" s="70" t="s">
        <v>128</v>
      </c>
      <c r="AD7" s="70" t="s">
        <v>128</v>
      </c>
      <c r="AE7" s="52" t="s">
        <v>32</v>
      </c>
      <c r="AF7" s="52" t="s">
        <v>34</v>
      </c>
      <c r="AG7" s="52" t="s">
        <v>185</v>
      </c>
      <c r="AH7" s="52" t="s">
        <v>186</v>
      </c>
      <c r="AI7" s="52" t="s">
        <v>187</v>
      </c>
      <c r="AJ7" s="52" t="s">
        <v>188</v>
      </c>
      <c r="AK7" s="52" t="s">
        <v>189</v>
      </c>
      <c r="AL7" s="52" t="s">
        <v>113</v>
      </c>
      <c r="AM7" s="52" t="str">
        <f>"ENVACT_"&amp;$AY$9</f>
        <v>ENVACT_Sink_ELCCO2N</v>
      </c>
      <c r="AO7" s="7" t="s">
        <v>40</v>
      </c>
      <c r="AP7" s="7" t="s">
        <v>19</v>
      </c>
      <c r="AQ7" s="7" t="s">
        <v>41</v>
      </c>
      <c r="AR7" s="7" t="s">
        <v>42</v>
      </c>
      <c r="AS7" s="7" t="s">
        <v>43</v>
      </c>
      <c r="AT7" s="7" t="s">
        <v>44</v>
      </c>
      <c r="AU7" s="7" t="s">
        <v>45</v>
      </c>
      <c r="AV7" s="7" t="s">
        <v>46</v>
      </c>
      <c r="AX7" s="15" t="s">
        <v>53</v>
      </c>
      <c r="AY7" s="15" t="s">
        <v>54</v>
      </c>
      <c r="AZ7" s="15" t="s">
        <v>55</v>
      </c>
      <c r="BA7" s="16" t="s">
        <v>0</v>
      </c>
      <c r="BB7" s="16" t="s">
        <v>56</v>
      </c>
      <c r="BC7" s="16" t="s">
        <v>57</v>
      </c>
      <c r="BD7" s="16" t="s">
        <v>58</v>
      </c>
      <c r="BE7" s="16" t="s">
        <v>59</v>
      </c>
    </row>
    <row r="8" spans="2:59" s="57" customFormat="1" ht="30.75" customHeight="1">
      <c r="B8" s="61" t="s">
        <v>35</v>
      </c>
      <c r="C8" s="61" t="s">
        <v>36</v>
      </c>
      <c r="D8" s="61" t="s">
        <v>37</v>
      </c>
      <c r="E8" s="61" t="s">
        <v>38</v>
      </c>
      <c r="F8" s="64" t="s">
        <v>83</v>
      </c>
      <c r="G8" s="62"/>
      <c r="H8" s="62"/>
      <c r="I8" s="62"/>
      <c r="J8" s="62"/>
      <c r="K8" s="63"/>
      <c r="L8" s="64" t="s">
        <v>130</v>
      </c>
      <c r="M8" s="63"/>
      <c r="N8" s="63"/>
      <c r="O8" s="63"/>
      <c r="P8" s="63"/>
      <c r="Q8" s="64" t="s">
        <v>93</v>
      </c>
      <c r="R8" s="63"/>
      <c r="S8" s="63"/>
      <c r="T8" s="63"/>
      <c r="U8" s="63"/>
      <c r="V8" s="65" t="s">
        <v>131</v>
      </c>
      <c r="W8" s="65"/>
      <c r="X8" s="65"/>
      <c r="Y8" s="65"/>
      <c r="Z8" s="65"/>
      <c r="AA8" s="65" t="s">
        <v>126</v>
      </c>
      <c r="AB8" s="65" t="s">
        <v>127</v>
      </c>
      <c r="AC8" s="65" t="s">
        <v>126</v>
      </c>
      <c r="AD8" s="65" t="s">
        <v>127</v>
      </c>
      <c r="AE8" s="69" t="s">
        <v>77</v>
      </c>
      <c r="AF8" s="63"/>
      <c r="AG8" s="64" t="s">
        <v>1</v>
      </c>
      <c r="AH8" s="64"/>
      <c r="AI8" s="64"/>
      <c r="AJ8" s="64"/>
      <c r="AK8" s="64"/>
      <c r="AL8" s="66" t="s">
        <v>114</v>
      </c>
      <c r="AM8" s="66" t="s">
        <v>114</v>
      </c>
      <c r="AN8"/>
      <c r="AO8" s="13" t="s">
        <v>101</v>
      </c>
      <c r="AP8" s="13" t="s">
        <v>48</v>
      </c>
      <c r="AQ8" s="13" t="s">
        <v>36</v>
      </c>
      <c r="AR8" s="13" t="s">
        <v>49</v>
      </c>
      <c r="AS8" s="13" t="s">
        <v>50</v>
      </c>
      <c r="AT8" s="13" t="s">
        <v>102</v>
      </c>
      <c r="AU8" s="13" t="s">
        <v>103</v>
      </c>
      <c r="AV8" s="13" t="s">
        <v>52</v>
      </c>
      <c r="AW8" s="22"/>
      <c r="AX8" s="13" t="s">
        <v>60</v>
      </c>
      <c r="AY8" s="13" t="s">
        <v>61</v>
      </c>
      <c r="AZ8" s="13" t="s">
        <v>62</v>
      </c>
      <c r="BA8" s="13" t="s">
        <v>0</v>
      </c>
      <c r="BB8" s="13" t="s">
        <v>63</v>
      </c>
      <c r="BC8" s="13" t="s">
        <v>64</v>
      </c>
      <c r="BD8" s="13" t="s">
        <v>65</v>
      </c>
      <c r="BE8" s="13" t="s">
        <v>66</v>
      </c>
    </row>
    <row r="9" spans="2:59">
      <c r="B9" s="32" t="s">
        <v>158</v>
      </c>
      <c r="C9" s="40" t="str">
        <f t="shared" ref="C9:C20" si="0">"New Power Plant - "&amp;BG9</f>
        <v xml:space="preserve">New Power Plant - Pulverised coal supercritical CCS post-combustion_Moneypoint Kinsale </v>
      </c>
      <c r="D9" s="40" t="s">
        <v>98</v>
      </c>
      <c r="E9" s="32" t="str">
        <f t="shared" ref="E9:E20" si="1">"ELCC, "&amp;$AY$9</f>
        <v>ELCC, Sink_ELCCO2N</v>
      </c>
      <c r="F9" s="34">
        <f>IF(ELC_EGP!E$24="","",ELC_EGP!E$24)</f>
        <v>0.34</v>
      </c>
      <c r="G9" s="34">
        <f>IF(ELC_EGP!F$24="","",ELC_EGP!F$24)</f>
        <v>0.35</v>
      </c>
      <c r="H9" s="34">
        <f>IF(ELC_EGP!G$24="","",ELC_EGP!G$24)</f>
        <v>0.35</v>
      </c>
      <c r="I9" s="34">
        <f>IF(ELC_EGP!H$24="","",ELC_EGP!H$24)</f>
        <v>0.38</v>
      </c>
      <c r="J9" s="34">
        <f>IF(ELC_EGP!I$24="","",ELC_EGP!I$24)</f>
        <v>0.38</v>
      </c>
      <c r="K9" s="35">
        <f>IF(ELC_EGP!J$24="","",ELC_EGP!J$24)</f>
        <v>2018</v>
      </c>
      <c r="L9" s="72">
        <f>IF(ELC_EGP!K$24="","",ELC_EGP!K$24)+SUM($AA9:$AB9)</f>
        <v>3362.3218727488452</v>
      </c>
      <c r="M9" s="72">
        <f>IF(ELC_EGP!L$24="","",ELC_EGP!L$24)+SUM($AA9:$AB9)</f>
        <v>3062.3218727488452</v>
      </c>
      <c r="N9" s="72">
        <f>IF(ELC_EGP!M$24="","",ELC_EGP!M$24)+SUM($AA9:$AB9)</f>
        <v>2912.3218727488452</v>
      </c>
      <c r="O9" s="72">
        <f>IF(ELC_EGP!N$24="","",ELC_EGP!N$24)+SUM($AA9:$AB9)</f>
        <v>2912.3218727488452</v>
      </c>
      <c r="P9" s="72">
        <f>IF(ELC_EGP!O$24="","",ELC_EGP!O$24)+SUM($AA9:$AB9)</f>
        <v>2912.3218727488452</v>
      </c>
      <c r="Q9" s="72">
        <f>IF(ELC_EGP!P$24="","",ELC_EGP!P$24)</f>
        <v>75</v>
      </c>
      <c r="R9" s="72">
        <f>IF(ELC_EGP!Q$24="","",ELC_EGP!Q$24)</f>
        <v>67.5</v>
      </c>
      <c r="S9" s="72">
        <f>IF(ELC_EGP!R$24="","",ELC_EGP!R$24)</f>
        <v>63.75</v>
      </c>
      <c r="T9" s="72">
        <f>IF(ELC_EGP!S$24="","",ELC_EGP!S$24)</f>
        <v>63.75</v>
      </c>
      <c r="U9" s="72">
        <f>IF(ELC_EGP!T$24="","",ELC_EGP!T$24)</f>
        <v>63.75</v>
      </c>
      <c r="V9" s="73">
        <f>IF(ELC_EGP!U$24="","",ELC_EGP!U$24)+SUM($AC9:$AD9)</f>
        <v>0.87577647963278493</v>
      </c>
      <c r="W9" s="73">
        <f>IF(ELC_EGP!V$24="","",ELC_EGP!V$24)+SUM($AC9:$AD9)</f>
        <v>0.85927647963278486</v>
      </c>
      <c r="X9" s="73">
        <f>IF(ELC_EGP!W$24="","",ELC_EGP!W$24)+SUM($AC9:$AD9)</f>
        <v>0.85102647963278488</v>
      </c>
      <c r="Y9" s="73">
        <f>IF(ELC_EGP!X$24="","",ELC_EGP!X$24)+SUM($AC9:$AD9)</f>
        <v>0.85102647963278488</v>
      </c>
      <c r="Z9" s="73">
        <f>IF(ELC_EGP!Y$24="","",ELC_EGP!Y$24)+SUM($AC9:$AD9)</f>
        <v>0.85102647963278488</v>
      </c>
      <c r="AA9" s="76">
        <f>231.039345996009*(131.215852099895/100)</f>
        <v>303.16024653468781</v>
      </c>
      <c r="AB9" s="76">
        <f>45.0872552876596*(131.215852099895/100)</f>
        <v>59.161626214157508</v>
      </c>
      <c r="AC9" s="88">
        <f>0.45069361273084*(131.215852099895/100)</f>
        <v>0.5913814643045725</v>
      </c>
      <c r="AD9" s="88">
        <f>0.0909913043412747*(131.215852099895/100)</f>
        <v>0.11939501532821234</v>
      </c>
      <c r="AE9" s="35">
        <f>IF(ELC_EGP!Z$24="","",ELC_EGP!Z$24)</f>
        <v>40</v>
      </c>
      <c r="AF9" s="36">
        <f>IF(ELC_EGP!AC$24="","",ELC_EGP!AC$24)</f>
        <v>31.536000000000001</v>
      </c>
      <c r="AG9" s="34">
        <f>IF(ELC_EGP!AD$24="","",ELC_EGP!AD$24)</f>
        <v>0.9</v>
      </c>
      <c r="AH9" s="34">
        <f>IF(ELC_EGP!AE$24="","",ELC_EGP!AE$24)</f>
        <v>0.9</v>
      </c>
      <c r="AI9" s="34">
        <f>IF(ELC_EGP!AF$24="","",ELC_EGP!AF$24)</f>
        <v>0.9</v>
      </c>
      <c r="AJ9" s="34">
        <f>IF(ELC_EGP!AG$24="","",ELC_EGP!AG$24)</f>
        <v>0.9</v>
      </c>
      <c r="AK9" s="34">
        <f>IF(ELC_EGP!AH$24="","",ELC_EGP!AH$24)</f>
        <v>0.9</v>
      </c>
      <c r="AL9" s="67">
        <v>11.795999999999999</v>
      </c>
      <c r="AM9" s="67">
        <v>87.204000000000008</v>
      </c>
      <c r="AO9" s="60" t="s">
        <v>87</v>
      </c>
      <c r="AP9" s="59" t="str">
        <f t="shared" ref="AP9:AP20" si="2">B9</f>
        <v>EPPCoa_04_CCS-Moneypoint1</v>
      </c>
      <c r="AQ9" s="59" t="str">
        <f t="shared" ref="AQ9:AQ20" si="3">C9</f>
        <v xml:space="preserve">New Power Plant - Pulverised coal supercritical CCS post-combustion_Moneypoint Kinsale </v>
      </c>
      <c r="AR9" s="60" t="s">
        <v>88</v>
      </c>
      <c r="AS9" s="60" t="s">
        <v>2</v>
      </c>
      <c r="AT9" s="49" t="s">
        <v>100</v>
      </c>
      <c r="AU9" s="60"/>
      <c r="AV9" s="60"/>
      <c r="AX9" s="53" t="s">
        <v>108</v>
      </c>
      <c r="AY9" s="53" t="s">
        <v>109</v>
      </c>
      <c r="AZ9" s="53" t="s">
        <v>111</v>
      </c>
      <c r="BA9" s="53" t="s">
        <v>110</v>
      </c>
      <c r="BG9" s="57" t="s">
        <v>116</v>
      </c>
    </row>
    <row r="10" spans="2:59">
      <c r="B10" s="32" t="s">
        <v>161</v>
      </c>
      <c r="C10" s="40" t="str">
        <f t="shared" si="0"/>
        <v xml:space="preserve">New Power Plant - IGCC coal CCS pre-combustion_Moneypoint Kinsale </v>
      </c>
      <c r="D10" s="40" t="s">
        <v>98</v>
      </c>
      <c r="E10" s="32" t="str">
        <f t="shared" si="1"/>
        <v>ELCC, Sink_ELCCO2N</v>
      </c>
      <c r="F10" s="34">
        <f>IF(ELC_EGP!E$27="","",ELC_EGP!E$27)</f>
        <v>0.35</v>
      </c>
      <c r="G10" s="34">
        <f>IF(ELC_EGP!F$27="","",ELC_EGP!F$27)</f>
        <v>0.37</v>
      </c>
      <c r="H10" s="34">
        <f>IF(ELC_EGP!G$27="","",ELC_EGP!G$27)</f>
        <v>0.4</v>
      </c>
      <c r="I10" s="34">
        <f>IF(ELC_EGP!H$27="","",ELC_EGP!H$27)</f>
        <v>0.41</v>
      </c>
      <c r="J10" s="34">
        <f>IF(ELC_EGP!I$27="","",ELC_EGP!I$27)</f>
        <v>0.44</v>
      </c>
      <c r="K10" s="35">
        <f>IF(ELC_EGP!J$27="","",ELC_EGP!J$27)</f>
        <v>2018</v>
      </c>
      <c r="L10" s="72">
        <f>IF(ELC_EGP!K$27="","",ELC_EGP!K$27)+SUM($AA10:$AB10)</f>
        <v>3462.3218727488452</v>
      </c>
      <c r="M10" s="72">
        <f>IF(ELC_EGP!L$27="","",ELC_EGP!L$27)+SUM($AA10:$AB10)</f>
        <v>3247.3218727488452</v>
      </c>
      <c r="N10" s="72">
        <f>IF(ELC_EGP!M$27="","",ELC_EGP!M$27)+SUM($AA10:$AB10)</f>
        <v>3187.3218727488452</v>
      </c>
      <c r="O10" s="72">
        <f>IF(ELC_EGP!N$27="","",ELC_EGP!N$27)+SUM($AA10:$AB10)</f>
        <v>3187.3218727488452</v>
      </c>
      <c r="P10" s="72">
        <f>IF(ELC_EGP!O$27="","",ELC_EGP!O$27)+SUM($AA10:$AB10)</f>
        <v>3187.3218727488452</v>
      </c>
      <c r="Q10" s="72">
        <f>IF(ELC_EGP!P$27="","",ELC_EGP!P$27)</f>
        <v>93</v>
      </c>
      <c r="R10" s="72">
        <f>IF(ELC_EGP!Q$27="","",ELC_EGP!Q$27)</f>
        <v>86.55</v>
      </c>
      <c r="S10" s="72">
        <f>IF(ELC_EGP!R$27="","",ELC_EGP!R$27)</f>
        <v>84.75</v>
      </c>
      <c r="T10" s="72">
        <f>IF(ELC_EGP!S$27="","",ELC_EGP!S$27)</f>
        <v>84.75</v>
      </c>
      <c r="U10" s="72">
        <f>IF(ELC_EGP!T$27="","",ELC_EGP!T$27)</f>
        <v>84.75</v>
      </c>
      <c r="V10" s="73">
        <f>IF(ELC_EGP!U$27="","",ELC_EGP!U$27)+SUM($AC10:$AD10)</f>
        <v>0.89677647963278484</v>
      </c>
      <c r="W10" s="73">
        <f>IF(ELC_EGP!V$27="","",ELC_EGP!V$27)+SUM($AC10:$AD10)</f>
        <v>0.88387647963278493</v>
      </c>
      <c r="X10" s="73">
        <f>IF(ELC_EGP!W$27="","",ELC_EGP!W$27)+SUM($AC10:$AD10)</f>
        <v>0.88027647963278488</v>
      </c>
      <c r="Y10" s="73">
        <f>IF(ELC_EGP!X$27="","",ELC_EGP!X$27)+SUM($AC10:$AD10)</f>
        <v>0.88027647963278488</v>
      </c>
      <c r="Z10" s="73">
        <f>IF(ELC_EGP!Y$27="","",ELC_EGP!Y$27)+SUM($AC10:$AD10)</f>
        <v>0.88027647963278488</v>
      </c>
      <c r="AA10" s="76">
        <f>231.039345996009*(131.215852099895/100)</f>
        <v>303.16024653468781</v>
      </c>
      <c r="AB10" s="76">
        <f>45.0872552876596*(131.215852099895/100)</f>
        <v>59.161626214157508</v>
      </c>
      <c r="AC10" s="88">
        <f>0.45069361273084*(131.215852099895/100)</f>
        <v>0.5913814643045725</v>
      </c>
      <c r="AD10" s="88">
        <f>0.0909913043412747*(131.215852099895/100)</f>
        <v>0.11939501532821234</v>
      </c>
      <c r="AE10" s="35">
        <f>IF(ELC_EGP!Z$27="","",ELC_EGP!Z$27)</f>
        <v>35</v>
      </c>
      <c r="AF10" s="36">
        <f>IF(ELC_EGP!AC$27="","",ELC_EGP!AC$27)</f>
        <v>31.536000000000001</v>
      </c>
      <c r="AG10" s="34">
        <f>IF(ELC_EGP!AD$27="","",ELC_EGP!AD$27)</f>
        <v>0.9</v>
      </c>
      <c r="AH10" s="34">
        <f>IF(ELC_EGP!AE$27="","",ELC_EGP!AE$27)</f>
        <v>0.9</v>
      </c>
      <c r="AI10" s="34">
        <f>IF(ELC_EGP!AF$27="","",ELC_EGP!AF$27)</f>
        <v>0.9</v>
      </c>
      <c r="AJ10" s="34">
        <f>IF(ELC_EGP!AG$27="","",ELC_EGP!AG$27)</f>
        <v>0.9</v>
      </c>
      <c r="AK10" s="34">
        <f>IF(ELC_EGP!AH$27="","",ELC_EGP!AH$27)</f>
        <v>0.9</v>
      </c>
      <c r="AL10" s="67">
        <v>11.795999999999999</v>
      </c>
      <c r="AM10" s="67">
        <v>87.204000000000008</v>
      </c>
      <c r="AO10" s="59"/>
      <c r="AP10" s="59" t="str">
        <f t="shared" si="2"/>
        <v>EPPCoa_06_CCS-Moneypoint1</v>
      </c>
      <c r="AQ10" s="59" t="str">
        <f t="shared" si="3"/>
        <v xml:space="preserve">New Power Plant - IGCC coal CCS pre-combustion_Moneypoint Kinsale </v>
      </c>
      <c r="AR10" s="60" t="s">
        <v>88</v>
      </c>
      <c r="AS10" s="60" t="s">
        <v>2</v>
      </c>
      <c r="AT10" s="49" t="s">
        <v>100</v>
      </c>
      <c r="AU10" s="59"/>
      <c r="AV10" s="59"/>
      <c r="BG10" s="53" t="s">
        <v>173</v>
      </c>
    </row>
    <row r="11" spans="2:59">
      <c r="B11" s="32" t="s">
        <v>159</v>
      </c>
      <c r="C11" s="40" t="str">
        <f t="shared" si="0"/>
        <v xml:space="preserve">New Power Plant - Pulverised coal supercritical CCS post-combustion_Moneypoint Spanish Point </v>
      </c>
      <c r="D11" s="40" t="s">
        <v>98</v>
      </c>
      <c r="E11" s="32" t="str">
        <f t="shared" si="1"/>
        <v>ELCC, Sink_ELCCO2N</v>
      </c>
      <c r="F11" s="34">
        <f>IF(ELC_EGP!E$24="","",ELC_EGP!E$24)</f>
        <v>0.34</v>
      </c>
      <c r="G11" s="34">
        <f>IF(ELC_EGP!F$24="","",ELC_EGP!F$24)</f>
        <v>0.35</v>
      </c>
      <c r="H11" s="34">
        <f>IF(ELC_EGP!G$24="","",ELC_EGP!G$24)</f>
        <v>0.35</v>
      </c>
      <c r="I11" s="34">
        <f>IF(ELC_EGP!H$24="","",ELC_EGP!H$24)</f>
        <v>0.38</v>
      </c>
      <c r="J11" s="34">
        <f>IF(ELC_EGP!I$24="","",ELC_EGP!I$24)</f>
        <v>0.38</v>
      </c>
      <c r="K11" s="35">
        <f>IF(ELC_EGP!J$24="","",ELC_EGP!J$24)</f>
        <v>2018</v>
      </c>
      <c r="L11" s="72">
        <f>IF(ELC_EGP!K$24="","",ELC_EGP!K$24)+SUM($AA11:$AB11)</f>
        <v>3711.1153371708269</v>
      </c>
      <c r="M11" s="72">
        <f>IF(ELC_EGP!L$24="","",ELC_EGP!L$24)+SUM($AA11:$AB11)</f>
        <v>3411.1153371708269</v>
      </c>
      <c r="N11" s="72">
        <f>IF(ELC_EGP!M$24="","",ELC_EGP!M$24)+SUM($AA11:$AB11)</f>
        <v>3261.1153371708269</v>
      </c>
      <c r="O11" s="72">
        <f>IF(ELC_EGP!N$24="","",ELC_EGP!N$24)+SUM($AA11:$AB11)</f>
        <v>3261.1153371708269</v>
      </c>
      <c r="P11" s="72">
        <f>IF(ELC_EGP!O$24="","",ELC_EGP!O$24)+SUM($AA11:$AB11)</f>
        <v>3261.1153371708269</v>
      </c>
      <c r="Q11" s="72">
        <f>IF(ELC_EGP!P$24="","",ELC_EGP!P$24)</f>
        <v>75</v>
      </c>
      <c r="R11" s="72">
        <f>IF(ELC_EGP!Q$24="","",ELC_EGP!Q$24)</f>
        <v>67.5</v>
      </c>
      <c r="S11" s="72">
        <f>IF(ELC_EGP!R$24="","",ELC_EGP!R$24)</f>
        <v>63.75</v>
      </c>
      <c r="T11" s="72">
        <f>IF(ELC_EGP!S$24="","",ELC_EGP!S$24)</f>
        <v>63.75</v>
      </c>
      <c r="U11" s="72">
        <f>IF(ELC_EGP!T$24="","",ELC_EGP!T$24)</f>
        <v>63.75</v>
      </c>
      <c r="V11" s="73">
        <f>IF(ELC_EGP!U$24="","",ELC_EGP!U$24)+SUM($AC11:$AD11)</f>
        <v>0.83067111371124924</v>
      </c>
      <c r="W11" s="73">
        <f>IF(ELC_EGP!V$24="","",ELC_EGP!V$24)+SUM($AC11:$AD11)</f>
        <v>0.81417111371124917</v>
      </c>
      <c r="X11" s="73">
        <f>IF(ELC_EGP!W$24="","",ELC_EGP!W$24)+SUM($AC11:$AD11)</f>
        <v>0.80592111371124919</v>
      </c>
      <c r="Y11" s="73">
        <f>IF(ELC_EGP!X$24="","",ELC_EGP!X$24)+SUM($AC11:$AD11)</f>
        <v>0.80592111371124919</v>
      </c>
      <c r="Z11" s="73">
        <f>IF(ELC_EGP!Y$24="","",ELC_EGP!Y$24)+SUM($AC11:$AD11)</f>
        <v>0.80592111371124919</v>
      </c>
      <c r="AA11" s="76">
        <f>496.855906144888*(131.215852099895/100)</f>
        <v>651.9537109566694</v>
      </c>
      <c r="AB11" s="76">
        <f>45.0872552876596*(131.215852099895/100)</f>
        <v>59.161626214157508</v>
      </c>
      <c r="AC11" s="88">
        <f>0.416318676166623*(131.215852099895/100)</f>
        <v>0.54627609838303681</v>
      </c>
      <c r="AD11" s="88">
        <f>0.0909913043412747*(131.215852099895/100)</f>
        <v>0.11939501532821234</v>
      </c>
      <c r="AE11" s="35">
        <f>IF(ELC_EGP!Z$24="","",ELC_EGP!Z$24)</f>
        <v>40</v>
      </c>
      <c r="AF11" s="36">
        <f>IF(ELC_EGP!AC$24="","",ELC_EGP!AC$24)</f>
        <v>31.536000000000001</v>
      </c>
      <c r="AG11" s="34">
        <f>IF(ELC_EGP!AD$24="","",ELC_EGP!AD$24)</f>
        <v>0.9</v>
      </c>
      <c r="AH11" s="34">
        <f>IF(ELC_EGP!AE$24="","",ELC_EGP!AE$24)</f>
        <v>0.9</v>
      </c>
      <c r="AI11" s="34">
        <f>IF(ELC_EGP!AF$24="","",ELC_EGP!AF$24)</f>
        <v>0.9</v>
      </c>
      <c r="AJ11" s="34">
        <f>IF(ELC_EGP!AG$24="","",ELC_EGP!AG$24)</f>
        <v>0.9</v>
      </c>
      <c r="AK11" s="34">
        <f>IF(ELC_EGP!AH$24="","",ELC_EGP!AH$24)</f>
        <v>0.9</v>
      </c>
      <c r="AL11" s="67">
        <v>11.795999999999999</v>
      </c>
      <c r="AM11" s="67">
        <v>87.204000000000008</v>
      </c>
      <c r="AO11" s="59"/>
      <c r="AP11" s="59" t="str">
        <f t="shared" si="2"/>
        <v>EPPCoa_04_CCS-Moneypoint2</v>
      </c>
      <c r="AQ11" s="59" t="str">
        <f t="shared" si="3"/>
        <v xml:space="preserve">New Power Plant - Pulverised coal supercritical CCS post-combustion_Moneypoint Spanish Point </v>
      </c>
      <c r="AR11" s="60" t="s">
        <v>88</v>
      </c>
      <c r="AS11" s="60" t="s">
        <v>2</v>
      </c>
      <c r="AT11" s="49" t="s">
        <v>100</v>
      </c>
      <c r="AU11" s="59"/>
      <c r="AV11" s="59"/>
      <c r="BG11" s="57" t="s">
        <v>117</v>
      </c>
    </row>
    <row r="12" spans="2:59">
      <c r="B12" s="32" t="s">
        <v>162</v>
      </c>
      <c r="C12" s="40" t="str">
        <f t="shared" si="0"/>
        <v xml:space="preserve">New Power Plant - IGCC coal CCS pre-combustion_Moneypoint Spanish Point </v>
      </c>
      <c r="D12" s="40" t="s">
        <v>98</v>
      </c>
      <c r="E12" s="32" t="str">
        <f t="shared" si="1"/>
        <v>ELCC, Sink_ELCCO2N</v>
      </c>
      <c r="F12" s="34">
        <f>IF(ELC_EGP!E$27="","",ELC_EGP!E$27)</f>
        <v>0.35</v>
      </c>
      <c r="G12" s="34">
        <f>IF(ELC_EGP!F$27="","",ELC_EGP!F$27)</f>
        <v>0.37</v>
      </c>
      <c r="H12" s="34">
        <f>IF(ELC_EGP!G$27="","",ELC_EGP!G$27)</f>
        <v>0.4</v>
      </c>
      <c r="I12" s="34">
        <f>IF(ELC_EGP!H$27="","",ELC_EGP!H$27)</f>
        <v>0.41</v>
      </c>
      <c r="J12" s="34">
        <f>IF(ELC_EGP!I$27="","",ELC_EGP!I$27)</f>
        <v>0.44</v>
      </c>
      <c r="K12" s="35">
        <f>IF(ELC_EGP!J$27="","",ELC_EGP!J$27)</f>
        <v>2018</v>
      </c>
      <c r="L12" s="72">
        <f>IF(ELC_EGP!K$27="","",ELC_EGP!K$27)+SUM($AA12:$AB12)</f>
        <v>3870.2769633849844</v>
      </c>
      <c r="M12" s="72">
        <f>IF(ELC_EGP!L$27="","",ELC_EGP!L$27)+SUM($AA12:$AB12)</f>
        <v>3655.2769633849844</v>
      </c>
      <c r="N12" s="72">
        <f>IF(ELC_EGP!M$27="","",ELC_EGP!M$27)+SUM($AA12:$AB12)</f>
        <v>3595.2769633849844</v>
      </c>
      <c r="O12" s="72">
        <f>IF(ELC_EGP!N$27="","",ELC_EGP!N$27)+SUM($AA12:$AB12)</f>
        <v>3595.2769633849844</v>
      </c>
      <c r="P12" s="72">
        <f>IF(ELC_EGP!O$27="","",ELC_EGP!O$27)+SUM($AA12:$AB12)</f>
        <v>3595.2769633849844</v>
      </c>
      <c r="Q12" s="72">
        <f>IF(ELC_EGP!P$27="","",ELC_EGP!P$27)</f>
        <v>93</v>
      </c>
      <c r="R12" s="72">
        <f>IF(ELC_EGP!Q$27="","",ELC_EGP!Q$27)</f>
        <v>86.55</v>
      </c>
      <c r="S12" s="72">
        <f>IF(ELC_EGP!R$27="","",ELC_EGP!R$27)</f>
        <v>84.75</v>
      </c>
      <c r="T12" s="72">
        <f>IF(ELC_EGP!S$27="","",ELC_EGP!S$27)</f>
        <v>84.75</v>
      </c>
      <c r="U12" s="72">
        <f>IF(ELC_EGP!T$27="","",ELC_EGP!T$27)</f>
        <v>84.75</v>
      </c>
      <c r="V12" s="73">
        <f>IF(ELC_EGP!U$27="","",ELC_EGP!U$27)+SUM($AC12:$AD12)</f>
        <v>0.85167111371124915</v>
      </c>
      <c r="W12" s="73">
        <f>IF(ELC_EGP!V$27="","",ELC_EGP!V$27)+SUM($AC12:$AD12)</f>
        <v>0.83877111371124924</v>
      </c>
      <c r="X12" s="73">
        <f>IF(ELC_EGP!W$27="","",ELC_EGP!W$27)+SUM($AC12:$AD12)</f>
        <v>0.83517111371124919</v>
      </c>
      <c r="Y12" s="73">
        <f>IF(ELC_EGP!X$27="","",ELC_EGP!X$27)+SUM($AC12:$AD12)</f>
        <v>0.83517111371124919</v>
      </c>
      <c r="Z12" s="73">
        <f>IF(ELC_EGP!Y$27="","",ELC_EGP!Y$27)+SUM($AC12:$AD12)</f>
        <v>0.83517111371124919</v>
      </c>
      <c r="AA12" s="76">
        <f>496.855906144888*(131.215852099895/100)</f>
        <v>651.9537109566694</v>
      </c>
      <c r="AB12" s="76">
        <f>90.1745105753192*(131.215852099895/100)</f>
        <v>118.32325242831502</v>
      </c>
      <c r="AC12" s="88">
        <f>0.416318676166623*(131.215852099895/100)</f>
        <v>0.54627609838303681</v>
      </c>
      <c r="AD12" s="88">
        <f>0.0909913043412747*(131.215852099895/100)</f>
        <v>0.11939501532821234</v>
      </c>
      <c r="AE12" s="35">
        <f>IF(ELC_EGP!Z$27="","",ELC_EGP!Z$27)</f>
        <v>35</v>
      </c>
      <c r="AF12" s="36">
        <f>IF(ELC_EGP!AC$27="","",ELC_EGP!AC$27)</f>
        <v>31.536000000000001</v>
      </c>
      <c r="AG12" s="34">
        <f>IF(ELC_EGP!AD$27="","",ELC_EGP!AD$27)</f>
        <v>0.9</v>
      </c>
      <c r="AH12" s="34">
        <f>IF(ELC_EGP!AE$27="","",ELC_EGP!AE$27)</f>
        <v>0.9</v>
      </c>
      <c r="AI12" s="34">
        <f>IF(ELC_EGP!AF$27="","",ELC_EGP!AF$27)</f>
        <v>0.9</v>
      </c>
      <c r="AJ12" s="34">
        <f>IF(ELC_EGP!AG$27="","",ELC_EGP!AG$27)</f>
        <v>0.9</v>
      </c>
      <c r="AK12" s="34">
        <f>IF(ELC_EGP!AH$27="","",ELC_EGP!AH$27)</f>
        <v>0.9</v>
      </c>
      <c r="AL12" s="67">
        <v>11.795999999999999</v>
      </c>
      <c r="AM12" s="67">
        <v>87.204000000000008</v>
      </c>
      <c r="AO12" s="59"/>
      <c r="AP12" s="59" t="str">
        <f t="shared" si="2"/>
        <v>EPPCoa_06_CCS-Moneypoint2</v>
      </c>
      <c r="AQ12" s="59" t="str">
        <f t="shared" si="3"/>
        <v xml:space="preserve">New Power Plant - IGCC coal CCS pre-combustion_Moneypoint Spanish Point </v>
      </c>
      <c r="AR12" s="60" t="s">
        <v>88</v>
      </c>
      <c r="AS12" s="60" t="s">
        <v>2</v>
      </c>
      <c r="AT12" s="49" t="s">
        <v>100</v>
      </c>
      <c r="AU12" s="59"/>
      <c r="AV12" s="59"/>
      <c r="BG12" s="53" t="s">
        <v>172</v>
      </c>
    </row>
    <row r="13" spans="2:59">
      <c r="B13" s="32" t="s">
        <v>163</v>
      </c>
      <c r="C13" s="40" t="str">
        <f t="shared" si="0"/>
        <v>New Power Plant - CCGT advanced CCS post combustion_Cork Kinsale</v>
      </c>
      <c r="D13" s="40" t="s">
        <v>97</v>
      </c>
      <c r="E13" s="32" t="str">
        <f t="shared" si="1"/>
        <v>ELCC, Sink_ELCCO2N</v>
      </c>
      <c r="F13" s="34">
        <f>IF(ELC_EGP!E$23="","",ELC_EGP!E$23)</f>
        <v>0.5</v>
      </c>
      <c r="G13" s="34">
        <f>IF(ELC_EGP!F$23="","",ELC_EGP!F$23)</f>
        <v>0.52</v>
      </c>
      <c r="H13" s="34">
        <f>IF(ELC_EGP!G$23="","",ELC_EGP!G$23)</f>
        <v>0.55000000000000004</v>
      </c>
      <c r="I13" s="34">
        <f>IF(ELC_EGP!H$23="","",ELC_EGP!H$23)</f>
        <v>0.55000000000000004</v>
      </c>
      <c r="J13" s="34">
        <f>IF(ELC_EGP!I$23="","",ELC_EGP!I$23)</f>
        <v>0.55000000000000004</v>
      </c>
      <c r="K13" s="35">
        <f>IF(ELC_EGP!J$23="","",ELC_EGP!J$23)</f>
        <v>2018</v>
      </c>
      <c r="L13" s="72">
        <f>IF(ELC_EGP!K$23="","",ELC_EGP!K$23)+SUM($AA13:$AB13)</f>
        <v>1601.5258714841596</v>
      </c>
      <c r="M13" s="72">
        <f>IF(ELC_EGP!L$23="","",ELC_EGP!L$23)+SUM($AA13:$AB13)</f>
        <v>1601.5258714841596</v>
      </c>
      <c r="N13" s="72">
        <f>IF(ELC_EGP!M$23="","",ELC_EGP!M$23)+SUM($AA13:$AB13)</f>
        <v>1601.5258714841596</v>
      </c>
      <c r="O13" s="72">
        <f>IF(ELC_EGP!N$23="","",ELC_EGP!N$23)+SUM($AA13:$AB13)</f>
        <v>1601.5258714841596</v>
      </c>
      <c r="P13" s="72">
        <f>IF(ELC_EGP!O$23="","",ELC_EGP!O$23)+SUM($AA13:$AB13)</f>
        <v>1601.5258714841596</v>
      </c>
      <c r="Q13" s="72">
        <f>IF(ELC_EGP!P$23="","",ELC_EGP!P$23)</f>
        <v>37.5</v>
      </c>
      <c r="R13" s="72">
        <f>IF(ELC_EGP!Q$23="","",ELC_EGP!Q$23)</f>
        <v>37.5</v>
      </c>
      <c r="S13" s="72">
        <f>IF(ELC_EGP!R$23="","",ELC_EGP!R$23)</f>
        <v>37.5</v>
      </c>
      <c r="T13" s="72">
        <f>IF(ELC_EGP!S$23="","",ELC_EGP!S$23)</f>
        <v>37.5</v>
      </c>
      <c r="U13" s="72">
        <f>IF(ELC_EGP!T$23="","",ELC_EGP!T$23)</f>
        <v>37.5</v>
      </c>
      <c r="V13" s="73">
        <f>IF(ELC_EGP!U$23="","",ELC_EGP!U$23)+SUM($AC13:$AD13)</f>
        <v>0.24714745993078663</v>
      </c>
      <c r="W13" s="73">
        <f>IF(ELC_EGP!V$23="","",ELC_EGP!V$23)+SUM($AC13:$AD13)</f>
        <v>0.24714745993078663</v>
      </c>
      <c r="X13" s="73">
        <f>IF(ELC_EGP!W$23="","",ELC_EGP!W$23)+SUM($AC13:$AD13)</f>
        <v>0.24714745993078663</v>
      </c>
      <c r="Y13" s="73">
        <f>IF(ELC_EGP!X$23="","",ELC_EGP!X$23)+SUM($AC13:$AD13)</f>
        <v>0.24714745993078663</v>
      </c>
      <c r="Z13" s="73">
        <f>IF(ELC_EGP!Y$23="","",ELC_EGP!Y$23)+SUM($AC13:$AD13)</f>
        <v>0.24714745993078663</v>
      </c>
      <c r="AA13" s="76">
        <f>51.846136548894*(131.215852099895/100)</f>
        <v>68.030349853506351</v>
      </c>
      <c r="AB13" s="76">
        <f>25.5270389168779*(131.215852099895/100)</f>
        <v>33.495521630653137</v>
      </c>
      <c r="AC13" s="88">
        <f>0.0932556484566934*(131.215852099895/100)</f>
        <v>0.12236619375373282</v>
      </c>
      <c r="AD13" s="88">
        <f>0.0493699999964453*(131.215852099895/100)</f>
        <v>6.478126617705382E-2</v>
      </c>
      <c r="AE13" s="35">
        <f>IF(ELC_EGP!Z$23="","",ELC_EGP!Z$23)</f>
        <v>30</v>
      </c>
      <c r="AF13" s="36">
        <f>IF(ELC_EGP!AC$23="","",ELC_EGP!AC$23)</f>
        <v>31.536000000000001</v>
      </c>
      <c r="AG13" s="34">
        <f>IF(ELC_EGP!AD$23="","",ELC_EGP!AD$23)</f>
        <v>0.9</v>
      </c>
      <c r="AH13" s="34">
        <f>IF(ELC_EGP!AE$23="","",ELC_EGP!AE$23)</f>
        <v>0.9</v>
      </c>
      <c r="AI13" s="34">
        <f>IF(ELC_EGP!AF$23="","",ELC_EGP!AF$23)</f>
        <v>0.9</v>
      </c>
      <c r="AJ13" s="34">
        <f>IF(ELC_EGP!AG$23="","",ELC_EGP!AG$23)</f>
        <v>0.9</v>
      </c>
      <c r="AK13" s="34">
        <f>IF(ELC_EGP!AH$23="","",ELC_EGP!AH$23)</f>
        <v>0.9</v>
      </c>
      <c r="AL13" s="67">
        <v>6.7320000000000002</v>
      </c>
      <c r="AM13" s="67">
        <v>49.368000000000002</v>
      </c>
      <c r="AO13" s="59"/>
      <c r="AP13" s="60" t="str">
        <f t="shared" si="2"/>
        <v>EPPGas_04_CCS-Cork1</v>
      </c>
      <c r="AQ13" s="60" t="str">
        <f t="shared" si="3"/>
        <v>New Power Plant - CCGT advanced CCS post combustion_Cork Kinsale</v>
      </c>
      <c r="AR13" s="60" t="s">
        <v>88</v>
      </c>
      <c r="AS13" s="60" t="s">
        <v>2</v>
      </c>
      <c r="AT13" s="49" t="s">
        <v>100</v>
      </c>
      <c r="AU13" s="59"/>
      <c r="AV13" s="59"/>
      <c r="BG13" s="53" t="s">
        <v>118</v>
      </c>
    </row>
    <row r="14" spans="2:59">
      <c r="B14" s="32" t="s">
        <v>164</v>
      </c>
      <c r="C14" s="40" t="str">
        <f t="shared" si="0"/>
        <v>New Power Plant - CCGT advanced CCS post combustion_Cork Spanish Point</v>
      </c>
      <c r="D14" s="40" t="s">
        <v>97</v>
      </c>
      <c r="E14" s="32" t="str">
        <f t="shared" si="1"/>
        <v>ELCC, Sink_ELCCO2N</v>
      </c>
      <c r="F14" s="34">
        <f>IF(ELC_EGP!E$23="","",ELC_EGP!E$23)</f>
        <v>0.5</v>
      </c>
      <c r="G14" s="34">
        <f>IF(ELC_EGP!F$23="","",ELC_EGP!F$23)</f>
        <v>0.52</v>
      </c>
      <c r="H14" s="34">
        <f>IF(ELC_EGP!G$23="","",ELC_EGP!G$23)</f>
        <v>0.55000000000000004</v>
      </c>
      <c r="I14" s="34">
        <f>IF(ELC_EGP!H$23="","",ELC_EGP!H$23)</f>
        <v>0.55000000000000004</v>
      </c>
      <c r="J14" s="34">
        <f>IF(ELC_EGP!I$23="","",ELC_EGP!I$23)</f>
        <v>0.55000000000000004</v>
      </c>
      <c r="K14" s="35">
        <f>IF(ELC_EGP!J$23="","",ELC_EGP!J$23)</f>
        <v>2018</v>
      </c>
      <c r="L14" s="72">
        <f>IF(ELC_EGP!K$23="","",ELC_EGP!K$23)+SUM($AA14:$AB14)</f>
        <v>2609.5521807077503</v>
      </c>
      <c r="M14" s="72">
        <f>IF(ELC_EGP!L$23="","",ELC_EGP!L$23)+SUM($AA14:$AB14)</f>
        <v>2609.5521807077503</v>
      </c>
      <c r="N14" s="72">
        <f>IF(ELC_EGP!M$23="","",ELC_EGP!M$23)+SUM($AA14:$AB14)</f>
        <v>2609.5521807077503</v>
      </c>
      <c r="O14" s="72">
        <f>IF(ELC_EGP!N$23="","",ELC_EGP!N$23)+SUM($AA14:$AB14)</f>
        <v>2609.5521807077503</v>
      </c>
      <c r="P14" s="72">
        <f>IF(ELC_EGP!O$23="","",ELC_EGP!O$23)+SUM($AA14:$AB14)</f>
        <v>2609.5521807077503</v>
      </c>
      <c r="Q14" s="72">
        <f>IF(ELC_EGP!P$23="","",ELC_EGP!P$23)</f>
        <v>37.5</v>
      </c>
      <c r="R14" s="72">
        <f>IF(ELC_EGP!Q$23="","",ELC_EGP!Q$23)</f>
        <v>37.5</v>
      </c>
      <c r="S14" s="72">
        <f>IF(ELC_EGP!R$23="","",ELC_EGP!R$23)</f>
        <v>37.5</v>
      </c>
      <c r="T14" s="72">
        <f>IF(ELC_EGP!S$23="","",ELC_EGP!S$23)</f>
        <v>37.5</v>
      </c>
      <c r="U14" s="72">
        <f>IF(ELC_EGP!T$23="","",ELC_EGP!T$23)</f>
        <v>37.5</v>
      </c>
      <c r="V14" s="73">
        <f>IF(ELC_EGP!U$23="","",ELC_EGP!U$23)+SUM($AC14:$AD14)</f>
        <v>0.76539312097108803</v>
      </c>
      <c r="W14" s="73">
        <f>IF(ELC_EGP!V$23="","",ELC_EGP!V$23)+SUM($AC14:$AD14)</f>
        <v>0.76539312097108803</v>
      </c>
      <c r="X14" s="73">
        <f>IF(ELC_EGP!W$23="","",ELC_EGP!W$23)+SUM($AC14:$AD14)</f>
        <v>0.76539312097108803</v>
      </c>
      <c r="Y14" s="73">
        <f>IF(ELC_EGP!X$23="","",ELC_EGP!X$23)+SUM($AC14:$AD14)</f>
        <v>0.76539312097108803</v>
      </c>
      <c r="Z14" s="73">
        <f>IF(ELC_EGP!Y$23="","",ELC_EGP!Y$23)+SUM($AC14:$AD14)</f>
        <v>0.76539312097108803</v>
      </c>
      <c r="AA14" s="76">
        <f>794.539013969699*(131.215852099895/100)</f>
        <v>1042.5611374464443</v>
      </c>
      <c r="AB14" s="76">
        <f>51.0540778337558*(131.215852099895/100)</f>
        <v>66.991043261306274</v>
      </c>
      <c r="AC14" s="88">
        <f>0.446590938720387*(131.215852099895/100)</f>
        <v>0.58599810564287569</v>
      </c>
      <c r="AD14" s="88">
        <f>0.0909913043412747*(131.215852099895/100)</f>
        <v>0.11939501532821234</v>
      </c>
      <c r="AE14" s="35">
        <f>IF(ELC_EGP!Z$23="","",ELC_EGP!Z$23)</f>
        <v>30</v>
      </c>
      <c r="AF14" s="36">
        <f>IF(ELC_EGP!AC$23="","",ELC_EGP!AC$23)</f>
        <v>31.536000000000001</v>
      </c>
      <c r="AG14" s="34">
        <f>IF(ELC_EGP!AD$23="","",ELC_EGP!AD$23)</f>
        <v>0.9</v>
      </c>
      <c r="AH14" s="34">
        <f>IF(ELC_EGP!AE$23="","",ELC_EGP!AE$23)</f>
        <v>0.9</v>
      </c>
      <c r="AI14" s="34">
        <f>IF(ELC_EGP!AF$23="","",ELC_EGP!AF$23)</f>
        <v>0.9</v>
      </c>
      <c r="AJ14" s="34">
        <f>IF(ELC_EGP!AG$23="","",ELC_EGP!AG$23)</f>
        <v>0.9</v>
      </c>
      <c r="AK14" s="34">
        <f>IF(ELC_EGP!AH$23="","",ELC_EGP!AH$23)</f>
        <v>0.9</v>
      </c>
      <c r="AL14" s="67">
        <v>6.7320000000000002</v>
      </c>
      <c r="AM14" s="67">
        <v>49.368000000000002</v>
      </c>
      <c r="AO14" s="59"/>
      <c r="AP14" s="60" t="str">
        <f t="shared" si="2"/>
        <v>EPPGas_04_CCS-Cork2</v>
      </c>
      <c r="AQ14" s="60" t="str">
        <f t="shared" si="3"/>
        <v>New Power Plant - CCGT advanced CCS post combustion_Cork Spanish Point</v>
      </c>
      <c r="AR14" s="60" t="s">
        <v>88</v>
      </c>
      <c r="AS14" s="60" t="s">
        <v>2</v>
      </c>
      <c r="AT14" s="49" t="s">
        <v>100</v>
      </c>
      <c r="AU14" s="59"/>
      <c r="AV14" s="59"/>
      <c r="BG14" s="53" t="s">
        <v>119</v>
      </c>
    </row>
    <row r="15" spans="2:59">
      <c r="B15" s="32" t="s">
        <v>165</v>
      </c>
      <c r="C15" s="40" t="str">
        <f t="shared" si="0"/>
        <v>New Power Plant - IGCC peat CCS pre combustion_Offaly Kinsale</v>
      </c>
      <c r="D15" s="40" t="s">
        <v>104</v>
      </c>
      <c r="E15" s="32" t="str">
        <f t="shared" si="1"/>
        <v>ELCC, Sink_ELCCO2N</v>
      </c>
      <c r="F15" s="34">
        <f>IF(ELC_EGP!E$27="","",ELC_EGP!E$27)</f>
        <v>0.35</v>
      </c>
      <c r="G15" s="34">
        <f>IF(ELC_EGP!F$27="","",ELC_EGP!F$27)</f>
        <v>0.37</v>
      </c>
      <c r="H15" s="34">
        <f>IF(ELC_EGP!G$27="","",ELC_EGP!G$27)</f>
        <v>0.4</v>
      </c>
      <c r="I15" s="34">
        <f>IF(ELC_EGP!H$27="","",ELC_EGP!H$27)</f>
        <v>0.41</v>
      </c>
      <c r="J15" s="34">
        <f>IF(ELC_EGP!I$27="","",ELC_EGP!I$27)</f>
        <v>0.44</v>
      </c>
      <c r="K15" s="35">
        <f>IF(ELC_EGP!J$27="","",ELC_EGP!J$27)</f>
        <v>2018</v>
      </c>
      <c r="L15" s="72">
        <f>IF(ELC_EGP!K$28="","",ELC_EGP!K$28)+SUM($AA15:$AB15)</f>
        <v>5013.8169826521971</v>
      </c>
      <c r="M15" s="72">
        <f>IF(ELC_EGP!L$28="","",ELC_EGP!L$28)+SUM($AA15:$AB15)</f>
        <v>4883.8169826521971</v>
      </c>
      <c r="N15" s="72">
        <f>IF(ELC_EGP!M$28="","",ELC_EGP!M$28)+SUM($AA15:$AB15)</f>
        <v>4883.8169826521971</v>
      </c>
      <c r="O15" s="72">
        <f>IF(ELC_EGP!N$28="","",ELC_EGP!N$28)+SUM($AA15:$AB15)</f>
        <v>4883.8169826521971</v>
      </c>
      <c r="P15" s="72">
        <f>IF(ELC_EGP!O$28="","",ELC_EGP!O$28)+SUM($AA15:$AB15)</f>
        <v>4883.8169826521971</v>
      </c>
      <c r="Q15" s="72">
        <f>IF(ELC_EGP!P$27="","",ELC_EGP!P$27)</f>
        <v>93</v>
      </c>
      <c r="R15" s="72">
        <f>IF(ELC_EGP!Q$27="","",ELC_EGP!Q$27)</f>
        <v>86.55</v>
      </c>
      <c r="S15" s="72">
        <f>IF(ELC_EGP!R$27="","",ELC_EGP!R$27)</f>
        <v>84.75</v>
      </c>
      <c r="T15" s="72">
        <f>IF(ELC_EGP!S$27="","",ELC_EGP!S$27)</f>
        <v>84.75</v>
      </c>
      <c r="U15" s="72">
        <f>IF(ELC_EGP!T$27="","",ELC_EGP!T$27)</f>
        <v>84.75</v>
      </c>
      <c r="V15" s="73">
        <f>IF(ELC_EGP!U$28="","",ELC_EGP!U$28)+SUM($AC15:$AD15)</f>
        <v>1.2127330896025041</v>
      </c>
      <c r="W15" s="73">
        <f>IF(ELC_EGP!V$28="","",ELC_EGP!V$28)+SUM($AC15:$AD15)</f>
        <v>1.2023330896025044</v>
      </c>
      <c r="X15" s="73">
        <f>IF(ELC_EGP!W$28="","",ELC_EGP!W$28)+SUM($AC15:$AD15)</f>
        <v>1.2023330896025044</v>
      </c>
      <c r="Y15" s="73">
        <f>IF(ELC_EGP!X$28="","",ELC_EGP!X$28)+SUM($AC15:$AD15)</f>
        <v>1.2023330896025044</v>
      </c>
      <c r="Z15" s="73">
        <f>IF(ELC_EGP!Y$28="","",ELC_EGP!Y$28)+SUM($AC15:$AD15)</f>
        <v>1.2023330896025044</v>
      </c>
      <c r="AA15" s="76">
        <f>301.406974763073*(131.215852099895/100)</f>
        <v>395.49373022388164</v>
      </c>
      <c r="AB15" s="76">
        <f>90.1745105753192*(131.215852099895/100)</f>
        <v>118.32325242831502</v>
      </c>
      <c r="AC15" s="88">
        <f>0.558879176973221*(131.215852099895/100)</f>
        <v>0.73333807427429198</v>
      </c>
      <c r="AD15" s="88">
        <f>0.0909913043412747*(131.215852099895/100)</f>
        <v>0.11939501532821234</v>
      </c>
      <c r="AE15" s="35">
        <f>IF(ELC_EGP!Z$27="","",ELC_EGP!Z$27)</f>
        <v>35</v>
      </c>
      <c r="AF15" s="36">
        <f>IF(ELC_EGP!AC$27="","",ELC_EGP!AC$27)</f>
        <v>31.536000000000001</v>
      </c>
      <c r="AG15" s="34">
        <f>IF(ELC_EGP!AD$27="","",ELC_EGP!AD$27)</f>
        <v>0.9</v>
      </c>
      <c r="AH15" s="34">
        <f>IF(ELC_EGP!AE$27="","",ELC_EGP!AE$27)</f>
        <v>0.9</v>
      </c>
      <c r="AI15" s="34">
        <f>IF(ELC_EGP!AF$27="","",ELC_EGP!AF$27)</f>
        <v>0.9</v>
      </c>
      <c r="AJ15" s="34">
        <f>IF(ELC_EGP!AG$27="","",ELC_EGP!AG$27)</f>
        <v>0.9</v>
      </c>
      <c r="AK15" s="34">
        <f>IF(ELC_EGP!AH$27="","",ELC_EGP!AH$27)</f>
        <v>0.9</v>
      </c>
      <c r="AL15" s="67">
        <v>12.144</v>
      </c>
      <c r="AM15" s="67">
        <v>95.855999999999995</v>
      </c>
      <c r="AO15" s="59"/>
      <c r="AP15" s="59" t="str">
        <f t="shared" si="2"/>
        <v>EPPPea_05_CCS-Offaly1</v>
      </c>
      <c r="AQ15" s="59" t="str">
        <f t="shared" si="3"/>
        <v>New Power Plant - IGCC peat CCS pre combustion_Offaly Kinsale</v>
      </c>
      <c r="AR15" s="60" t="s">
        <v>88</v>
      </c>
      <c r="AS15" s="60" t="s">
        <v>2</v>
      </c>
      <c r="AT15" s="49" t="s">
        <v>100</v>
      </c>
      <c r="AU15" s="59"/>
      <c r="AV15" s="59"/>
      <c r="BG15" s="53" t="s">
        <v>122</v>
      </c>
    </row>
    <row r="16" spans="2:59">
      <c r="B16" s="32" t="s">
        <v>166</v>
      </c>
      <c r="C16" s="40" t="str">
        <f t="shared" si="0"/>
        <v>New Power Plant - IGCC peat CCS pre combustion_Offaly East Irish Sea</v>
      </c>
      <c r="D16" s="40" t="s">
        <v>104</v>
      </c>
      <c r="E16" s="32" t="str">
        <f t="shared" si="1"/>
        <v>ELCC, Sink_ELCCO2N</v>
      </c>
      <c r="F16" s="34">
        <f>IF(ELC_EGP!E$27="","",ELC_EGP!E$27)</f>
        <v>0.35</v>
      </c>
      <c r="G16" s="34">
        <f>IF(ELC_EGP!F$27="","",ELC_EGP!F$27)</f>
        <v>0.37</v>
      </c>
      <c r="H16" s="34">
        <f>IF(ELC_EGP!G$27="","",ELC_EGP!G$27)</f>
        <v>0.4</v>
      </c>
      <c r="I16" s="34">
        <f>IF(ELC_EGP!H$27="","",ELC_EGP!H$27)</f>
        <v>0.41</v>
      </c>
      <c r="J16" s="34">
        <f>IF(ELC_EGP!I$27="","",ELC_EGP!I$27)</f>
        <v>0.44</v>
      </c>
      <c r="K16" s="35">
        <f>IF(ELC_EGP!J$27="","",ELC_EGP!J$27)</f>
        <v>2018</v>
      </c>
      <c r="L16" s="72">
        <f>IF(ELC_EGP!K$28="","",ELC_EGP!K$28)+SUM($AA16:$AB16)</f>
        <v>5165.7907106963139</v>
      </c>
      <c r="M16" s="72">
        <f>IF(ELC_EGP!L$28="","",ELC_EGP!L$28)+SUM($AA16:$AB16)</f>
        <v>5035.7907106963139</v>
      </c>
      <c r="N16" s="72">
        <f>IF(ELC_EGP!M$28="","",ELC_EGP!M$28)+SUM($AA16:$AB16)</f>
        <v>5035.7907106963139</v>
      </c>
      <c r="O16" s="72">
        <f>IF(ELC_EGP!N$28="","",ELC_EGP!N$28)+SUM($AA16:$AB16)</f>
        <v>5035.7907106963139</v>
      </c>
      <c r="P16" s="72">
        <f>IF(ELC_EGP!O$28="","",ELC_EGP!O$28)+SUM($AA16:$AB16)</f>
        <v>5035.7907106963139</v>
      </c>
      <c r="Q16" s="72">
        <f>IF(ELC_EGP!P$27="","",ELC_EGP!P$27)</f>
        <v>93</v>
      </c>
      <c r="R16" s="72">
        <f>IF(ELC_EGP!Q$27="","",ELC_EGP!Q$27)</f>
        <v>86.55</v>
      </c>
      <c r="S16" s="72">
        <f>IF(ELC_EGP!R$27="","",ELC_EGP!R$27)</f>
        <v>84.75</v>
      </c>
      <c r="T16" s="72">
        <f>IF(ELC_EGP!S$27="","",ELC_EGP!S$27)</f>
        <v>84.75</v>
      </c>
      <c r="U16" s="72">
        <f>IF(ELC_EGP!T$27="","",ELC_EGP!T$27)</f>
        <v>84.75</v>
      </c>
      <c r="V16" s="73">
        <f>IF(ELC_EGP!U$28="","",ELC_EGP!U$28)+SUM($AC16:$AD16)</f>
        <v>1.1168841870192425</v>
      </c>
      <c r="W16" s="73">
        <f>IF(ELC_EGP!V$28="","",ELC_EGP!V$28)+SUM($AC16:$AD16)</f>
        <v>1.1064841870192423</v>
      </c>
      <c r="X16" s="73">
        <f>IF(ELC_EGP!W$28="","",ELC_EGP!W$28)+SUM($AC16:$AD16)</f>
        <v>1.1064841870192423</v>
      </c>
      <c r="Y16" s="73">
        <f>IF(ELC_EGP!X$28="","",ELC_EGP!X$28)+SUM($AC16:$AD16)</f>
        <v>1.1064841870192423</v>
      </c>
      <c r="Z16" s="73">
        <f>IF(ELC_EGP!Y$28="","",ELC_EGP!Y$28)+SUM($AC16:$AD16)</f>
        <v>1.1064841870192423</v>
      </c>
      <c r="AA16" s="76">
        <f>417.22661515867*(131.215852099895/100)</f>
        <v>547.4674582679985</v>
      </c>
      <c r="AB16" s="76">
        <f>90.1745105753192*(131.215852099895/100)</f>
        <v>118.32325242831502</v>
      </c>
      <c r="AC16" s="88">
        <f>0.485832436774261*(131.215852099895/100)</f>
        <v>0.63748917169103014</v>
      </c>
      <c r="AD16" s="88">
        <f>0.0909913043412747*(131.215852099895/100)</f>
        <v>0.11939501532821234</v>
      </c>
      <c r="AE16" s="35">
        <f>IF(ELC_EGP!Z$27="","",ELC_EGP!Z$27)</f>
        <v>35</v>
      </c>
      <c r="AF16" s="36">
        <f>IF(ELC_EGP!AC$27="","",ELC_EGP!AC$27)</f>
        <v>31.536000000000001</v>
      </c>
      <c r="AG16" s="34">
        <f>IF(ELC_EGP!AD$27="","",ELC_EGP!AD$27)</f>
        <v>0.9</v>
      </c>
      <c r="AH16" s="34">
        <f>IF(ELC_EGP!AE$27="","",ELC_EGP!AE$27)</f>
        <v>0.9</v>
      </c>
      <c r="AI16" s="34">
        <f>IF(ELC_EGP!AF$27="","",ELC_EGP!AF$27)</f>
        <v>0.9</v>
      </c>
      <c r="AJ16" s="34">
        <f>IF(ELC_EGP!AG$27="","",ELC_EGP!AG$27)</f>
        <v>0.9</v>
      </c>
      <c r="AK16" s="34">
        <f>IF(ELC_EGP!AH$27="","",ELC_EGP!AH$27)</f>
        <v>0.9</v>
      </c>
      <c r="AL16" s="67">
        <v>12.144</v>
      </c>
      <c r="AM16" s="67">
        <v>95.855999999999995</v>
      </c>
      <c r="AO16" s="59"/>
      <c r="AP16" s="59" t="str">
        <f t="shared" si="2"/>
        <v>EPPPea_05_CCS-Offaly2</v>
      </c>
      <c r="AQ16" s="59" t="str">
        <f t="shared" si="3"/>
        <v>New Power Plant - IGCC peat CCS pre combustion_Offaly East Irish Sea</v>
      </c>
      <c r="AR16" s="60" t="s">
        <v>88</v>
      </c>
      <c r="AS16" s="60" t="s">
        <v>2</v>
      </c>
      <c r="AT16" s="49" t="s">
        <v>100</v>
      </c>
      <c r="AU16" s="59"/>
      <c r="AV16" s="59"/>
      <c r="BG16" s="53" t="s">
        <v>123</v>
      </c>
    </row>
    <row r="17" spans="2:59">
      <c r="B17" s="32" t="s">
        <v>167</v>
      </c>
      <c r="C17" s="40" t="str">
        <f t="shared" si="0"/>
        <v>New Power Plant - IGCC peat CCS pre combustion_Offaly Central Irish Sea</v>
      </c>
      <c r="D17" s="40" t="s">
        <v>104</v>
      </c>
      <c r="E17" s="32" t="str">
        <f t="shared" si="1"/>
        <v>ELCC, Sink_ELCCO2N</v>
      </c>
      <c r="F17" s="34">
        <f>IF(ELC_EGP!E$27="","",ELC_EGP!E$27)</f>
        <v>0.35</v>
      </c>
      <c r="G17" s="34">
        <f>IF(ELC_EGP!F$27="","",ELC_EGP!F$27)</f>
        <v>0.37</v>
      </c>
      <c r="H17" s="34">
        <f>IF(ELC_EGP!G$27="","",ELC_EGP!G$27)</f>
        <v>0.4</v>
      </c>
      <c r="I17" s="34">
        <f>IF(ELC_EGP!H$27="","",ELC_EGP!H$27)</f>
        <v>0.41</v>
      </c>
      <c r="J17" s="34">
        <f>IF(ELC_EGP!I$27="","",ELC_EGP!I$27)</f>
        <v>0.44</v>
      </c>
      <c r="K17" s="35">
        <f>IF(ELC_EGP!J$27="","",ELC_EGP!J$27)</f>
        <v>2018</v>
      </c>
      <c r="L17" s="72">
        <f>IF(ELC_EGP!K$28="","",ELC_EGP!K$28)+SUM($AA17:$AB17)</f>
        <v>5072.6197381021466</v>
      </c>
      <c r="M17" s="72">
        <f>IF(ELC_EGP!L$28="","",ELC_EGP!L$28)+SUM($AA17:$AB17)</f>
        <v>4942.6197381021466</v>
      </c>
      <c r="N17" s="72">
        <f>IF(ELC_EGP!M$28="","",ELC_EGP!M$28)+SUM($AA17:$AB17)</f>
        <v>4942.6197381021466</v>
      </c>
      <c r="O17" s="72">
        <f>IF(ELC_EGP!N$28="","",ELC_EGP!N$28)+SUM($AA17:$AB17)</f>
        <v>4942.6197381021466</v>
      </c>
      <c r="P17" s="72">
        <f>IF(ELC_EGP!O$28="","",ELC_EGP!O$28)+SUM($AA17:$AB17)</f>
        <v>4942.6197381021466</v>
      </c>
      <c r="Q17" s="72">
        <f>IF(ELC_EGP!P$27="","",ELC_EGP!P$27)</f>
        <v>93</v>
      </c>
      <c r="R17" s="72">
        <f>IF(ELC_EGP!Q$27="","",ELC_EGP!Q$27)</f>
        <v>86.55</v>
      </c>
      <c r="S17" s="72">
        <f>IF(ELC_EGP!R$27="","",ELC_EGP!R$27)</f>
        <v>84.75</v>
      </c>
      <c r="T17" s="72">
        <f>IF(ELC_EGP!S$27="","",ELC_EGP!S$27)</f>
        <v>84.75</v>
      </c>
      <c r="U17" s="72">
        <f>IF(ELC_EGP!T$27="","",ELC_EGP!T$27)</f>
        <v>84.75</v>
      </c>
      <c r="V17" s="73">
        <f>IF(ELC_EGP!U$28="","",ELC_EGP!U$28)+SUM($AC17:$AD17)</f>
        <v>1.041708577150017</v>
      </c>
      <c r="W17" s="73">
        <f>IF(ELC_EGP!V$28="","",ELC_EGP!V$28)+SUM($AC17:$AD17)</f>
        <v>1.0313085771500172</v>
      </c>
      <c r="X17" s="73">
        <f>IF(ELC_EGP!W$28="","",ELC_EGP!W$28)+SUM($AC17:$AD17)</f>
        <v>1.0313085771500172</v>
      </c>
      <c r="Y17" s="73">
        <f>IF(ELC_EGP!X$28="","",ELC_EGP!X$28)+SUM($AC17:$AD17)</f>
        <v>1.0313085771500172</v>
      </c>
      <c r="Z17" s="73">
        <f>IF(ELC_EGP!Y$28="","",ELC_EGP!Y$28)+SUM($AC17:$AD17)</f>
        <v>1.0313085771500172</v>
      </c>
      <c r="AA17" s="76">
        <f>346.220733549765*(131.215852099895/100)</f>
        <v>454.29648567383117</v>
      </c>
      <c r="AB17" s="76">
        <f>90.1745105753192*(131.215852099895/100)</f>
        <v>118.32325242831502</v>
      </c>
      <c r="AC17" s="88">
        <f>0.4285408758339*(131.215852099895/100)</f>
        <v>0.56231356182180481</v>
      </c>
      <c r="AD17" s="88">
        <f>0.0909913043412747*(131.215852099895/100)</f>
        <v>0.11939501532821234</v>
      </c>
      <c r="AE17" s="35">
        <f>IF(ELC_EGP!Z$27="","",ELC_EGP!Z$27)</f>
        <v>35</v>
      </c>
      <c r="AF17" s="36">
        <f>IF(ELC_EGP!AC$27="","",ELC_EGP!AC$27)</f>
        <v>31.536000000000001</v>
      </c>
      <c r="AG17" s="34">
        <f>IF(ELC_EGP!AD$27="","",ELC_EGP!AD$27)</f>
        <v>0.9</v>
      </c>
      <c r="AH17" s="34">
        <f>IF(ELC_EGP!AE$27="","",ELC_EGP!AE$27)</f>
        <v>0.9</v>
      </c>
      <c r="AI17" s="34">
        <f>IF(ELC_EGP!AF$27="","",ELC_EGP!AF$27)</f>
        <v>0.9</v>
      </c>
      <c r="AJ17" s="34">
        <f>IF(ELC_EGP!AG$27="","",ELC_EGP!AG$27)</f>
        <v>0.9</v>
      </c>
      <c r="AK17" s="34">
        <f>IF(ELC_EGP!AH$27="","",ELC_EGP!AH$27)</f>
        <v>0.9</v>
      </c>
      <c r="AL17" s="67">
        <v>12.144</v>
      </c>
      <c r="AM17" s="67">
        <v>95.855999999999995</v>
      </c>
      <c r="AO17" s="59"/>
      <c r="AP17" s="59" t="str">
        <f t="shared" si="2"/>
        <v>EPPPea_05_CCS-Offaly3</v>
      </c>
      <c r="AQ17" s="59" t="str">
        <f t="shared" si="3"/>
        <v>New Power Plant - IGCC peat CCS pre combustion_Offaly Central Irish Sea</v>
      </c>
      <c r="AR17" s="60" t="s">
        <v>88</v>
      </c>
      <c r="AS17" s="60" t="s">
        <v>2</v>
      </c>
      <c r="AT17" s="49" t="s">
        <v>100</v>
      </c>
      <c r="AU17" s="59"/>
      <c r="AV17" s="59"/>
      <c r="BG17" s="53" t="s">
        <v>124</v>
      </c>
    </row>
    <row r="18" spans="2:59">
      <c r="B18" s="32" t="s">
        <v>156</v>
      </c>
      <c r="C18" s="40" t="str">
        <f t="shared" si="0"/>
        <v>New Power Plant - CCGT advanced CCS post combustion_Dublin East Irish Sea</v>
      </c>
      <c r="D18" s="40" t="s">
        <v>97</v>
      </c>
      <c r="E18" s="32" t="str">
        <f t="shared" si="1"/>
        <v>ELCC, Sink_ELCCO2N</v>
      </c>
      <c r="F18" s="34">
        <f>IF(ELC_EGP!E$23="","",ELC_EGP!E$23)</f>
        <v>0.5</v>
      </c>
      <c r="G18" s="34">
        <f>IF(ELC_EGP!F$23="","",ELC_EGP!F$23)</f>
        <v>0.52</v>
      </c>
      <c r="H18" s="34">
        <f>IF(ELC_EGP!G$23="","",ELC_EGP!G$23)</f>
        <v>0.55000000000000004</v>
      </c>
      <c r="I18" s="34">
        <f>IF(ELC_EGP!H$23="","",ELC_EGP!H$23)</f>
        <v>0.55000000000000004</v>
      </c>
      <c r="J18" s="34">
        <f>IF(ELC_EGP!I$23="","",ELC_EGP!I$23)</f>
        <v>0.55000000000000004</v>
      </c>
      <c r="K18" s="35">
        <f>IF(ELC_EGP!J$23="","",ELC_EGP!J$23)</f>
        <v>2018</v>
      </c>
      <c r="L18" s="72">
        <f>IF(ELC_EGP!K$23="","",ELC_EGP!K$23)+SUM($AA18:$AB18)</f>
        <v>1858.6566965995676</v>
      </c>
      <c r="M18" s="72">
        <f>IF(ELC_EGP!L$23="","",ELC_EGP!L$23)+SUM($AA18:$AB18)</f>
        <v>1858.6566965995676</v>
      </c>
      <c r="N18" s="72">
        <f>IF(ELC_EGP!M$23="","",ELC_EGP!M$23)+SUM($AA18:$AB18)</f>
        <v>1858.6566965995676</v>
      </c>
      <c r="O18" s="72">
        <f>IF(ELC_EGP!N$23="","",ELC_EGP!N$23)+SUM($AA18:$AB18)</f>
        <v>1858.6566965995676</v>
      </c>
      <c r="P18" s="72">
        <f>IF(ELC_EGP!O$23="","",ELC_EGP!O$23)+SUM($AA18:$AB18)</f>
        <v>1858.6566965995676</v>
      </c>
      <c r="Q18" s="72">
        <f>IF(ELC_EGP!P$23="","",ELC_EGP!P$23)</f>
        <v>37.5</v>
      </c>
      <c r="R18" s="72">
        <f>IF(ELC_EGP!Q$23="","",ELC_EGP!Q$23)</f>
        <v>37.5</v>
      </c>
      <c r="S18" s="72">
        <f>IF(ELC_EGP!R$23="","",ELC_EGP!R$23)</f>
        <v>37.5</v>
      </c>
      <c r="T18" s="72">
        <f>IF(ELC_EGP!S$23="","",ELC_EGP!S$23)</f>
        <v>37.5</v>
      </c>
      <c r="U18" s="72">
        <f>IF(ELC_EGP!T$23="","",ELC_EGP!T$23)</f>
        <v>37.5</v>
      </c>
      <c r="V18" s="73">
        <f>IF(ELC_EGP!U$23="","",ELC_EGP!U$23)+SUM($AC18:$AD18)</f>
        <v>0.24714745993078663</v>
      </c>
      <c r="W18" s="73">
        <f>IF(ELC_EGP!V$23="","",ELC_EGP!V$23)+SUM($AC18:$AD18)</f>
        <v>0.24714745993078663</v>
      </c>
      <c r="X18" s="73">
        <f>IF(ELC_EGP!W$23="","",ELC_EGP!W$23)+SUM($AC18:$AD18)</f>
        <v>0.24714745993078663</v>
      </c>
      <c r="Y18" s="73">
        <f>IF(ELC_EGP!X$23="","",ELC_EGP!X$23)+SUM($AC18:$AD18)</f>
        <v>0.24714745993078663</v>
      </c>
      <c r="Z18" s="73">
        <f>IF(ELC_EGP!Y$23="","",ELC_EGP!Y$23)+SUM($AC18:$AD18)</f>
        <v>0.24714745993078663</v>
      </c>
      <c r="AA18" s="76">
        <f>222.27928155831*(131.215852099895/100)</f>
        <v>291.66565333826122</v>
      </c>
      <c r="AB18" s="76">
        <f>51.0540778337558*(131.215852099895/100)</f>
        <v>66.991043261306274</v>
      </c>
      <c r="AC18" s="88">
        <f>0.0932556484566934*(131.215852099895/100)</f>
        <v>0.12236619375373282</v>
      </c>
      <c r="AD18" s="88">
        <f>0.0493699999964453*(131.215852099895/100)</f>
        <v>6.478126617705382E-2</v>
      </c>
      <c r="AE18" s="35">
        <f>IF(ELC_EGP!Z$23="","",ELC_EGP!Z$23)</f>
        <v>30</v>
      </c>
      <c r="AF18" s="36">
        <f>IF(ELC_EGP!AC$23="","",ELC_EGP!AC$23)</f>
        <v>31.536000000000001</v>
      </c>
      <c r="AG18" s="34">
        <f>IF(ELC_EGP!AD$23="","",ELC_EGP!AD$23)</f>
        <v>0.9</v>
      </c>
      <c r="AH18" s="34">
        <f>IF(ELC_EGP!AE$23="","",ELC_EGP!AE$23)</f>
        <v>0.9</v>
      </c>
      <c r="AI18" s="34">
        <f>IF(ELC_EGP!AF$23="","",ELC_EGP!AF$23)</f>
        <v>0.9</v>
      </c>
      <c r="AJ18" s="34">
        <f>IF(ELC_EGP!AG$23="","",ELC_EGP!AG$23)</f>
        <v>0.9</v>
      </c>
      <c r="AK18" s="34">
        <f>IF(ELC_EGP!AH$23="","",ELC_EGP!AH$23)</f>
        <v>0.9</v>
      </c>
      <c r="AL18" s="67">
        <v>6.7320000000000002</v>
      </c>
      <c r="AM18" s="67">
        <v>49.368000000000002</v>
      </c>
      <c r="AO18" s="59"/>
      <c r="AP18" s="59" t="str">
        <f t="shared" si="2"/>
        <v>EPPGas_04_CCS-Dublin1</v>
      </c>
      <c r="AQ18" s="59" t="str">
        <f t="shared" si="3"/>
        <v>New Power Plant - CCGT advanced CCS post combustion_Dublin East Irish Sea</v>
      </c>
      <c r="AR18" s="60" t="s">
        <v>88</v>
      </c>
      <c r="AS18" s="60" t="s">
        <v>2</v>
      </c>
      <c r="AT18" s="49" t="s">
        <v>100</v>
      </c>
      <c r="AU18" s="59"/>
      <c r="AV18" s="59"/>
      <c r="BG18" s="53" t="s">
        <v>120</v>
      </c>
    </row>
    <row r="19" spans="2:59">
      <c r="B19" s="32" t="s">
        <v>157</v>
      </c>
      <c r="C19" s="40" t="str">
        <f t="shared" si="0"/>
        <v>New Power Plant - CCGT advanced CCS post combustion_Dublin Central Irish Sea</v>
      </c>
      <c r="D19" s="40" t="s">
        <v>97</v>
      </c>
      <c r="E19" s="32" t="str">
        <f t="shared" si="1"/>
        <v>ELCC, Sink_ELCCO2N</v>
      </c>
      <c r="F19" s="34">
        <f>IF(ELC_EGP!E$23="","",ELC_EGP!E$23)</f>
        <v>0.5</v>
      </c>
      <c r="G19" s="34">
        <f>IF(ELC_EGP!F$23="","",ELC_EGP!F$23)</f>
        <v>0.52</v>
      </c>
      <c r="H19" s="34">
        <f>IF(ELC_EGP!G$23="","",ELC_EGP!G$23)</f>
        <v>0.55000000000000004</v>
      </c>
      <c r="I19" s="34">
        <f>IF(ELC_EGP!H$23="","",ELC_EGP!H$23)</f>
        <v>0.55000000000000004</v>
      </c>
      <c r="J19" s="34">
        <f>IF(ELC_EGP!I$23="","",ELC_EGP!I$23)</f>
        <v>0.55000000000000004</v>
      </c>
      <c r="K19" s="35">
        <f>IF(ELC_EGP!J$23="","",ELC_EGP!J$23)</f>
        <v>2018</v>
      </c>
      <c r="L19" s="72">
        <f>IF(ELC_EGP!K$23="","",ELC_EGP!K$23)+SUM($AA19:$AB19)</f>
        <v>1761.4348121534804</v>
      </c>
      <c r="M19" s="72">
        <f>IF(ELC_EGP!L$23="","",ELC_EGP!L$23)+SUM($AA19:$AB19)</f>
        <v>1761.4348121534804</v>
      </c>
      <c r="N19" s="72">
        <f>IF(ELC_EGP!M$23="","",ELC_EGP!M$23)+SUM($AA19:$AB19)</f>
        <v>1761.4348121534804</v>
      </c>
      <c r="O19" s="72">
        <f>IF(ELC_EGP!N$23="","",ELC_EGP!N$23)+SUM($AA19:$AB19)</f>
        <v>1761.4348121534804</v>
      </c>
      <c r="P19" s="72">
        <f>IF(ELC_EGP!O$23="","",ELC_EGP!O$23)+SUM($AA19:$AB19)</f>
        <v>1761.4348121534804</v>
      </c>
      <c r="Q19" s="72">
        <f>IF(ELC_EGP!P$23="","",ELC_EGP!P$23)</f>
        <v>37.5</v>
      </c>
      <c r="R19" s="72">
        <f>IF(ELC_EGP!Q$23="","",ELC_EGP!Q$23)</f>
        <v>37.5</v>
      </c>
      <c r="S19" s="72">
        <f>IF(ELC_EGP!R$23="","",ELC_EGP!R$23)</f>
        <v>37.5</v>
      </c>
      <c r="T19" s="72">
        <f>IF(ELC_EGP!S$23="","",ELC_EGP!S$23)</f>
        <v>37.5</v>
      </c>
      <c r="U19" s="72">
        <f>IF(ELC_EGP!T$23="","",ELC_EGP!T$23)</f>
        <v>37.5</v>
      </c>
      <c r="V19" s="73">
        <f>IF(ELC_EGP!U$23="","",ELC_EGP!U$23)+SUM($AC19:$AD19)</f>
        <v>0.20635872867954241</v>
      </c>
      <c r="W19" s="73">
        <f>IF(ELC_EGP!V$23="","",ELC_EGP!V$23)+SUM($AC19:$AD19)</f>
        <v>0.20635872867954241</v>
      </c>
      <c r="X19" s="73">
        <f>IF(ELC_EGP!W$23="","",ELC_EGP!W$23)+SUM($AC19:$AD19)</f>
        <v>0.20635872867954241</v>
      </c>
      <c r="Y19" s="73">
        <f>IF(ELC_EGP!X$23="","",ELC_EGP!X$23)+SUM($AC19:$AD19)</f>
        <v>0.20635872867954241</v>
      </c>
      <c r="Z19" s="73">
        <f>IF(ELC_EGP!Y$23="","",ELC_EGP!Y$23)+SUM($AC19:$AD19)</f>
        <v>0.20635872867954241</v>
      </c>
      <c r="AA19" s="76">
        <f>148.18618770554*(131.215852099895/100)</f>
        <v>194.44376889217412</v>
      </c>
      <c r="AB19" s="76">
        <f>51.0540778337558*(131.215852099895/100)</f>
        <v>66.991043261306274</v>
      </c>
      <c r="AC19" s="88">
        <f>0.0621704323044623*(131.215852099895/100)</f>
        <v>8.1577462502488596E-2</v>
      </c>
      <c r="AD19" s="88">
        <f>0.0493699999964453*(131.215852099895/100)</f>
        <v>6.478126617705382E-2</v>
      </c>
      <c r="AE19" s="35">
        <f>IF(ELC_EGP!Z$23="","",ELC_EGP!Z$23)</f>
        <v>30</v>
      </c>
      <c r="AF19" s="36">
        <f>IF(ELC_EGP!AC$23="","",ELC_EGP!AC$23)</f>
        <v>31.536000000000001</v>
      </c>
      <c r="AG19" s="34">
        <f>IF(ELC_EGP!AD$23="","",ELC_EGP!AD$23)</f>
        <v>0.9</v>
      </c>
      <c r="AH19" s="34">
        <f>IF(ELC_EGP!AE$23="","",ELC_EGP!AE$23)</f>
        <v>0.9</v>
      </c>
      <c r="AI19" s="34">
        <f>IF(ELC_EGP!AF$23="","",ELC_EGP!AF$23)</f>
        <v>0.9</v>
      </c>
      <c r="AJ19" s="34">
        <f>IF(ELC_EGP!AG$23="","",ELC_EGP!AG$23)</f>
        <v>0.9</v>
      </c>
      <c r="AK19" s="34">
        <f>IF(ELC_EGP!AH$23="","",ELC_EGP!AH$23)</f>
        <v>0.9</v>
      </c>
      <c r="AL19" s="67">
        <v>6.7320000000000002</v>
      </c>
      <c r="AM19" s="67">
        <v>49.368000000000002</v>
      </c>
      <c r="AO19" s="59"/>
      <c r="AP19" s="60" t="str">
        <f t="shared" si="2"/>
        <v>EPPGas_04_CCS-Dublin2</v>
      </c>
      <c r="AQ19" s="60" t="str">
        <f t="shared" si="3"/>
        <v>New Power Plant - CCGT advanced CCS post combustion_Dublin Central Irish Sea</v>
      </c>
      <c r="AR19" s="60" t="s">
        <v>88</v>
      </c>
      <c r="AS19" s="60" t="s">
        <v>2</v>
      </c>
      <c r="AT19" s="49" t="s">
        <v>100</v>
      </c>
      <c r="AU19" s="59"/>
      <c r="AV19" s="59"/>
      <c r="BG19" s="53" t="s">
        <v>121</v>
      </c>
    </row>
    <row r="20" spans="2:59">
      <c r="B20" s="24" t="s">
        <v>160</v>
      </c>
      <c r="C20" s="26" t="str">
        <f t="shared" si="0"/>
        <v>New Power Plant - Pulverised coal supercritical CCS post-combustion_Kilroot Portpatrick</v>
      </c>
      <c r="D20" s="26" t="s">
        <v>98</v>
      </c>
      <c r="E20" s="24" t="str">
        <f t="shared" si="1"/>
        <v>ELCC, Sink_ELCCO2N</v>
      </c>
      <c r="F20" s="27">
        <f>IF(ELC_EGP!E$24="","",ELC_EGP!E$24)</f>
        <v>0.34</v>
      </c>
      <c r="G20" s="27">
        <f>IF(ELC_EGP!F$24="","",ELC_EGP!F$24)</f>
        <v>0.35</v>
      </c>
      <c r="H20" s="27">
        <f>IF(ELC_EGP!G$24="","",ELC_EGP!G$24)</f>
        <v>0.35</v>
      </c>
      <c r="I20" s="27">
        <f>IF(ELC_EGP!H$24="","",ELC_EGP!H$24)</f>
        <v>0.38</v>
      </c>
      <c r="J20" s="27">
        <f>IF(ELC_EGP!I$24="","",ELC_EGP!I$24)</f>
        <v>0.38</v>
      </c>
      <c r="K20" s="25">
        <f>IF(ELC_EGP!J$24="","",ELC_EGP!J$24)</f>
        <v>2018</v>
      </c>
      <c r="L20" s="75">
        <f>IF(ELC_EGP!K$24="","",ELC_EGP!K$24)+SUM($AA20:$AB20)</f>
        <v>3242.5512158872043</v>
      </c>
      <c r="M20" s="75">
        <f>IF(ELC_EGP!L$24="","",ELC_EGP!L$24)+SUM($AA20:$AB20)</f>
        <v>2942.5512158872043</v>
      </c>
      <c r="N20" s="75">
        <f>IF(ELC_EGP!M$24="","",ELC_EGP!M$24)+SUM($AA20:$AB20)</f>
        <v>2792.5512158872043</v>
      </c>
      <c r="O20" s="75">
        <f>IF(ELC_EGP!N$24="","",ELC_EGP!N$24)+SUM($AA20:$AB20)</f>
        <v>2792.5512158872043</v>
      </c>
      <c r="P20" s="75">
        <f>IF(ELC_EGP!O$24="","",ELC_EGP!O$24)+SUM($AA20:$AB20)</f>
        <v>2792.5512158872043</v>
      </c>
      <c r="Q20" s="74">
        <f>IF(ELC_EGP!P$24="","",ELC_EGP!P$24)</f>
        <v>75</v>
      </c>
      <c r="R20" s="74">
        <f>IF(ELC_EGP!Q$24="","",ELC_EGP!Q$24)</f>
        <v>67.5</v>
      </c>
      <c r="S20" s="74">
        <f>IF(ELC_EGP!R$24="","",ELC_EGP!R$24)</f>
        <v>63.75</v>
      </c>
      <c r="T20" s="74">
        <f>IF(ELC_EGP!S$24="","",ELC_EGP!S$24)</f>
        <v>63.75</v>
      </c>
      <c r="U20" s="74">
        <f>IF(ELC_EGP!T$24="","",ELC_EGP!T$24)</f>
        <v>63.75</v>
      </c>
      <c r="V20" s="78">
        <f>IF(ELC_EGP!U$24="","",ELC_EGP!U$24)+SUM($AC20:$AD20)</f>
        <v>0.38462916182051266</v>
      </c>
      <c r="W20" s="78">
        <f>IF(ELC_EGP!V$24="","",ELC_EGP!V$24)+SUM($AC20:$AD20)</f>
        <v>0.3681291618205127</v>
      </c>
      <c r="X20" s="78">
        <f>IF(ELC_EGP!W$24="","",ELC_EGP!W$24)+SUM($AC20:$AD20)</f>
        <v>0.35987916182051272</v>
      </c>
      <c r="Y20" s="78">
        <f>IF(ELC_EGP!X$24="","",ELC_EGP!X$24)+SUM($AC20:$AD20)</f>
        <v>0.35987916182051272</v>
      </c>
      <c r="Z20" s="78">
        <f>IF(ELC_EGP!Y$24="","",ELC_EGP!Y$24)+SUM($AC20:$AD20)</f>
        <v>0.35987916182051272</v>
      </c>
      <c r="AA20" s="77">
        <f>94.6745088118728*(131.215852099895/100)</f>
        <v>124.22796345888906</v>
      </c>
      <c r="AB20" s="77">
        <f>90.1745105753192*(131.215852099895/100)</f>
        <v>118.32325242831502</v>
      </c>
      <c r="AC20" s="89">
        <f>0.0763887479204813*(131.215852099895/100)</f>
        <v>0.10023414649230035</v>
      </c>
      <c r="AD20" s="89">
        <f>0.0909913043412747*(131.215852099895/100)</f>
        <v>0.11939501532821234</v>
      </c>
      <c r="AE20" s="25">
        <f>IF(ELC_EGP!Z$24="","",ELC_EGP!Z$24)</f>
        <v>40</v>
      </c>
      <c r="AF20" s="28">
        <f>IF(ELC_EGP!AC$24="","",ELC_EGP!AC$24)</f>
        <v>31.536000000000001</v>
      </c>
      <c r="AG20" s="27">
        <f>IF(ELC_EGP!AD$24="","",ELC_EGP!AD$24)</f>
        <v>0.9</v>
      </c>
      <c r="AH20" s="27">
        <f>IF(ELC_EGP!AE$24="","",ELC_EGP!AE$24)</f>
        <v>0.9</v>
      </c>
      <c r="AI20" s="27">
        <f>IF(ELC_EGP!AF$24="","",ELC_EGP!AF$24)</f>
        <v>0.9</v>
      </c>
      <c r="AJ20" s="27">
        <f>IF(ELC_EGP!AG$24="","",ELC_EGP!AG$24)</f>
        <v>0.9</v>
      </c>
      <c r="AK20" s="27">
        <f>IF(ELC_EGP!AH$24="","",ELC_EGP!AH$24)</f>
        <v>0.9</v>
      </c>
      <c r="AL20" s="68">
        <v>11.795999999999999</v>
      </c>
      <c r="AM20" s="68">
        <v>87.204000000000008</v>
      </c>
      <c r="AO20" s="59"/>
      <c r="AP20" s="59" t="str">
        <f t="shared" si="2"/>
        <v>EPPCoa_04_CCS-Kilroot1</v>
      </c>
      <c r="AQ20" s="59" t="str">
        <f t="shared" si="3"/>
        <v>New Power Plant - Pulverised coal supercritical CCS post-combustion_Kilroot Portpatrick</v>
      </c>
      <c r="AR20" s="60" t="s">
        <v>88</v>
      </c>
      <c r="AS20" s="60" t="s">
        <v>2</v>
      </c>
      <c r="AT20" s="49" t="s">
        <v>100</v>
      </c>
      <c r="AU20" s="59"/>
      <c r="AV20" s="59"/>
      <c r="BG20" s="57" t="s">
        <v>125</v>
      </c>
    </row>
    <row r="24" spans="2:59">
      <c r="AA24" s="53">
        <f>131.215852099895/100</f>
        <v>1.3121585209989499</v>
      </c>
      <c r="AB24" s="90" t="s">
        <v>169</v>
      </c>
      <c r="AC24" s="53" t="s">
        <v>168</v>
      </c>
    </row>
    <row r="25" spans="2:59">
      <c r="AA25" s="53" t="s">
        <v>170</v>
      </c>
    </row>
  </sheetData>
  <phoneticPr fontId="15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686AAB-D1BF-4DFE-9F49-6F6D04D4E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1BA114-00C8-4AA6-82E9-E7B647F448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81B585-D9F5-409F-9C58-1AAF8BF716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ELC_EGP</vt:lpstr>
      <vt:lpstr>ELC_CCS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Carlsson</dc:creator>
  <cp:lastModifiedBy>Olex</cp:lastModifiedBy>
  <dcterms:created xsi:type="dcterms:W3CDTF">2015-08-25T14:05:54Z</dcterms:created>
  <dcterms:modified xsi:type="dcterms:W3CDTF">2020-10-21T12:08:12Z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885051906108856</vt:r8>
  </property>
</Properties>
</file>