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79AA27E1-3DDC-467B-A7C7-70839320F850}" xr6:coauthVersionLast="45" xr6:coauthVersionMax="46" xr10:uidLastSave="{00000000-0000-0000-0000-000000000000}"/>
  <bookViews>
    <workbookView xWindow="-120" yWindow="-120" windowWidth="29040" windowHeight="15840" firstSheet="6" activeTab="10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2" i="28" l="1"/>
  <c r="T11" i="28"/>
  <c r="K18" i="22"/>
  <c r="J18" i="22"/>
  <c r="I18" i="22"/>
  <c r="Y27" i="22"/>
  <c r="Y28" i="22"/>
  <c r="X39" i="52" l="1"/>
  <c r="X13" i="52"/>
  <c r="X13" i="51"/>
  <c r="X13" i="28"/>
  <c r="X39" i="28"/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6" i="46"/>
  <c r="L15" i="46"/>
  <c r="L14" i="46"/>
  <c r="L11" i="46"/>
  <c r="L10" i="46"/>
  <c r="L9" i="46"/>
  <c r="I92" i="46" l="1"/>
  <c r="F27" i="22" l="1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P39" i="52"/>
  <c r="P39" i="51"/>
  <c r="P39" i="28"/>
  <c r="T11" i="52" l="1"/>
  <c r="W34" i="46"/>
  <c r="T12" i="52"/>
  <c r="AC12" i="52" s="1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3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T37" i="28" s="1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3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Y32" i="46" l="1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2" i="28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K22" i="22" l="1"/>
  <c r="J22" i="22"/>
  <c r="I22" i="22"/>
  <c r="H22" i="22"/>
  <c r="G22" i="22"/>
  <c r="F22" i="22"/>
  <c r="Z32" i="46"/>
  <c r="AB12" i="28"/>
  <c r="Z33" i="46"/>
  <c r="X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2" i="22" l="1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J26" i="22" s="1"/>
  <c r="J29" i="22" s="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A18" i="22"/>
  <c r="O30" i="22"/>
  <c r="L30" i="22"/>
  <c r="V60" i="52"/>
  <c r="AB54" i="52"/>
  <c r="L18" i="46" s="1"/>
  <c r="V33" i="52"/>
  <c r="AB27" i="51"/>
  <c r="V7" i="51"/>
  <c r="V7" i="52"/>
  <c r="Y11" i="22"/>
  <c r="H26" i="22" l="1"/>
  <c r="H29" i="22" s="1"/>
  <c r="AC27" i="51"/>
  <c r="AA13" i="51"/>
  <c r="AA22" i="22"/>
  <c r="AA27" i="22"/>
  <c r="I26" i="22"/>
  <c r="I29" i="22" s="1"/>
  <c r="AC54" i="28"/>
  <c r="AA39" i="51"/>
  <c r="AC54" i="51"/>
  <c r="AC54" i="52"/>
  <c r="AA39" i="52"/>
  <c r="F26" i="22"/>
  <c r="F29" i="22" s="1"/>
  <c r="AC27" i="28"/>
  <c r="AC27" i="52"/>
  <c r="Y9" i="22"/>
  <c r="F21" i="48"/>
  <c r="I9" i="48"/>
  <c r="Z35" i="22"/>
  <c r="Z36" i="22"/>
  <c r="AB27" i="28"/>
  <c r="L6" i="46" s="1"/>
  <c r="AB27" i="52"/>
  <c r="AB54" i="51"/>
  <c r="L13" i="46" s="1"/>
  <c r="H31" i="22"/>
  <c r="Y19" i="22"/>
  <c r="V20" i="52"/>
  <c r="V20" i="28"/>
  <c r="Y10" i="22"/>
  <c r="AB54" i="28"/>
  <c r="L8" i="46" s="1"/>
  <c r="AA17" i="22"/>
  <c r="AA11" i="22"/>
  <c r="AA16" i="22"/>
  <c r="V33" i="28"/>
  <c r="AA13" i="22"/>
  <c r="AA14" i="22"/>
  <c r="AA15" i="22"/>
  <c r="Y26" i="22" l="1"/>
  <c r="Y29" i="22" s="1"/>
  <c r="F30" i="22"/>
  <c r="AA9" i="22"/>
  <c r="I30" i="22"/>
  <c r="AA19" i="22"/>
  <c r="AA10" i="22"/>
  <c r="T30" i="22" l="1"/>
  <c r="Z33" i="22"/>
  <c r="Z34" i="22"/>
  <c r="G30" i="22" l="1"/>
  <c r="M12" i="48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<sst xmlns="http://schemas.openxmlformats.org/spreadsheetml/2006/main" count="68844" uniqueCount="1011">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</sst>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</cellStyleXfs>
  <cellXfs count="1140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</cellXfs>
  <cellStyles count="19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77.587292368367088</c:v>
                </c:pt>
                <c:pt idx="1">
                  <c:v>24.046072356176545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83" t="s">
        <v>893</v>
      </c>
      <c r="B17" s="1083"/>
      <c r="C17" s="1083"/>
      <c r="D17" s="1083"/>
      <c r="E17" s="1083"/>
      <c r="F17" s="1083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84" t="s">
        <v>656</v>
      </c>
      <c r="C20" s="1084"/>
      <c r="D20" s="1084"/>
      <c r="E20" s="1084"/>
      <c r="F20" s="1084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85" t="s">
        <v>1</v>
      </c>
      <c r="C21" s="1085"/>
      <c r="D21" s="1085"/>
      <c r="E21" s="1085"/>
      <c r="F21" s="1085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85" t="s">
        <v>658</v>
      </c>
      <c r="C22" s="1085"/>
      <c r="D22" s="1085"/>
      <c r="E22" s="1085"/>
      <c r="F22" s="1085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86"/>
      <c r="B25" s="1086"/>
      <c r="C25" s="1086"/>
      <c r="D25" s="1086"/>
      <c r="E25" s="1086"/>
      <c r="F25" s="1086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82"/>
      <c r="B26" s="1082"/>
      <c r="C26" s="1082"/>
      <c r="D26" s="1082"/>
      <c r="E26" s="1082"/>
      <c r="F26" s="1082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87" t="s">
        <v>4</v>
      </c>
      <c r="C2" s="1088"/>
      <c r="D2" s="1088"/>
      <c r="E2" s="1089"/>
      <c r="G2" s="1087" t="s">
        <v>5</v>
      </c>
      <c r="H2" s="1089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90" t="s">
        <v>681</v>
      </c>
      <c r="C20" s="1091"/>
      <c r="D20" s="1091"/>
      <c r="E20" s="1092"/>
      <c r="G20" s="1087" t="s">
        <v>14</v>
      </c>
      <c r="H20" s="1089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87" t="s">
        <v>689</v>
      </c>
      <c r="C38" s="1088"/>
      <c r="D38" s="1088"/>
      <c r="E38" s="1089"/>
      <c r="G38" s="1093" t="s">
        <v>683</v>
      </c>
      <c r="H38" s="1094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17" workbookViewId="0">
      <selection activeCell="B21" sqref="B2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95" t="s">
        <v>27</v>
      </c>
      <c r="B1" s="1096"/>
      <c r="C1" s="1096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97" t="s">
        <v>29</v>
      </c>
      <c r="B7" s="1098"/>
      <c r="C7" s="1099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97" t="s">
        <v>30</v>
      </c>
      <c r="B28" s="1098"/>
      <c r="C28" s="1099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97" t="s">
        <v>43</v>
      </c>
      <c r="B35" s="1098"/>
      <c r="C35" s="1099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97" t="s">
        <v>51</v>
      </c>
      <c r="B39" s="1098"/>
      <c r="C39" s="1099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97" t="s">
        <v>70</v>
      </c>
      <c r="B49" s="1098"/>
      <c r="C49" s="1099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97" t="s">
        <v>72</v>
      </c>
      <c r="B62" s="1098"/>
      <c r="C62" s="1099"/>
    </row>
    <row r="63" spans="1:3">
      <c r="A63" s="1097" t="s">
        <v>73</v>
      </c>
      <c r="B63" s="1098"/>
      <c r="C63" s="1099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97" t="s">
        <v>80</v>
      </c>
      <c r="B70" s="1098"/>
      <c r="C70" s="1099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97" t="s">
        <v>533</v>
      </c>
      <c r="B76" s="1098"/>
      <c r="C76" s="1099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97" t="s">
        <v>876</v>
      </c>
      <c r="B84" s="1098"/>
      <c r="C84" s="1099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E22" sqref="E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104" t="s">
        <v>806</v>
      </c>
      <c r="G1" s="1105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11" t="s">
        <v>790</v>
      </c>
      <c r="G2" s="1112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13" t="s">
        <v>540</v>
      </c>
      <c r="G3" s="1114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15" t="s">
        <v>213</v>
      </c>
      <c r="G4" s="1116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17" t="s">
        <v>548</v>
      </c>
      <c r="G5" s="1118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/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/>
      <c r="AO6" s="81"/>
      <c r="AP6" s="81"/>
      <c r="AQ6" s="81"/>
      <c r="AR6" s="81"/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10" t="s">
        <v>224</v>
      </c>
      <c r="J7" s="1108"/>
      <c r="K7" s="1109"/>
      <c r="L7" s="1110" t="s">
        <v>225</v>
      </c>
      <c r="M7" s="1108"/>
      <c r="N7" s="1109"/>
      <c r="O7" s="1110" t="s">
        <v>226</v>
      </c>
      <c r="P7" s="1108"/>
      <c r="Q7" s="1108"/>
      <c r="R7" s="1106" t="s">
        <v>227</v>
      </c>
      <c r="S7" s="1108" t="s">
        <v>805</v>
      </c>
      <c r="T7" s="1108"/>
      <c r="U7" s="1108"/>
      <c r="V7" s="1108"/>
      <c r="W7" s="1108"/>
      <c r="X7" s="1109"/>
      <c r="Y7" s="1100" t="s">
        <v>873</v>
      </c>
      <c r="Z7" s="1100" t="s">
        <v>550</v>
      </c>
      <c r="AA7" s="1102" t="s">
        <v>938</v>
      </c>
      <c r="AB7" s="81"/>
      <c r="AC7" s="81"/>
      <c r="AE7" s="81"/>
      <c r="AF7" s="81"/>
      <c r="AG7" s="81"/>
      <c r="AH7" s="81"/>
      <c r="AI7" s="81"/>
      <c r="AK7" s="81"/>
      <c r="AL7" s="81"/>
      <c r="AM7" s="81"/>
      <c r="AN7" s="81"/>
      <c r="AO7" s="81"/>
      <c r="AP7" s="81"/>
      <c r="AQ7" s="81"/>
      <c r="AR7" s="81"/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07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101"/>
      <c r="Z8" s="1101"/>
      <c r="AA8" s="1103" t="s">
        <v>814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0">C10</f>
        <v>8.22868674342444</v>
      </c>
      <c r="AA10" s="428">
        <f>ABS(Z10-Y10)/Z10</f>
        <v>3.2072510937073088E-3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5" si="1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D11" s="428"/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1"/>
        <v>0</v>
      </c>
      <c r="Z12" s="535">
        <f t="shared" si="0"/>
        <v>0</v>
      </c>
      <c r="AA12" s="428"/>
      <c r="AD12" s="55"/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1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D13" s="55"/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1"/>
        <v>0</v>
      </c>
      <c r="Z14" s="566">
        <f t="shared" si="0"/>
        <v>11.893905446769136</v>
      </c>
      <c r="AA14" s="428">
        <f>ABS(Z13+Z14+Z16-Y13)/(Z13+Z14+Z16)</f>
        <v>3.0673184078375199E-5</v>
      </c>
      <c r="AD14" s="55"/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1"/>
        <v>0</v>
      </c>
      <c r="Z15" s="566">
        <f t="shared" si="0"/>
        <v>0</v>
      </c>
      <c r="AA15" s="428">
        <f>ABS(Z13+Z14+Z16-Y13)/(Z13+Z14+Z16)</f>
        <v>3.0673184078375199E-5</v>
      </c>
      <c r="AD15" s="55"/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1"/>
        <v>0</v>
      </c>
      <c r="Z16" s="566">
        <f t="shared" si="0"/>
        <v>0.14696868507580046</v>
      </c>
      <c r="AA16" s="428">
        <f>ABS(Z13+Z14+Z16-Y13)/(Z13+Z14+Z16)</f>
        <v>3.0673184078375199E-5</v>
      </c>
      <c r="AD16" s="55"/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1"/>
        <v>25.291740602835606</v>
      </c>
      <c r="Z17" s="534">
        <f t="shared" si="0"/>
        <v>25.292197479166735</v>
      </c>
      <c r="AA17" s="428">
        <f>ABS(Z17-Y17)/Z17</f>
        <v>1.8063923923758402E-5</v>
      </c>
      <c r="AD17" s="55"/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</f>
        <v>2.8008835678000416E-2</v>
      </c>
      <c r="J18" s="609">
        <f>($C$18*0.475)</f>
        <v>0.26608393894100396</v>
      </c>
      <c r="K18" s="610">
        <f>($C$18*0.475)</f>
        <v>0.26608393894100396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97">
        <f t="shared" si="1"/>
        <v>0.56017671356000842</v>
      </c>
      <c r="Z18" s="598">
        <f t="shared" si="0"/>
        <v>0.56017671356000831</v>
      </c>
      <c r="AA18" s="1040">
        <f>ABS(Z18+Z22+Z27-Y18-Y22-Y27)/(Z18+Z22+Z27)</f>
        <v>1.5867572545959899E-2</v>
      </c>
      <c r="AD18" s="55"/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D19" s="55"/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1"/>
        <v>0</v>
      </c>
      <c r="Z20" s="535">
        <f t="shared" si="0"/>
        <v>0</v>
      </c>
      <c r="AD20" s="55"/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1"/>
        <v>0</v>
      </c>
      <c r="Z21" s="534">
        <f t="shared" si="0"/>
        <v>0</v>
      </c>
      <c r="AD21" s="55"/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('SHWLP-Apt'!$AC$12/('SHWLP-Apt'!$AC$12+'SHWLP-Att'!$AC$12+'SHWLP-Det'!$AC$12+'SHWLP-Apt'!$AC$38+'SHWLP-Att'!$AC$38+'SHWLP-Det'!$AC$38+F27+I27))</f>
        <v>7.2003868866335502E-2</v>
      </c>
      <c r="G22" s="609">
        <f>('SHWLP-Att'!$AC$12/('SHWLP-Apt'!$AC$12+'SHWLP-Att'!$AC$12+'SHWLP-Det'!$AC$12+'SHWLP-Apt'!$AC$38+'SHWLP-Att'!$AC$38+'SHWLP-Det'!$AC$38+G27+J27))</f>
        <v>2.4165912696290079E-2</v>
      </c>
      <c r="H22" s="610">
        <f>('SHWLP-Det'!$AC$12/('SHWLP-Apt'!$AC$12+'SHWLP-Att'!$AC$12+'SHWLP-Det'!$AC$12+'SHWLP-Apt'!$AC$38+'SHWLP-Att'!$AC$38+'SHWLP-Det'!$AC$38+H27+K27))</f>
        <v>5.8315718183774463E-2</v>
      </c>
      <c r="I22" s="608">
        <f>('SHWLP-Apt'!$AC$38/('SHWLP-Apt'!$AC$12+'SHWLP-Att'!$AC$12+'SHWLP-Det'!$AC$12+'SHWLP-Apt'!$AC$38+'SHWLP-Att'!$AC$38+'SHWLP-Det'!$AC$38+F27+I27))</f>
        <v>0.44032132757706238</v>
      </c>
      <c r="J22" s="609">
        <f>('SHWLP-Att'!$AC$38/('SHWLP-Apt'!$AC$12+'SHWLP-Att'!$AC$12+'SHWLP-Det'!$AC$12+'SHWLP-Apt'!$AC$38+'SHWLP-Att'!$AC$38+'SHWLP-Det'!$AC$38+G27+J27))</f>
        <v>0.19924718841370784</v>
      </c>
      <c r="K22" s="610">
        <f>('SHWLP-Det'!$AC$38/('SHWLP-Apt'!$AC$12+'SHWLP-Att'!$AC$12+'SHWLP-Det'!$AC$12+'SHWLP-Apt'!$AC$38+'SHWLP-Att'!$AC$38+'SHWLP-Det'!$AC$38+H27+K27))</f>
        <v>0.11090188834898147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>SUM(F22:X22)</f>
        <v>0.90495590408615179</v>
      </c>
      <c r="Z22" s="598">
        <f t="shared" si="0"/>
        <v>1.1776284562901849</v>
      </c>
      <c r="AA22" s="1040">
        <f>ABS(Z18+Z22+Z27-Y18-Y22-Y27)/(Z18+Z22+Z27)</f>
        <v>1.5867572545959899E-2</v>
      </c>
      <c r="AD22" s="55"/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1"/>
        <v>1.3994741658566312E-4</v>
      </c>
      <c r="Z23" s="534">
        <f t="shared" si="0"/>
        <v>0</v>
      </c>
      <c r="AA23" s="55"/>
      <c r="AD23" s="55"/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1"/>
        <v>2.4381198480162954E-4</v>
      </c>
      <c r="Z24" s="535">
        <f t="shared" si="0"/>
        <v>0</v>
      </c>
      <c r="AA24" s="55"/>
      <c r="AD24" s="55"/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1"/>
        <v>0</v>
      </c>
      <c r="Z25" s="534">
        <f t="shared" si="0"/>
        <v>0</v>
      </c>
      <c r="AA25" s="55"/>
      <c r="AD25" s="55"/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0.55107351567218343</v>
      </c>
      <c r="G26" s="582">
        <f>'SHWLP-Att'!$AC$11+'SHWLP-Att'!$AC$13</f>
        <v>0.94012212834531994</v>
      </c>
      <c r="H26" s="590">
        <f>'SHWLP-Det'!$AC$11+'SHWLP-Det'!$AC$13</f>
        <v>1.4775667124418337</v>
      </c>
      <c r="I26" s="589">
        <f>'SHWLP-Apt'!$AC$37+'SHWLP-Apt'!$AC$39</f>
        <v>0.9598235760554934</v>
      </c>
      <c r="J26" s="582">
        <f>'SHWLP-Att'!$AC$37+'SHWLP-Att'!$AC$39</f>
        <v>0.68054584154378805</v>
      </c>
      <c r="K26" s="590">
        <f>'SHWLP-Det'!$AC$37+'SHWLP-Det'!$AC$39</f>
        <v>0.53214383313465097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29.388829444686969</v>
      </c>
      <c r="Z26" s="535">
        <f t="shared" si="0"/>
        <v>29.430890206847998</v>
      </c>
      <c r="AA26" s="428">
        <f>ABS(Z26-Y26)/Z26</f>
        <v>1.4291365930630938E-3</v>
      </c>
      <c r="AD26" s="55"/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>SUM(F27:X27)</f>
        <v>0.24509780260069097</v>
      </c>
      <c r="Z27" s="599">
        <f t="shared" si="0"/>
        <v>0</v>
      </c>
      <c r="AA27" s="1040">
        <f>ABS(Z18+Z22+Z27-Y18-Y22-Y27)/(Z18+Z22+Z27)</f>
        <v>1.5867572545959899E-2</v>
      </c>
      <c r="AD27" s="55"/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</row>
    <row r="29" spans="1:45" ht="13.5" thickBot="1">
      <c r="A29" s="55"/>
      <c r="B29" s="55"/>
      <c r="C29" s="55"/>
      <c r="D29" s="55"/>
      <c r="E29" s="55"/>
      <c r="F29" s="537">
        <f>SUM(F9:F27)</f>
        <v>2.4954529381661077</v>
      </c>
      <c r="G29" s="537">
        <f t="shared" ref="G29:K29" si="2">SUM(G9:G27)</f>
        <v>27.823876951399562</v>
      </c>
      <c r="H29" s="537">
        <f t="shared" si="2"/>
        <v>47.267962478801422</v>
      </c>
      <c r="I29" s="537">
        <f t="shared" si="2"/>
        <v>2.3047411908807085</v>
      </c>
      <c r="J29" s="537">
        <f t="shared" si="2"/>
        <v>9.8921356148015729</v>
      </c>
      <c r="K29" s="537">
        <f t="shared" si="2"/>
        <v>11.849195550494265</v>
      </c>
      <c r="L29" s="539">
        <f t="shared" ref="L29:X29" si="3">SUM(L9:L27)</f>
        <v>0.33324972411353743</v>
      </c>
      <c r="M29" s="539">
        <f t="shared" si="3"/>
        <v>1.7527820568537191</v>
      </c>
      <c r="N29" s="539">
        <f t="shared" si="3"/>
        <v>2.7292596494240944</v>
      </c>
      <c r="O29" s="539">
        <f t="shared" si="3"/>
        <v>6.8669034558234018E-2</v>
      </c>
      <c r="P29" s="539">
        <f t="shared" si="3"/>
        <v>0.48537443842897676</v>
      </c>
      <c r="Q29" s="539">
        <f t="shared" si="3"/>
        <v>0.56807842105210182</v>
      </c>
      <c r="R29" s="697">
        <f t="shared" si="3"/>
        <v>2.7611554513679644</v>
      </c>
      <c r="S29" s="539">
        <f t="shared" si="3"/>
        <v>1.4117078065859998</v>
      </c>
      <c r="T29" s="539">
        <f t="shared" si="3"/>
        <v>1.1023237905322498</v>
      </c>
      <c r="U29" s="539">
        <f t="shared" si="3"/>
        <v>1.7147299705763039</v>
      </c>
      <c r="V29" s="539">
        <f t="shared" si="3"/>
        <v>1.1862012348845998</v>
      </c>
      <c r="W29" s="696">
        <f t="shared" si="3"/>
        <v>10.843443600154002</v>
      </c>
      <c r="X29" s="539">
        <f t="shared" si="3"/>
        <v>0</v>
      </c>
      <c r="Y29" s="1020">
        <f>SUM(Y9:Y26)</f>
        <v>126.34524210047474</v>
      </c>
      <c r="Z29" s="1019">
        <f>SUM(Z9:Z27)</f>
        <v>126.68456757434075</v>
      </c>
      <c r="AA29" s="428">
        <f>ABS(Z29-Y29)/Z29</f>
        <v>2.6785067855000545E-3</v>
      </c>
      <c r="AB29" s="81"/>
      <c r="AC29" s="81"/>
      <c r="AD29" s="55"/>
      <c r="AE29" s="81"/>
      <c r="AF29" s="81"/>
      <c r="AG29" s="81"/>
      <c r="AH29" s="81"/>
      <c r="AI29" s="81"/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77.587292368367088</v>
      </c>
      <c r="G30" s="538">
        <f>F30/$Y$29</f>
        <v>0.61408954606036215</v>
      </c>
      <c r="H30" s="370"/>
      <c r="I30" s="539">
        <f>SUM(I29:K29)</f>
        <v>24.046072356176545</v>
      </c>
      <c r="J30" s="538">
        <f>I30/$Y$29</f>
        <v>0.19032036312894282</v>
      </c>
      <c r="K30" s="370"/>
      <c r="L30" s="539">
        <f>SUM(L29:N29)</f>
        <v>4.8152914303913512</v>
      </c>
      <c r="M30" s="538">
        <f>L30/$Y$29</f>
        <v>3.8112170670914866E-2</v>
      </c>
      <c r="N30" s="370"/>
      <c r="O30" s="539">
        <f>SUM(O29:Q29)</f>
        <v>1.1221218940393127</v>
      </c>
      <c r="P30" s="538">
        <f>O30/$Y$29</f>
        <v>8.8813941497453228E-3</v>
      </c>
      <c r="Q30" s="370"/>
      <c r="R30" s="538">
        <f>R29/$Y$29</f>
        <v>2.185405168777297E-2</v>
      </c>
      <c r="S30" s="539">
        <f>SUM(S29:X29)</f>
        <v>16.258406402733154</v>
      </c>
      <c r="T30" s="538">
        <f>S30/$Y$29</f>
        <v>0.12868237958500903</v>
      </c>
      <c r="U30" s="370"/>
      <c r="V30" s="370"/>
      <c r="W30" s="370"/>
      <c r="X30" s="370"/>
      <c r="Y30" s="540">
        <f>T30+R30+P30++M30+J30+G30</f>
        <v>1.0019399052827471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77.587292368367088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24.046072356176545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3">
    <mergeCell ref="Y7:Y8"/>
    <mergeCell ref="Z7:Z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19" t="s">
        <v>606</v>
      </c>
      <c r="C4" s="1119"/>
      <c r="D4" s="1119"/>
      <c r="E4" s="1119"/>
      <c r="F4" s="1119"/>
      <c r="G4" s="1119"/>
      <c r="H4" s="1119"/>
      <c r="I4" s="1119"/>
      <c r="J4" s="1119"/>
      <c r="K4" s="1119"/>
      <c r="L4" s="1119"/>
      <c r="M4" s="373"/>
      <c r="O4" s="1119" t="s">
        <v>608</v>
      </c>
      <c r="P4" s="1119"/>
      <c r="Q4" s="1119"/>
      <c r="R4" s="1119"/>
      <c r="S4" s="1119"/>
      <c r="T4" s="1119"/>
      <c r="U4" s="1119"/>
      <c r="V4" s="1119"/>
      <c r="W4" s="1119"/>
      <c r="X4" s="1119"/>
      <c r="Y4" s="1119"/>
      <c r="Z4" s="1119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20" t="s">
        <v>615</v>
      </c>
      <c r="AZ18" s="1120"/>
      <c r="BA18" s="1120"/>
      <c r="BB18" s="1120"/>
      <c r="BC18" s="1120"/>
      <c r="BD18" s="1120"/>
      <c r="BE18" s="1120"/>
      <c r="BF18" s="1120"/>
      <c r="BG18" s="1120"/>
      <c r="BH18" s="1120"/>
      <c r="BI18" s="1120"/>
      <c r="BJ18" s="1120"/>
      <c r="BL18" s="1120" t="s">
        <v>616</v>
      </c>
      <c r="BM18" s="1120"/>
      <c r="BN18" s="1120"/>
      <c r="BO18" s="1120"/>
      <c r="BP18" s="1120"/>
      <c r="BQ18" s="1120"/>
      <c r="BR18" s="1120"/>
      <c r="BS18" s="1120"/>
      <c r="BT18" s="1120"/>
      <c r="BU18" s="1120"/>
      <c r="BV18" s="1120"/>
      <c r="BW18" s="1120"/>
      <c r="BX18" s="1120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19" t="s">
        <v>607</v>
      </c>
      <c r="C19" s="1119"/>
      <c r="D19" s="1119"/>
      <c r="E19" s="1119"/>
      <c r="F19" s="1119"/>
      <c r="G19" s="1119"/>
      <c r="H19" s="1119"/>
      <c r="I19" s="1119"/>
      <c r="J19" s="1119"/>
      <c r="K19" s="1119"/>
      <c r="L19" s="1119"/>
      <c r="M19" s="373"/>
      <c r="O19" s="1119" t="s">
        <v>608</v>
      </c>
      <c r="P19" s="1119"/>
      <c r="Q19" s="1119"/>
      <c r="R19" s="1119"/>
      <c r="S19" s="1119"/>
      <c r="T19" s="1119"/>
      <c r="U19" s="1119"/>
      <c r="V19" s="1119"/>
      <c r="W19" s="1119"/>
      <c r="X19" s="1119"/>
      <c r="Y19" s="1119"/>
      <c r="Z19" s="1119"/>
      <c r="AB19" s="1119" t="s">
        <v>609</v>
      </c>
      <c r="AC19" s="1119"/>
      <c r="AD19" s="1119"/>
      <c r="AE19" s="1119"/>
      <c r="AF19" s="1119"/>
      <c r="AG19" s="1119"/>
      <c r="AH19" s="1119"/>
      <c r="AI19" s="1119"/>
      <c r="AJ19" s="1119"/>
      <c r="AK19" s="1119"/>
      <c r="AL19" s="1119"/>
      <c r="AN19" s="1119" t="s">
        <v>610</v>
      </c>
      <c r="AO19" s="1119"/>
      <c r="AP19" s="1119"/>
      <c r="AQ19" s="1119"/>
      <c r="AR19" s="1119"/>
      <c r="AS19" s="1119"/>
      <c r="AT19" s="1119"/>
      <c r="AU19" s="1119"/>
      <c r="AV19" s="1119"/>
      <c r="AW19" s="1119"/>
      <c r="AY19" s="1119" t="s">
        <v>611</v>
      </c>
      <c r="AZ19" s="1119"/>
      <c r="BA19" s="1119"/>
      <c r="BB19" s="1119"/>
      <c r="BC19" s="1119"/>
      <c r="BD19" s="1119"/>
      <c r="BE19" s="1119"/>
      <c r="BF19" s="1119"/>
      <c r="BG19" s="1119"/>
      <c r="BH19" s="1119"/>
      <c r="BI19" s="1119"/>
      <c r="BJ19" s="1119"/>
      <c r="BL19" s="1119" t="s">
        <v>617</v>
      </c>
      <c r="BM19" s="1119"/>
      <c r="BN19" s="1119"/>
      <c r="BO19" s="1119"/>
      <c r="BP19" s="1119"/>
      <c r="BQ19" s="1119"/>
      <c r="BR19" s="1119"/>
      <c r="BS19" s="1119"/>
      <c r="BT19" s="1119"/>
      <c r="BU19" s="1119"/>
      <c r="BV19" s="1119"/>
      <c r="BW19" s="1119"/>
      <c r="BX19" s="1119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E19" sqref="E1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tabSelected="1" workbookViewId="0">
      <selection activeCell="D13" sqref="D13"/>
    </sheetView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topLeftCell="A33" zoomScale="130" zoomScaleNormal="130" workbookViewId="0">
      <selection activeCell="D35" sqref="D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2" t="s">
        <v>939</v>
      </c>
      <c r="C5" s="1042" t="s">
        <v>276</v>
      </c>
      <c r="D5" s="1042" t="s">
        <v>277</v>
      </c>
      <c r="E5" s="1042" t="s">
        <v>278</v>
      </c>
      <c r="F5" s="1042" t="s">
        <v>279</v>
      </c>
      <c r="G5" s="1043" t="s">
        <v>280</v>
      </c>
      <c r="H5" s="1043" t="s">
        <v>280</v>
      </c>
      <c r="I5" s="1043"/>
      <c r="J5" s="1044"/>
      <c r="K5" s="1044"/>
      <c r="L5" s="1044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5" t="str">
        <f>_xlfn.TEXTJOIN(",",TRUE,IF(LEFT(Regions!$C$3,1)&lt;&gt;"*",Regions!$C$3,""),IF(LEFT(Regions!$D$3,1)&lt;&gt;"*",Regions!$D$3,""))</f>
        <v>IE,National</v>
      </c>
      <c r="C6" s="1046" t="str">
        <f>P6</f>
        <v>R-BLD_Apt</v>
      </c>
      <c r="D6" s="1047" t="str">
        <f>Q6</f>
        <v>Residential Building Apartment</v>
      </c>
      <c r="E6" s="1048" t="str">
        <f>COMM!O9</f>
        <v>RSDSH_Apt</v>
      </c>
      <c r="F6" s="1047" t="str">
        <f>COMM!O6</f>
        <v>RSD_Apt</v>
      </c>
      <c r="G6" s="1049">
        <f>IF(DwellingStocks!H29=0,"",DwellingStocks!$I$38/1000)</f>
        <v>206.79888499999998</v>
      </c>
      <c r="H6" s="1049">
        <v>172.33</v>
      </c>
      <c r="I6" s="1049">
        <v>1</v>
      </c>
      <c r="J6" s="1047">
        <v>100</v>
      </c>
      <c r="K6" s="1047">
        <v>1</v>
      </c>
      <c r="L6" s="1076">
        <f>'SHWLP-Apt'!$AB$27/$G$6</f>
        <v>1.0049764314501178E-2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0"/>
      <c r="C7" s="1051"/>
      <c r="D7" s="1052"/>
      <c r="E7" s="1053" t="str">
        <f>COMM!O12</f>
        <v>RSDSC_Apt</v>
      </c>
      <c r="F7" s="1052"/>
      <c r="G7" s="1054"/>
      <c r="H7" s="1054"/>
      <c r="I7" s="1054"/>
      <c r="J7" s="1052"/>
      <c r="K7" s="1052"/>
      <c r="L7" s="1077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5"/>
      <c r="C8" s="1056"/>
      <c r="D8" s="1056"/>
      <c r="E8" s="1057" t="str">
        <f>COMM!O15</f>
        <v>RSDWH_Apt</v>
      </c>
      <c r="F8" s="1056"/>
      <c r="G8" s="1058"/>
      <c r="H8" s="1058"/>
      <c r="I8" s="1058"/>
      <c r="J8" s="1056"/>
      <c r="K8" s="1056"/>
      <c r="L8" s="1078">
        <f>'SHWLP-Apt'!$AB$54/$G$6</f>
        <v>1.05070929119275E-2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0"/>
      <c r="C9" s="1051"/>
      <c r="D9" s="1052"/>
      <c r="E9" s="1053" t="str">
        <f>COMM!O18</f>
        <v>RSDLT_Apt</v>
      </c>
      <c r="F9" s="1052"/>
      <c r="G9" s="1054"/>
      <c r="H9" s="1054"/>
      <c r="I9" s="1054"/>
      <c r="J9" s="1052"/>
      <c r="K9" s="1052"/>
      <c r="L9" s="1077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59"/>
      <c r="C10" s="1060"/>
      <c r="D10" s="1060"/>
      <c r="E10" s="1061" t="str">
        <f>COMM!O21</f>
        <v>RSDPF_Apt</v>
      </c>
      <c r="F10" s="1060"/>
      <c r="G10" s="1062"/>
      <c r="H10" s="1062"/>
      <c r="I10" s="1062"/>
      <c r="J10" s="1060"/>
      <c r="K10" s="1060"/>
      <c r="L10" s="1079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3" t="str">
        <f>_xlfn.TEXTJOIN(",",TRUE,IF(LEFT(Regions!$C$3,1)&lt;&gt;"*",Regions!$C$3,""),IF(LEFT(Regions!$D$3,1)&lt;&gt;"*",Regions!$D$3,""))</f>
        <v>IE,National</v>
      </c>
      <c r="C11" s="1071" t="str">
        <f>P7</f>
        <v>R-BLD_Att</v>
      </c>
      <c r="D11" s="1064" t="str">
        <f>Q7</f>
        <v>Residential Building Attached</v>
      </c>
      <c r="E11" s="1065" t="str">
        <f>COMM!O10</f>
        <v>RSDSH_Att</v>
      </c>
      <c r="F11" s="1064" t="str">
        <f>COMM!O7</f>
        <v>RSD_Att</v>
      </c>
      <c r="G11" s="1066">
        <f>IF(DwellingStocks!H30=0,"",DwellingStocks!$J$38/1000)</f>
        <v>766.35172099999977</v>
      </c>
      <c r="H11" s="1066">
        <v>638.63</v>
      </c>
      <c r="I11" s="1066">
        <v>1</v>
      </c>
      <c r="J11" s="1064">
        <v>100</v>
      </c>
      <c r="K11" s="1064">
        <v>1</v>
      </c>
      <c r="L11" s="1080">
        <f>'SHWLP-Att'!$AB$27/$G$11</f>
        <v>2.7508433529257397E-2</v>
      </c>
      <c r="M11" s="548"/>
      <c r="T11"/>
      <c r="U11" s="81"/>
      <c r="V11" s="81"/>
      <c r="W11" s="1023"/>
      <c r="X11" s="1023"/>
      <c r="Y11" s="1023"/>
      <c r="Z11" s="1023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5"/>
      <c r="C12" s="1056"/>
      <c r="D12" s="1056"/>
      <c r="E12" s="1057" t="str">
        <f>COMM!O13</f>
        <v>RSDSC_Att</v>
      </c>
      <c r="F12" s="1056"/>
      <c r="G12" s="1058"/>
      <c r="H12" s="1058"/>
      <c r="I12" s="1058"/>
      <c r="J12" s="1056"/>
      <c r="K12" s="1056"/>
      <c r="L12" s="1078">
        <v>0</v>
      </c>
      <c r="M12" s="548"/>
      <c r="T12"/>
      <c r="U12" s="81"/>
      <c r="V12" s="81"/>
      <c r="W12" s="1023"/>
      <c r="X12" s="1023"/>
      <c r="Y12" s="1023"/>
      <c r="Z12" s="1023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0"/>
      <c r="C13" s="1051"/>
      <c r="D13" s="1052"/>
      <c r="E13" s="1053" t="str">
        <f>COMM!O16</f>
        <v>RSDWH_Att</v>
      </c>
      <c r="F13" s="1052"/>
      <c r="G13" s="1054"/>
      <c r="H13" s="1054"/>
      <c r="I13" s="1054"/>
      <c r="J13" s="1052"/>
      <c r="K13" s="1052"/>
      <c r="L13" s="1077">
        <f>'SHWLP-Att'!$AB$54/$G$11</f>
        <v>1.0587421907596664E-2</v>
      </c>
      <c r="M13" s="548"/>
      <c r="T13"/>
      <c r="U13" s="81"/>
      <c r="V13" s="1121" t="s">
        <v>686</v>
      </c>
      <c r="W13" s="1122"/>
      <c r="X13" s="1122"/>
      <c r="Y13" s="1122"/>
      <c r="Z13" s="1123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5"/>
      <c r="C14" s="1056"/>
      <c r="D14" s="1056"/>
      <c r="E14" s="1057" t="str">
        <f>COMM!O19</f>
        <v>RSDLT_Att</v>
      </c>
      <c r="F14" s="1056"/>
      <c r="G14" s="1058"/>
      <c r="H14" s="1058"/>
      <c r="I14" s="1058"/>
      <c r="J14" s="1056"/>
      <c r="K14" s="1056"/>
      <c r="L14" s="1078">
        <f>'SHWLP-Att'!AB59/$G$11</f>
        <v>9.1487081392159866E-4</v>
      </c>
      <c r="M14" s="548"/>
      <c r="P14" s="548"/>
      <c r="Q14" s="548"/>
      <c r="R14" s="548"/>
      <c r="S14" s="548"/>
      <c r="U14" s="81"/>
      <c r="V14" s="1024"/>
      <c r="W14" s="1025" t="s">
        <v>1007</v>
      </c>
      <c r="X14" s="1025" t="s">
        <v>1006</v>
      </c>
      <c r="Y14" s="1026" t="s">
        <v>1008</v>
      </c>
      <c r="Z14" s="1024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7"/>
      <c r="C15" s="1072"/>
      <c r="D15" s="1068"/>
      <c r="E15" s="1069" t="str">
        <f>COMM!O22</f>
        <v>RSDPF_Att</v>
      </c>
      <c r="F15" s="1068"/>
      <c r="G15" s="1070"/>
      <c r="H15" s="1070"/>
      <c r="I15" s="1070"/>
      <c r="J15" s="1068"/>
      <c r="K15" s="1068"/>
      <c r="L15" s="1081">
        <f>'SHWLP-Att'!AB60/$G$11</f>
        <v>3.8001436556751221E-4</v>
      </c>
      <c r="M15" s="548"/>
      <c r="P15" s="548"/>
      <c r="Q15" s="548"/>
      <c r="R15" s="548"/>
      <c r="S15" s="548"/>
      <c r="U15" s="81"/>
      <c r="V15" s="1027" t="s">
        <v>46</v>
      </c>
      <c r="W15" s="1036">
        <f>'SHWLP-Apt'!E25</f>
        <v>37772</v>
      </c>
      <c r="X15" s="1028">
        <f>W15/SUM(W15+Y15)</f>
        <v>0.58696834548025667</v>
      </c>
      <c r="Y15" s="1036">
        <f>'SHWLP-Apt'!E12</f>
        <v>26579</v>
      </c>
      <c r="Z15" s="1029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3" t="str">
        <f>_xlfn.TEXTJOIN(",",TRUE,IF(LEFT(Regions!$C$3,1)&lt;&gt;"*",Regions!$C$3,""),IF(LEFT(Regions!$D$3,1)&lt;&gt;"*",Regions!$D$3,""))</f>
        <v>IE,National</v>
      </c>
      <c r="C16" s="1047" t="str">
        <f>P8</f>
        <v>R-BLD_Det</v>
      </c>
      <c r="D16" s="1047" t="str">
        <f>Q8</f>
        <v>Residential Building Detached</v>
      </c>
      <c r="E16" s="1048" t="str">
        <f>COMM!O11</f>
        <v>RSDSH_Det</v>
      </c>
      <c r="F16" s="1047" t="str">
        <f>COMM!O8</f>
        <v>RSD_Det</v>
      </c>
      <c r="G16" s="1049">
        <f>IF(DwellingStocks!H34=0,"",DwellingStocks!$K$38/1000)</f>
        <v>724.42972899999995</v>
      </c>
      <c r="H16" s="1049">
        <f>G16*0.8333217</f>
        <v>603.68301330081931</v>
      </c>
      <c r="I16" s="1049">
        <v>1</v>
      </c>
      <c r="J16" s="1047">
        <v>100</v>
      </c>
      <c r="K16" s="1047">
        <v>1</v>
      </c>
      <c r="L16" s="1076">
        <f>'SHWLP-Det'!$AB$27/$G$16</f>
        <v>5.1096973070027328E-2</v>
      </c>
      <c r="M16" s="548"/>
      <c r="P16" s="548"/>
      <c r="Q16" s="548"/>
      <c r="R16" s="548"/>
      <c r="S16" s="548"/>
      <c r="U16" s="81"/>
      <c r="V16" s="1030" t="s">
        <v>48</v>
      </c>
      <c r="W16" s="1037">
        <f>'SHWLP-Att'!E25</f>
        <v>12745</v>
      </c>
      <c r="X16" s="1031">
        <f t="shared" ref="X16:X17" si="0">W16/SUM(W16+Y16)</f>
        <v>0.36680481206469812</v>
      </c>
      <c r="Y16" s="1037">
        <f>'SHWLP-Att'!E12</f>
        <v>22001</v>
      </c>
      <c r="Z16" s="1032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0"/>
      <c r="C17" s="1051"/>
      <c r="D17" s="1052"/>
      <c r="E17" s="1053" t="str">
        <f>COMM!O14</f>
        <v>RSDSC_Det</v>
      </c>
      <c r="F17" s="1052"/>
      <c r="G17" s="1051"/>
      <c r="H17" s="1051"/>
      <c r="I17" s="1051"/>
      <c r="J17" s="1052"/>
      <c r="K17" s="1052"/>
      <c r="L17" s="1077">
        <v>0</v>
      </c>
      <c r="M17" s="290"/>
      <c r="P17" s="548"/>
      <c r="Q17" s="548"/>
      <c r="R17" s="548"/>
      <c r="S17" s="548"/>
      <c r="U17" s="81"/>
      <c r="V17" s="1033" t="s">
        <v>50</v>
      </c>
      <c r="W17" s="1038">
        <f>'SHWLP-Det'!E25</f>
        <v>6299</v>
      </c>
      <c r="X17" s="1034">
        <f t="shared" si="0"/>
        <v>0.35199776473875383</v>
      </c>
      <c r="Y17" s="1038">
        <f>'SHWLP-Det'!E12</f>
        <v>11596</v>
      </c>
      <c r="Z17" s="1035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5"/>
      <c r="C18" s="1056"/>
      <c r="D18" s="1056"/>
      <c r="E18" s="1057" t="str">
        <f>COMM!O17</f>
        <v>RSDWH_Det</v>
      </c>
      <c r="F18" s="1056"/>
      <c r="G18" s="1074"/>
      <c r="H18" s="1074"/>
      <c r="I18" s="1074"/>
      <c r="J18" s="1056"/>
      <c r="K18" s="1056"/>
      <c r="L18" s="1078">
        <f>'SHWLP-Det'!AB54/$G$16</f>
        <v>1.3563571811550944E-2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0"/>
      <c r="C19" s="1051"/>
      <c r="D19" s="1052"/>
      <c r="E19" s="1053" t="str">
        <f>COMM!O20</f>
        <v>RSDLT_Det</v>
      </c>
      <c r="F19" s="1052"/>
      <c r="G19" s="1051"/>
      <c r="H19" s="1051"/>
      <c r="I19" s="1051"/>
      <c r="J19" s="1052"/>
      <c r="K19" s="1052"/>
      <c r="L19" s="1077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59"/>
      <c r="C20" s="1060"/>
      <c r="D20" s="1060"/>
      <c r="E20" s="1061" t="str">
        <f>COMM!O23</f>
        <v>RSDPF_Det</v>
      </c>
      <c r="F20" s="1060"/>
      <c r="G20" s="1075"/>
      <c r="H20" s="1075"/>
      <c r="I20" s="1075"/>
      <c r="J20" s="1060"/>
      <c r="K20" s="1060"/>
      <c r="L20" s="1079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5" t="s">
        <v>1006</v>
      </c>
      <c r="X23" s="1025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24" t="s">
        <v>768</v>
      </c>
      <c r="C24" s="1124"/>
      <c r="D24" s="1124"/>
      <c r="E24" s="1124"/>
      <c r="F24" s="1124"/>
      <c r="G24" s="1124"/>
      <c r="M24" s="290"/>
      <c r="N24" s="42"/>
      <c r="O24" s="548"/>
      <c r="P24" s="548"/>
      <c r="Q24" s="548"/>
      <c r="R24" s="548"/>
      <c r="S24" s="548"/>
      <c r="T24" s="81"/>
      <c r="U24" s="81"/>
      <c r="V24" s="1027" t="s">
        <v>46</v>
      </c>
      <c r="W24" s="1028">
        <v>0.7</v>
      </c>
      <c r="X24" s="1028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0" t="s">
        <v>48</v>
      </c>
      <c r="W25" s="1031">
        <v>0.65</v>
      </c>
      <c r="X25" s="1031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3" t="s">
        <v>50</v>
      </c>
      <c r="W26" s="1034">
        <v>0.7</v>
      </c>
      <c r="X26" s="1034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21" t="s">
        <v>1005</v>
      </c>
      <c r="W30" s="1122"/>
      <c r="X30" s="1122"/>
      <c r="Y30" s="1122"/>
      <c r="Z30" s="1123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4"/>
      <c r="W31" s="1025" t="s">
        <v>1007</v>
      </c>
      <c r="X31" s="1025" t="s">
        <v>1006</v>
      </c>
      <c r="Y31" s="1026" t="s">
        <v>1008</v>
      </c>
      <c r="Z31" s="1024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7" t="s">
        <v>46</v>
      </c>
      <c r="W32" s="1036">
        <f>'SHWLP-Apt'!S11*1000</f>
        <v>69107.395872611189</v>
      </c>
      <c r="X32" s="1028">
        <f>W32/SUM(W32+Y32)</f>
        <v>0.70000000000000007</v>
      </c>
      <c r="Y32" s="1036">
        <f>'SHWLP-Apt'!S12*1000</f>
        <v>29617.455373976227</v>
      </c>
      <c r="Z32" s="1029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0" t="s">
        <v>48</v>
      </c>
      <c r="W33" s="1037">
        <f>'SHWLP-Att'!S11*1000</f>
        <v>41710.491459586934</v>
      </c>
      <c r="X33" s="1028">
        <f>W33/SUM(W33+Y33)</f>
        <v>0.65</v>
      </c>
      <c r="Y33" s="1037">
        <f>'SHWLP-Att'!S12*1000</f>
        <v>22459.495401316039</v>
      </c>
      <c r="Z33" s="1029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3" t="s">
        <v>50</v>
      </c>
      <c r="W34" s="1038">
        <f>'SHWLP-Det'!S11*1000</f>
        <v>34182.00001626688</v>
      </c>
      <c r="X34" s="1028">
        <f>W34/SUM(W34+Y34)</f>
        <v>0.70000000000000007</v>
      </c>
      <c r="Y34" s="1038">
        <f>'SHWLP-Det'!S12*1000</f>
        <v>14649.428578400091</v>
      </c>
      <c r="Z34" s="1029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7" t="str">
        <f>_xlfn.TEXTJOIN(",",TRUE,IF(LEFT(Regions!$C$3,1)&lt;&gt;"*",Regions!$C$3,""),IF(LEFT(Regions!$D$3,1)&lt;&gt;"*",Regions!$D$3,""))</f>
        <v>IE,National</v>
      </c>
      <c r="C5" s="1005" t="str">
        <f>R5</f>
        <v>R-RSDRF_X0</v>
      </c>
      <c r="D5" s="1005" t="str">
        <f>S5</f>
        <v>Residential Refrigeration Demand Technology</v>
      </c>
      <c r="E5" s="1005" t="str">
        <f>COMM!$E$24</f>
        <v>RSDELC</v>
      </c>
      <c r="F5" s="1005" t="str">
        <f>COMM!E32</f>
        <v>RSDRF</v>
      </c>
      <c r="G5" s="1006">
        <f>DwellingStocks!$L$38/1000*RSD_Balance!U38</f>
        <v>1697.5803349999996</v>
      </c>
      <c r="H5" s="1005">
        <v>0.8</v>
      </c>
      <c r="I5" s="1008">
        <f>L5/G5/K5</f>
        <v>0.11719939117199392</v>
      </c>
      <c r="J5" s="1009">
        <v>10</v>
      </c>
      <c r="K5" s="509">
        <f>31.536*(N5/1000)</f>
        <v>5.6764799999999994E-3</v>
      </c>
      <c r="L5" s="1006">
        <f t="shared" ref="L5:L13" si="0">M5*H5</f>
        <v>1.1293662452687998</v>
      </c>
      <c r="M5" s="1010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1" t="str">
        <f>_xlfn.TEXTJOIN(",",TRUE,IF(LEFT(Regions!$C$3,1)&lt;&gt;"*",Regions!$C$3,""),IF(LEFT(Regions!$D$3,1)&lt;&gt;"*",Regions!$D$3,""))</f>
        <v>IE,National</v>
      </c>
      <c r="C6" s="1012" t="str">
        <f>R6</f>
        <v>R-RSDCK_ELC_X0</v>
      </c>
      <c r="D6" s="1013" t="str">
        <f>S6</f>
        <v>Residential Cooking Demand Electrical Technology</v>
      </c>
      <c r="E6" s="1013" t="str">
        <f>COMM!E24</f>
        <v>RSDELC</v>
      </c>
      <c r="F6" s="1012" t="str">
        <f>COMM!$E$33</f>
        <v>RSDCK</v>
      </c>
      <c r="G6" s="1014">
        <f>DwellingStocks!$L$38/1000*R20</f>
        <v>1288.2597646247998</v>
      </c>
      <c r="H6" s="1013">
        <v>0.74</v>
      </c>
      <c r="I6" s="1015">
        <f>(SUM(L6))/G6/K6</f>
        <v>1.2457230310998246E-2</v>
      </c>
      <c r="J6" s="1013">
        <v>15</v>
      </c>
      <c r="K6" s="1012">
        <f t="shared" ref="K6:K13" si="1">31.536*(N6/1000)</f>
        <v>9.4608000000000012E-2</v>
      </c>
      <c r="L6" s="1012">
        <f>M6*H6</f>
        <v>1.5182832416441119</v>
      </c>
      <c r="M6" s="1016">
        <f>RSD_Balance!R26</f>
        <v>2.051734110329881</v>
      </c>
      <c r="N6" s="1003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8" t="s">
        <v>16</v>
      </c>
      <c r="U6" s="513" t="s">
        <v>280</v>
      </c>
      <c r="V6" s="998"/>
      <c r="W6" s="513"/>
    </row>
    <row r="7" spans="2:23" ht="15">
      <c r="B7" s="1007" t="str">
        <f>_xlfn.TEXTJOIN(",",TRUE,IF(LEFT(Regions!$C$3,1)&lt;&gt;"*",Regions!$C$3,""),IF(LEFT(Regions!$D$3,1)&lt;&gt;"*",Regions!$D$3,""))</f>
        <v>IE,National</v>
      </c>
      <c r="C7" s="1005" t="str">
        <f t="shared" ref="C7:C8" si="2">R7</f>
        <v>R-RSDCK_GAS_X0</v>
      </c>
      <c r="D7" s="1005" t="str">
        <f t="shared" ref="D7:D8" si="3">S7</f>
        <v>Residential Cooking Demand Gas Technology</v>
      </c>
      <c r="E7" s="1005" t="str">
        <f>COMM!E14</f>
        <v>RSDGAS</v>
      </c>
      <c r="F7" s="1005" t="str">
        <f>COMM!$E$33</f>
        <v>RSDCK</v>
      </c>
      <c r="G7" s="1006">
        <f>DwellingStocks!$L$38/1000*R21</f>
        <v>386.53394953849494</v>
      </c>
      <c r="H7" s="1005">
        <v>0.68</v>
      </c>
      <c r="I7" s="1008">
        <f>(SUM(L7))/G7/K7</f>
        <v>1.0677641927395889E-2</v>
      </c>
      <c r="J7" s="1009">
        <v>15</v>
      </c>
      <c r="K7" s="1018">
        <f t="shared" si="1"/>
        <v>0.110376</v>
      </c>
      <c r="L7" s="1006">
        <f>M7*H7</f>
        <v>0.45555167559079646</v>
      </c>
      <c r="M7" s="1010">
        <f>RSD_Balance!R17</f>
        <v>0.66992893469234771</v>
      </c>
      <c r="N7" s="1004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1" t="str">
        <f>_xlfn.TEXTJOIN(",",TRUE,IF(LEFT(Regions!$C$3,1)&lt;&gt;"*",Regions!$C$3,""),IF(LEFT(Regions!$D$3,1)&lt;&gt;"*",Regions!$D$3,""))</f>
        <v>IE,National</v>
      </c>
      <c r="C8" s="1012" t="str">
        <f t="shared" si="2"/>
        <v>R-RSDCK_LPG_X0</v>
      </c>
      <c r="D8" s="1013" t="str">
        <f t="shared" si="3"/>
        <v>Residential Cooking Demand LPG Technology</v>
      </c>
      <c r="E8" s="1013" t="str">
        <f>COMM!E8</f>
        <v>RSDLPG</v>
      </c>
      <c r="F8" s="1012" t="str">
        <f>COMM!$E$33</f>
        <v>RSDCK</v>
      </c>
      <c r="G8" s="1014">
        <f>DwellingStocks!$L$38/1000*R22</f>
        <v>22.786262647254308</v>
      </c>
      <c r="H8" s="1013">
        <v>0.68</v>
      </c>
      <c r="I8" s="1015">
        <f t="shared" ref="I8" si="4">(SUM(L8))/G8/K8</f>
        <v>1.0677627336793453E-2</v>
      </c>
      <c r="J8" s="1013">
        <v>15</v>
      </c>
      <c r="K8" s="1012">
        <f t="shared" si="1"/>
        <v>0.110376</v>
      </c>
      <c r="L8" s="1012">
        <f>M8*H8</f>
        <v>2.6854836315100172E-2</v>
      </c>
      <c r="M8" s="1016">
        <f>RSD_Balance!R11</f>
        <v>3.9492406345735545E-2</v>
      </c>
      <c r="N8" s="1003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8" t="s">
        <v>16</v>
      </c>
      <c r="U8" s="513" t="s">
        <v>280</v>
      </c>
      <c r="V8" s="998"/>
      <c r="W8" s="513"/>
    </row>
    <row r="9" spans="2:23" s="290" customFormat="1" ht="15">
      <c r="B9" s="1007" t="str">
        <f>_xlfn.TEXTJOIN(",",TRUE,IF(LEFT(Regions!$C$3,1)&lt;&gt;"*",Regions!$C$3,""),IF(LEFT(Regions!$D$3,1)&lt;&gt;"*",Regions!$D$3,""))</f>
        <v>IE,National</v>
      </c>
      <c r="C9" s="1005" t="str">
        <f t="shared" ref="C9:D13" si="5">R9</f>
        <v>R-RSDCW_X0</v>
      </c>
      <c r="D9" s="1005" t="str">
        <f t="shared" si="5"/>
        <v>Residential Cloth Washing Demand Technology</v>
      </c>
      <c r="E9" s="1005" t="str">
        <f>COMM!$E$24</f>
        <v>RSDELC</v>
      </c>
      <c r="F9" s="1005" t="str">
        <f>COMM!E34</f>
        <v>RSDCW</v>
      </c>
      <c r="G9" s="1006">
        <f>DwellingStocks!$L$38/1000*RSD_Balance!U36</f>
        <v>1655.1408266249996</v>
      </c>
      <c r="H9" s="1005">
        <v>0.7</v>
      </c>
      <c r="I9" s="1008">
        <f>L9/G9/K9</f>
        <v>6.7195931921959322E-3</v>
      </c>
      <c r="J9" s="1009">
        <v>10</v>
      </c>
      <c r="K9" s="1018">
        <f t="shared" si="1"/>
        <v>6.9379200000000002E-2</v>
      </c>
      <c r="L9" s="1006">
        <f t="shared" si="0"/>
        <v>0.77162665337257486</v>
      </c>
      <c r="M9" s="1010">
        <f>RSD_Balance!T29</f>
        <v>1.1023237905322498</v>
      </c>
      <c r="N9" s="1004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1" t="str">
        <f>_xlfn.TEXTJOIN(",",TRUE,IF(LEFT(Regions!$C$3,1)&lt;&gt;"*",Regions!$C$3,""),IF(LEFT(Regions!$D$3,1)&lt;&gt;"*",Regions!$D$3,""))</f>
        <v>IE,National</v>
      </c>
      <c r="C10" s="1012" t="str">
        <f t="shared" si="5"/>
        <v>R-RSDCD_X0</v>
      </c>
      <c r="D10" s="1013" t="str">
        <f t="shared" si="5"/>
        <v>Residential Cloth Drying Demand Technology</v>
      </c>
      <c r="E10" s="1013" t="str">
        <f>COMM!$E$24</f>
        <v>RSDELC</v>
      </c>
      <c r="F10" s="1012" t="str">
        <f>COMM!E35</f>
        <v>RSDCD</v>
      </c>
      <c r="G10" s="1014">
        <f>DwellingStocks!$L$38/1000*RSD_Balance!U37</f>
        <v>1100.0320570799997</v>
      </c>
      <c r="H10" s="1012">
        <v>0.6</v>
      </c>
      <c r="I10" s="1015">
        <f>L10/G10/K10</f>
        <v>1.1863013698630138E-2</v>
      </c>
      <c r="J10" s="1013">
        <v>10</v>
      </c>
      <c r="K10" s="1012">
        <f t="shared" si="1"/>
        <v>7.8840000000000007E-2</v>
      </c>
      <c r="L10" s="1012">
        <f t="shared" si="0"/>
        <v>1.0288379823457823</v>
      </c>
      <c r="M10" s="1016">
        <f>RSD_Balance!U26</f>
        <v>1.7147299705763039</v>
      </c>
      <c r="N10" s="1003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8" t="s">
        <v>16</v>
      </c>
      <c r="U10" s="513" t="s">
        <v>280</v>
      </c>
      <c r="V10" s="998"/>
      <c r="W10" s="513"/>
    </row>
    <row r="11" spans="2:23" ht="15">
      <c r="B11" s="1007" t="str">
        <f>_xlfn.TEXTJOIN(",",TRUE,IF(LEFT(Regions!$C$3,1)&lt;&gt;"*",Regions!$C$3,""),IF(LEFT(Regions!$D$3,1)&lt;&gt;"*",Regions!$D$3,""))</f>
        <v>IE,National</v>
      </c>
      <c r="C11" s="1005" t="str">
        <f t="shared" si="5"/>
        <v>R-RSDDW_X0</v>
      </c>
      <c r="D11" s="1005" t="str">
        <f t="shared" si="5"/>
        <v>Residential Dish Washing Demand Technology</v>
      </c>
      <c r="E11" s="1005" t="str">
        <f>COMM!$E$24</f>
        <v>RSDELC</v>
      </c>
      <c r="F11" s="1005" t="str">
        <f>COMM!E36</f>
        <v>RSDDW</v>
      </c>
      <c r="G11" s="1006">
        <f>DwellingStocks!$L$38/1000*RSD_Balance!U40</f>
        <v>1098.3344767449998</v>
      </c>
      <c r="H11" s="1005">
        <v>0.7</v>
      </c>
      <c r="I11" s="1008">
        <f>L11/G11/K11</f>
        <v>1.0896637608966375E-2</v>
      </c>
      <c r="J11" s="1009">
        <v>10</v>
      </c>
      <c r="K11" s="1018">
        <f t="shared" si="1"/>
        <v>6.9379200000000002E-2</v>
      </c>
      <c r="L11" s="1006">
        <f t="shared" si="0"/>
        <v>0.83034086441921984</v>
      </c>
      <c r="M11" s="1010">
        <f>RSD_Balance!V29</f>
        <v>1.1862012348845998</v>
      </c>
      <c r="N11" s="1004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1" t="str">
        <f>_xlfn.TEXTJOIN(",",TRUE,IF(LEFT(Regions!$C$3,1)&lt;&gt;"*",Regions!$C$3,""),IF(LEFT(Regions!$D$3,1)&lt;&gt;"*",Regions!$D$3,""))</f>
        <v>IE,National</v>
      </c>
      <c r="C12" s="1012" t="str">
        <f t="shared" si="5"/>
        <v>R-RSDOE_X0</v>
      </c>
      <c r="D12" s="1013" t="str">
        <f t="shared" si="5"/>
        <v>Residential ELC Appliances Demand Technology</v>
      </c>
      <c r="E12" s="1013" t="str">
        <f>COMM!$E$24</f>
        <v>RSDELC</v>
      </c>
      <c r="F12" s="1012" t="str">
        <f>COMM!E37</f>
        <v>RSDOE</v>
      </c>
      <c r="G12" s="1014">
        <f>DwellingStocks!$L$38/1000*1</f>
        <v>1697.5803349999996</v>
      </c>
      <c r="H12" s="1012">
        <v>0.85</v>
      </c>
      <c r="I12" s="1015">
        <f>L12/G12/K12</f>
        <v>0.95648178299052611</v>
      </c>
      <c r="J12" s="1013">
        <v>10</v>
      </c>
      <c r="K12" s="1012">
        <f t="shared" si="1"/>
        <v>5.6764799999999994E-3</v>
      </c>
      <c r="L12" s="1012">
        <f t="shared" si="0"/>
        <v>9.2169270601309012</v>
      </c>
      <c r="M12" s="1016">
        <f>RSD_Balance!W26</f>
        <v>10.843443600154002</v>
      </c>
      <c r="N12" s="1003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8" t="s">
        <v>16</v>
      </c>
      <c r="U12" s="513" t="s">
        <v>280</v>
      </c>
      <c r="V12" s="998"/>
      <c r="W12" s="513"/>
    </row>
    <row r="13" spans="2:23" ht="15">
      <c r="B13" s="1007" t="str">
        <f>_xlfn.TEXTJOIN(",",TRUE,IF(LEFT(Regions!$C$3,1)&lt;&gt;"*",Regions!$C$3,""),IF(LEFT(Regions!$D$3,1)&lt;&gt;"*",Regions!$D$3,""))</f>
        <v>IE,National</v>
      </c>
      <c r="C13" s="1005" t="str">
        <f t="shared" si="5"/>
        <v>R-RSDOA_X0</v>
      </c>
      <c r="D13" s="1005" t="str">
        <f t="shared" si="5"/>
        <v>Residential Other Applications Demand Technology</v>
      </c>
      <c r="E13" s="1005" t="str">
        <f>COMM!$E$24</f>
        <v>RSDELC</v>
      </c>
      <c r="F13" s="1005" t="str">
        <f>COMM!E38</f>
        <v>RSDOA</v>
      </c>
      <c r="G13" s="1006">
        <f>DwellingStocks!$L$38/1000*1</f>
        <v>1697.5803349999996</v>
      </c>
      <c r="H13" s="1005">
        <v>0.85</v>
      </c>
      <c r="I13" s="1008">
        <f>L13/G13/K13</f>
        <v>0</v>
      </c>
      <c r="J13" s="1009">
        <v>10</v>
      </c>
      <c r="K13" s="1018">
        <f t="shared" si="1"/>
        <v>5.6764799999999994E-3</v>
      </c>
      <c r="L13" s="1006">
        <f t="shared" si="0"/>
        <v>0</v>
      </c>
      <c r="M13" s="1010">
        <v>0</v>
      </c>
      <c r="N13" s="1004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7"/>
      <c r="Q14" s="1017"/>
      <c r="R14" s="1017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24" t="s">
        <v>767</v>
      </c>
      <c r="C17" s="1124"/>
      <c r="D17" s="1124"/>
      <c r="E17" s="1124"/>
      <c r="F17" s="1124"/>
      <c r="G17" s="1124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33" t="s">
        <v>796</v>
      </c>
      <c r="R26" s="1133"/>
      <c r="S26" s="1133"/>
      <c r="T26" s="1133" t="s">
        <v>797</v>
      </c>
      <c r="U26" s="1133"/>
      <c r="V26" s="1133"/>
    </row>
    <row r="27" spans="1:22" ht="21.75" thickBot="1">
      <c r="A27" s="33"/>
      <c r="B27" s="33"/>
      <c r="C27" s="33"/>
      <c r="D27" s="33"/>
      <c r="E27" s="33"/>
      <c r="F27" s="33"/>
      <c r="H27" s="1133" t="s">
        <v>622</v>
      </c>
      <c r="I27" s="1133"/>
      <c r="J27" s="1133"/>
      <c r="K27" s="1133"/>
      <c r="L27" s="1133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30" t="s">
        <v>293</v>
      </c>
      <c r="C58" s="1131"/>
      <c r="D58" s="1131"/>
      <c r="E58" s="1131"/>
      <c r="F58" s="1131"/>
      <c r="G58" s="1131"/>
      <c r="H58" s="1131"/>
      <c r="I58" s="1131"/>
      <c r="J58" s="1131"/>
      <c r="K58" s="1131"/>
      <c r="L58" s="1132"/>
      <c r="M58" s="1127" t="s">
        <v>294</v>
      </c>
      <c r="N58" s="1128"/>
      <c r="O58" s="1129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34" t="s">
        <v>359</v>
      </c>
      <c r="T92" s="1135"/>
      <c r="U92" s="1135"/>
      <c r="V92" s="1135"/>
      <c r="W92" s="1135"/>
      <c r="X92" s="1135"/>
      <c r="Y92" s="1135"/>
      <c r="Z92" s="1136"/>
      <c r="AB92" s="1125" t="s">
        <v>360</v>
      </c>
      <c r="AC92" s="1125"/>
      <c r="AD92" s="1125"/>
      <c r="AE92" s="1125"/>
      <c r="AF92" s="1126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25"/>
      <c r="AC93" s="1125"/>
      <c r="AD93" s="1125"/>
      <c r="AE93" s="1125"/>
      <c r="AF93" s="1126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" zoomScale="70" zoomScaleNormal="70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8"/>
      <c r="S2" s="324"/>
      <c r="T2" s="988"/>
      <c r="U2" s="988"/>
      <c r="V2" s="324"/>
      <c r="W2" s="324"/>
      <c r="X2" s="324"/>
      <c r="Y2" s="324"/>
      <c r="Z2" s="324"/>
      <c r="AA2" s="324"/>
      <c r="AB2" s="324"/>
      <c r="AC2" s="989"/>
      <c r="AD2" s="983"/>
      <c r="AE2" s="324"/>
      <c r="AF2" s="988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7" t="s">
        <v>798</v>
      </c>
      <c r="C4" s="1138"/>
      <c r="D4" s="1138"/>
      <c r="E4" s="1138"/>
      <c r="F4" s="1138"/>
      <c r="G4" s="1139"/>
      <c r="H4" s="1137" t="s">
        <v>799</v>
      </c>
      <c r="I4" s="1138"/>
      <c r="J4" s="1139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2">
        <f>(G7+G14+G16)/300</f>
        <v>0.59018803418803423</v>
      </c>
      <c r="V7" s="992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4">
        <f>IF((G8/100)&gt;1,0.9)</f>
        <v>0.9</v>
      </c>
      <c r="V8" s="994">
        <f>AB8/S8/X8</f>
        <v>9.4570753703752571E-3</v>
      </c>
      <c r="W8" s="517">
        <v>20</v>
      </c>
      <c r="X8" s="990">
        <f t="shared" ref="X8:X13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5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2">
        <f>IF((G9/100)&gt;1,0.9)</f>
        <v>0.9</v>
      </c>
      <c r="V9" s="992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4">
        <f>(G10+G11)/200</f>
        <v>0.80677902621722841</v>
      </c>
      <c r="V10" s="994">
        <f t="shared" si="3"/>
        <v>4.878782595695811E-2</v>
      </c>
      <c r="W10" s="517">
        <v>20</v>
      </c>
      <c r="X10" s="990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5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(S11*1000)/(E25)*DwellingStocks!$T$37-0.613</f>
        <v>0.74613545780900048</v>
      </c>
      <c r="U11" s="992">
        <f>(G25)/100</f>
        <v>1</v>
      </c>
      <c r="V11" s="992">
        <f t="shared" si="3"/>
        <v>1.4654677360391003E-2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0.47906964680584796</v>
      </c>
      <c r="AC11" s="512">
        <f>IF(((D25+I25)*T11*$B$2)&lt;=0,0,((D25+I25)*T11*$B$2))</f>
        <v>0.47906964680584796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((S12)*1000)/E12*DwellingStocks!$T$37-0.613</f>
        <v>0.21478452127665093</v>
      </c>
      <c r="U12" s="994">
        <f>G12/100</f>
        <v>3.0701960784313722</v>
      </c>
      <c r="V12" s="994">
        <f t="shared" si="3"/>
        <v>3.2324629669856629E-2</v>
      </c>
      <c r="W12" s="517">
        <v>20</v>
      </c>
      <c r="X12" s="990">
        <f t="shared" si="2"/>
        <v>0.15768000000000001</v>
      </c>
      <c r="Y12" s="517"/>
      <c r="Z12" s="517"/>
      <c r="AA12" s="517"/>
      <c r="AB12" s="518">
        <f>AC12*U12</f>
        <v>0.15095861827435855</v>
      </c>
      <c r="AC12" s="519">
        <f>IF(((D12+I12)*T12*$B$2)&lt;=0,0,((D12+I12)*T12*$B$2))</f>
        <v>4.9169047975426532E-2</v>
      </c>
      <c r="AD12" s="985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2"/>
      <c r="V13" s="992"/>
      <c r="W13" s="511"/>
      <c r="X13" s="509">
        <f t="shared" si="2"/>
        <v>0.15768000000000001</v>
      </c>
      <c r="Y13" s="511"/>
      <c r="Z13" s="511"/>
      <c r="AA13" s="512">
        <f>AC13/AB12</f>
        <v>0.47697752993123343</v>
      </c>
      <c r="AB13" s="512"/>
      <c r="AC13" s="512">
        <f>RSD_Balance!F22</f>
        <v>7.2003868866335502E-2</v>
      </c>
      <c r="AD13" s="511">
        <v>5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4">
        <f>G13/100</f>
        <v>0.81016216216216219</v>
      </c>
      <c r="V14" s="994">
        <f>AB14/S14/X14</f>
        <v>7.8978154557043836E-2</v>
      </c>
      <c r="W14" s="517">
        <v>20</v>
      </c>
      <c r="X14" s="990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5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1">
        <f>E15/SUM($E$7:$E$25)</f>
        <v>0.4073933944627437</v>
      </c>
      <c r="S16" s="1022">
        <f>R16*DwellingStocks!$I$38/1000</f>
        <v>84.248499731260551</v>
      </c>
      <c r="T16" s="516">
        <f>(S16*1000)/E15*DwellingStocks!$T$37</f>
        <v>1.1396707013624292</v>
      </c>
      <c r="U16" s="994">
        <f>G15/100</f>
        <v>0.81026881720430111</v>
      </c>
      <c r="V16" s="994">
        <f>AB16/S16/X16</f>
        <v>2.5069945114006394E-2</v>
      </c>
      <c r="W16" s="517">
        <v>20</v>
      </c>
      <c r="X16" s="990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5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4">
        <f>(G17+G18)/200</f>
        <v>0.52500000000000002</v>
      </c>
      <c r="V18" s="994">
        <f>AB18/S18/X18</f>
        <v>0.15828050607333224</v>
      </c>
      <c r="W18" s="517">
        <v>20</v>
      </c>
      <c r="X18" s="990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5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4">
        <f>G19/100</f>
        <v>0.58177777777777773</v>
      </c>
      <c r="V20" s="994">
        <f>SUM(AB20:AB22)/S20/X20</f>
        <v>0.14698298838932955</v>
      </c>
      <c r="W20" s="517">
        <v>20</v>
      </c>
      <c r="X20" s="990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5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5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2">
        <f>(G21+G22+G23)/300</f>
        <v>0.6880451127819549</v>
      </c>
      <c r="V23" s="992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4">
        <f>G24/100</f>
        <v>0.39838442187649958</v>
      </c>
      <c r="V24" s="994">
        <f>AB24/S24/X24</f>
        <v>2.3488908827814067E-3</v>
      </c>
      <c r="W24" s="517">
        <v>20</v>
      </c>
      <c r="X24" s="990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5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2.0782800547516329</v>
      </c>
      <c r="AC27" s="499">
        <f>SUM(AC6:AC25)</f>
        <v>2.4726181172751982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7" t="s">
        <v>798</v>
      </c>
      <c r="C28" s="1138"/>
      <c r="D28" s="1138"/>
      <c r="E28" s="1138"/>
      <c r="F28" s="1138"/>
      <c r="G28" s="1139"/>
      <c r="H28" s="1137" t="s">
        <v>799</v>
      </c>
      <c r="I28" s="1138"/>
      <c r="J28" s="1139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988"/>
      <c r="AF28" s="506"/>
      <c r="AG28" s="988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2">
        <f t="shared" ref="U33:U38" si="6">U7</f>
        <v>0.59018803418803423</v>
      </c>
      <c r="V33" s="992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3">
        <f t="shared" si="6"/>
        <v>0.9</v>
      </c>
      <c r="V34" s="994">
        <f t="shared" ref="V34:V40" si="10">AB34/S34/X34</f>
        <v>7.5051369863013695E-2</v>
      </c>
      <c r="W34" s="517">
        <v>20</v>
      </c>
      <c r="X34" s="990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5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5">
        <f t="shared" si="6"/>
        <v>0.9</v>
      </c>
      <c r="V35" s="992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4">
        <f t="shared" si="6"/>
        <v>0.80677902621722841</v>
      </c>
      <c r="V36" s="994">
        <f t="shared" si="10"/>
        <v>0.13251764473730226</v>
      </c>
      <c r="W36" s="517">
        <v>20</v>
      </c>
      <c r="X36" s="990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5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IFERROR((S37*1000)/E49,0)-0.118</f>
        <v>1.7120156406858422</v>
      </c>
      <c r="U37" s="992">
        <f t="shared" si="6"/>
        <v>1</v>
      </c>
      <c r="V37" s="992">
        <f t="shared" si="10"/>
        <v>7.9439186364977779E-2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0.51950224847843107</v>
      </c>
      <c r="AC37" s="512">
        <f>IF(((D49+I49)*$B$2)&lt;=0,0,((D49+I49)*T37*$B$2))</f>
        <v>0.51950224847843107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IFERROR((S38*1000)/E36,0)-0.118</f>
        <v>0.99089123122749279</v>
      </c>
      <c r="U38" s="994">
        <f t="shared" si="6"/>
        <v>3.0701960784313722</v>
      </c>
      <c r="V38" s="994">
        <f t="shared" si="10"/>
        <v>0.9938002987823783</v>
      </c>
      <c r="W38" s="517">
        <v>20</v>
      </c>
      <c r="X38" s="990">
        <f t="shared" si="7"/>
        <v>3.1536000000000002E-2</v>
      </c>
      <c r="Y38" s="517"/>
      <c r="Z38" s="517"/>
      <c r="AA38" s="517"/>
      <c r="AB38" s="518">
        <f t="shared" si="8"/>
        <v>0.92314899538463402</v>
      </c>
      <c r="AC38" s="519">
        <f>IF(((D49+I49)*$B$2)&lt;=0,0,((D49+I49)*T38*$B$2))</f>
        <v>0.30068079425607575</v>
      </c>
      <c r="AD38" s="985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7"/>
        <v>3.1536000000000002E-2</v>
      </c>
      <c r="Y39" s="517"/>
      <c r="Z39" s="517"/>
      <c r="AA39" s="517">
        <f>AC39/AB38</f>
        <v>0.47697752993123349</v>
      </c>
      <c r="AB39" s="518"/>
      <c r="AC39" s="519">
        <f>RSD_Balance!I22</f>
        <v>0.44032132757706238</v>
      </c>
      <c r="AD39" s="985">
        <v>1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2">
        <f>U14</f>
        <v>0.81016216216216219</v>
      </c>
      <c r="V40" s="992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2">
        <f>U16</f>
        <v>0.81026881720430111</v>
      </c>
      <c r="V42" s="992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2">
        <f>U18</f>
        <v>0.52500000000000002</v>
      </c>
      <c r="V44" s="992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3">
        <f>U20</f>
        <v>0.58177777777777773</v>
      </c>
      <c r="V46" s="994">
        <f>SUM(AB46:AB48)/S46/X46</f>
        <v>9.0196313138344253E-2</v>
      </c>
      <c r="W46" s="517">
        <v>20</v>
      </c>
      <c r="X46" s="990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5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5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2">
        <f>U23</f>
        <v>0.6880451127819549</v>
      </c>
      <c r="V49" s="992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4">
        <f>U24</f>
        <v>0.39838442187649958</v>
      </c>
      <c r="V50" s="994">
        <f>AB50/S50/X50</f>
        <v>3.2373195740855918E-3</v>
      </c>
      <c r="W50" s="517">
        <v>20</v>
      </c>
      <c r="X50" s="990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5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2">
        <v>1</v>
      </c>
      <c r="V51" s="992">
        <f>AB51/S51/X51</f>
        <v>0.14315911375389945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2.8008835678000416E-2</v>
      </c>
      <c r="AC51" s="512">
        <f>RSD_Balance!I18</f>
        <v>2.8008835678000416E-2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2.17285509877801</v>
      </c>
      <c r="AC54" s="499">
        <f>SUM(AC31:AC52)</f>
        <v>2.165100657559722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2">
        <v>0.4</v>
      </c>
      <c r="V59" s="992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8">
        <f>DwellingStocks!I38/1000</f>
        <v>206.79888499999998</v>
      </c>
      <c r="T60" s="513">
        <f>(S60*1000)/SUM(G54:G62)-0.188</f>
        <v>1.346150500382056</v>
      </c>
      <c r="U60" s="999">
        <v>0.6</v>
      </c>
      <c r="V60" s="999">
        <f>AB60/S60/X60</f>
        <v>0.12635353241295524</v>
      </c>
      <c r="W60" s="1000">
        <v>15</v>
      </c>
      <c r="X60" s="1001">
        <f t="shared" ref="X60" si="18">31.536*(AD60/1000)</f>
        <v>1.5768000000000002E-3</v>
      </c>
      <c r="Y60" s="1000"/>
      <c r="Z60" s="1000"/>
      <c r="AA60" s="1000"/>
      <c r="AB60" s="1002">
        <f>AC60*U60</f>
        <v>4.120142073494041E-2</v>
      </c>
      <c r="AC60" s="519">
        <f>(F54+F55+F56+F57+F58+F59+F60+F61+F62)*T60*$B$2</f>
        <v>6.8669034558234018E-2</v>
      </c>
      <c r="AD60" s="984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P8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7" t="s">
        <v>798</v>
      </c>
      <c r="C4" s="1138"/>
      <c r="D4" s="1138"/>
      <c r="E4" s="1138"/>
      <c r="F4" s="1138"/>
      <c r="G4" s="1139"/>
      <c r="H4" s="1137" t="s">
        <v>799</v>
      </c>
      <c r="I4" s="1138"/>
      <c r="J4" s="1139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2">
        <f>(G7+G14+G16)/300</f>
        <v>0.55798087905732663</v>
      </c>
      <c r="V7" s="992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4">
        <f>(G8)/100</f>
        <v>1</v>
      </c>
      <c r="V8" s="994">
        <f>AB8/S8/X8</f>
        <v>2.4658929270484013E-2</v>
      </c>
      <c r="W8" s="517">
        <v>20</v>
      </c>
      <c r="X8" s="990">
        <f t="shared" ref="X8:X13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5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4">
        <f>(G10+G11)/200</f>
        <v>0.8070757743362833</v>
      </c>
      <c r="V10" s="994">
        <f t="shared" ref="V10:V12" si="2">AB10/S10/X10</f>
        <v>4.9050090196469505E-2</v>
      </c>
      <c r="W10" s="517">
        <v>20</v>
      </c>
      <c r="X10" s="990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5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(S11*1000)/(E25)*DwellingStocks!$U$37-0.613</f>
        <v>1.6766907097467723</v>
      </c>
      <c r="U11" s="992">
        <f>(G25)/100</f>
        <v>1</v>
      </c>
      <c r="V11" s="992">
        <f t="shared" si="2"/>
        <v>3.4817116806940863E-2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0.91595621564902985</v>
      </c>
      <c r="AC11" s="512">
        <f>IF(((D25+I25)*T11*$B$2)&lt;=0,0,((D25+I25)*T11*$B$2))</f>
        <v>0.91595621564902985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(S12*1000)/E12*DwellingStocks!$U$37-0.613</f>
        <v>0.10121493662895831</v>
      </c>
      <c r="U12" s="994">
        <f>G12/100</f>
        <v>3.1157627118644071</v>
      </c>
      <c r="V12" s="994">
        <f t="shared" si="2"/>
        <v>1.0357819560712156E-2</v>
      </c>
      <c r="W12" s="517">
        <v>20</v>
      </c>
      <c r="X12" s="990">
        <f t="shared" si="1"/>
        <v>0.220752</v>
      </c>
      <c r="Y12" s="517"/>
      <c r="Z12" s="517"/>
      <c r="AA12" s="517"/>
      <c r="AB12" s="518">
        <f>AC12*U12</f>
        <v>5.1353846987519908E-2</v>
      </c>
      <c r="AC12" s="519">
        <f>IF(((D12+I12)*T12*$B$2)&lt;=0,0,((D12+I12)*T12*$B$2))</f>
        <v>1.648195056445452E-2</v>
      </c>
      <c r="AD12" s="985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7"/>
      <c r="V13" s="997"/>
      <c r="X13" s="991">
        <f t="shared" si="1"/>
        <v>0.220752</v>
      </c>
      <c r="AA13" s="1041">
        <f>AC13/AB12</f>
        <v>0.47057648285167258</v>
      </c>
      <c r="AC13" s="982">
        <f>RSD_Balance!G22</f>
        <v>2.4165912696290079E-2</v>
      </c>
      <c r="AD13" s="982">
        <v>7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2">
        <f>G13/100</f>
        <v>0.81941558441558437</v>
      </c>
      <c r="V14" s="992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2">
        <f>G15/100</f>
        <v>0.81729411764705884</v>
      </c>
      <c r="V16" s="992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2">
        <f>(G17+G18)/200</f>
        <v>0.5509294871794872</v>
      </c>
      <c r="V18" s="992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3">
        <f>G19/100</f>
        <v>0.57113772455089817</v>
      </c>
      <c r="V20" s="994">
        <f>SUM(AB20:AB22)/S20/X20</f>
        <v>7.3631430941556025E-2</v>
      </c>
      <c r="W20" s="517">
        <v>20</v>
      </c>
      <c r="X20" s="990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5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5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2">
        <f>(G21+G22+G23)/300</f>
        <v>0.70400656814449913</v>
      </c>
      <c r="V23" s="992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4">
        <f>G24/100</f>
        <v>0.60949973059968388</v>
      </c>
      <c r="V24" s="994">
        <f>AB24/S24/X24</f>
        <v>2.2872893208017001E-2</v>
      </c>
      <c r="W24" s="517">
        <v>20</v>
      </c>
      <c r="X24" s="990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5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21.081135377160503</v>
      </c>
      <c r="AC27" s="499">
        <f>SUM(AC6:AC25)</f>
        <v>27.816192989267726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7" t="s">
        <v>798</v>
      </c>
      <c r="C28" s="1138"/>
      <c r="D28" s="1138"/>
      <c r="E28" s="1138"/>
      <c r="F28" s="1138"/>
      <c r="G28" s="1139"/>
      <c r="H28" s="1137" t="s">
        <v>799</v>
      </c>
      <c r="I28" s="1138"/>
      <c r="J28" s="1139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2">
        <f>U7</f>
        <v>0.55798087905732663</v>
      </c>
      <c r="V33" s="992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4">
        <f>U8</f>
        <v>1</v>
      </c>
      <c r="V34" s="994">
        <f>AB34/S34/X34</f>
        <v>8.8919330289193299E-2</v>
      </c>
      <c r="W34" s="517">
        <v>20</v>
      </c>
      <c r="X34" s="990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5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5">
        <v>0.9</v>
      </c>
      <c r="V35" s="992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4">
        <f>U10</f>
        <v>0.8070757743362833</v>
      </c>
      <c r="V36" s="994">
        <f t="shared" ref="V36:V44" si="7">AB36/S36/X36</f>
        <v>0.10056741867817068</v>
      </c>
      <c r="W36" s="517">
        <v>20</v>
      </c>
      <c r="X36" s="990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5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IFERROR((S37*1000)/E49,0)-0.118</f>
        <v>3.059643106070292</v>
      </c>
      <c r="U37" s="992">
        <f>U11</f>
        <v>1</v>
      </c>
      <c r="V37" s="992">
        <f t="shared" si="7"/>
        <v>7.5369056220994032E-2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0.48129865313008025</v>
      </c>
      <c r="AC37" s="512">
        <f>IF(((D49+I49)*$B$2)&lt;=0,0,((D49+I49)*T37*$B$2))</f>
        <v>0.48129865313008025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IFERROR((S38*1000)/E36,0)-0.118</f>
        <v>0.86388062003268462</v>
      </c>
      <c r="U38" s="994">
        <f>U12</f>
        <v>3.1157627118644071</v>
      </c>
      <c r="V38" s="994">
        <f t="shared" si="7"/>
        <v>0.42019005918018404</v>
      </c>
      <c r="W38" s="517">
        <v>20</v>
      </c>
      <c r="X38" s="990">
        <f t="shared" si="5"/>
        <v>4.7304000000000006E-2</v>
      </c>
      <c r="Y38" s="517"/>
      <c r="Z38" s="517"/>
      <c r="AA38" s="517"/>
      <c r="AB38" s="518">
        <f>AC38*U38</f>
        <v>0.42341084961636571</v>
      </c>
      <c r="AC38" s="519">
        <f>IF(((D49+I49)*$B$2)&lt;=0,0,((D49+I49)*T38*$B$2))</f>
        <v>0.13589316285353628</v>
      </c>
      <c r="AD38" s="1039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/>
      <c r="Y39" s="517"/>
      <c r="Z39" s="517"/>
      <c r="AA39" s="517">
        <f>AC39/AB38</f>
        <v>0.47057648285167258</v>
      </c>
      <c r="AB39" s="518"/>
      <c r="AC39" s="519">
        <f>RSD_Balance!J22</f>
        <v>0.19924718841370784</v>
      </c>
      <c r="AD39" s="1039">
        <v>1.5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2">
        <f>U14</f>
        <v>0.81941558441558437</v>
      </c>
      <c r="V40" s="992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2">
        <f>U16</f>
        <v>0.81729411764705884</v>
      </c>
      <c r="V42" s="992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2">
        <f>U18</f>
        <v>0.5509294871794872</v>
      </c>
      <c r="V44" s="992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3">
        <f>U20</f>
        <v>0.57113772455089817</v>
      </c>
      <c r="V46" s="994">
        <f>SUM(AB46:AB48)/S46/X46</f>
        <v>5.9040638752358883E-2</v>
      </c>
      <c r="W46" s="517">
        <v>20</v>
      </c>
      <c r="X46" s="990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5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5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2">
        <f>U23</f>
        <v>0.70400656814449913</v>
      </c>
      <c r="V49" s="992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4">
        <f>U24</f>
        <v>0.60949973059968388</v>
      </c>
      <c r="V50" s="994">
        <f t="shared" si="14"/>
        <v>4.8794584261943356E-3</v>
      </c>
      <c r="W50" s="517">
        <v>20</v>
      </c>
      <c r="X50" s="990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5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3.059643106070292</v>
      </c>
      <c r="U51" s="992">
        <v>1</v>
      </c>
      <c r="V51" s="992">
        <f t="shared" ref="V51" si="16">AB51/S51/X51</f>
        <v>0.22019827509567122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0.26608393894100396</v>
      </c>
      <c r="AC51" s="512">
        <f>RSD_Balance!J18</f>
        <v>0.26608393894100396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8.1136889998398036</v>
      </c>
      <c r="AC54" s="499">
        <f>SUM(AC31:AC52)</f>
        <v>9.8287815892414052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2">
        <v>0.4</v>
      </c>
      <c r="V59" s="992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8">
        <f>DwellingStocks!J38/1000</f>
        <v>766.35172099999977</v>
      </c>
      <c r="T60" s="513">
        <f>(S60*1000)/SUM(G54:G62)-0.188</f>
        <v>1.6588175598494301</v>
      </c>
      <c r="U60" s="999">
        <v>0.6</v>
      </c>
      <c r="V60" s="999">
        <f>AB60/S60/X60</f>
        <v>0.24100352965976166</v>
      </c>
      <c r="W60" s="1000">
        <v>15</v>
      </c>
      <c r="X60" s="1001">
        <f t="shared" si="17"/>
        <v>1.5768000000000002E-3</v>
      </c>
      <c r="Y60" s="1000"/>
      <c r="Z60" s="1000"/>
      <c r="AA60" s="1000"/>
      <c r="AB60" s="1002">
        <f>AC60*U60</f>
        <v>0.29122466305738604</v>
      </c>
      <c r="AC60" s="519">
        <f>(F54+F55+F56+F57+F58+F59+F60+F61+F62)*T60*$B$2</f>
        <v>0.48537443842897676</v>
      </c>
      <c r="AD60" s="984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1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7" t="s">
        <v>798</v>
      </c>
      <c r="C4" s="1138"/>
      <c r="D4" s="1138"/>
      <c r="E4" s="1138"/>
      <c r="F4" s="1138"/>
      <c r="G4" s="1139"/>
      <c r="H4" s="1137" t="s">
        <v>799</v>
      </c>
      <c r="I4" s="1138"/>
      <c r="J4" s="1139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2">
        <f>(G7+G14+G16)/300</f>
        <v>0.61986329460013678</v>
      </c>
      <c r="V7" s="992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3">
        <v>0.9</v>
      </c>
      <c r="V8" s="994">
        <f>IFERROR(AB8/S8/X8,0)</f>
        <v>0</v>
      </c>
      <c r="W8" s="517">
        <v>20</v>
      </c>
      <c r="X8" s="990">
        <f t="shared" ref="X8:X13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5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4">
        <f>(G10+G11)/200</f>
        <v>0.82661774762699336</v>
      </c>
      <c r="V10" s="994">
        <f t="shared" ref="V10:V12" si="2">AB10/S10/X10</f>
        <v>7.0854130591549908E-2</v>
      </c>
      <c r="W10" s="517">
        <v>20</v>
      </c>
      <c r="X10" s="990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5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(S11*1000)/(E25)*DwellingStocks!$V$37-0.613</f>
        <v>3.25635730455119</v>
      </c>
      <c r="U11" s="992">
        <f>(G25)/100</f>
        <v>0.99952095808383234</v>
      </c>
      <c r="V11" s="992">
        <f t="shared" si="2"/>
        <v>4.3865772339433187E-2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1.418571113542247</v>
      </c>
      <c r="AC11" s="512">
        <f>IF(((D25+I25)*T11*$B$2)&lt;=0,0,((D25+I25)*T11*$B$2))</f>
        <v>1.4192509942580591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(S12*1000)/E12*DwellingStocks!$V$37-0.613</f>
        <v>0.2877939312090847</v>
      </c>
      <c r="U12" s="994">
        <f>G12/100</f>
        <v>3.0897837837837834</v>
      </c>
      <c r="V12" s="994">
        <f t="shared" si="2"/>
        <v>1.0215556197647285E-2</v>
      </c>
      <c r="W12" s="517">
        <v>20</v>
      </c>
      <c r="X12" s="990">
        <f t="shared" si="1"/>
        <v>0.94608000000000003</v>
      </c>
      <c r="Y12" s="517"/>
      <c r="Z12" s="517"/>
      <c r="AA12" s="517"/>
      <c r="AB12" s="518">
        <f>AC12*U12</f>
        <v>0.1415828217820112</v>
      </c>
      <c r="AC12" s="519">
        <f>IF(((D12+I12)*T12*$B$2)&lt;=0,0,((D12+I12)*T12*$B$2))</f>
        <v>4.5822889784419583E-2</v>
      </c>
      <c r="AD12" s="985">
        <v>30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7"/>
      <c r="V13" s="997"/>
      <c r="X13" s="991">
        <f t="shared" si="1"/>
        <v>0.94608000000000003</v>
      </c>
      <c r="AA13" s="1041">
        <f>AC13/AB12</f>
        <v>0.4118841357291253</v>
      </c>
      <c r="AC13" s="982">
        <f>RSD_Balance!H22</f>
        <v>5.8315718183774463E-2</v>
      </c>
      <c r="AD13" s="982">
        <v>30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2">
        <f>G13/100</f>
        <v>0.82280373831775711</v>
      </c>
      <c r="V14" s="992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2">
        <f>G15/100</f>
        <v>0.82728758169934635</v>
      </c>
      <c r="V16" s="992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2">
        <f>(G17+G18)/200</f>
        <v>0.5457894736842106</v>
      </c>
      <c r="V18" s="992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3">
        <f>G19/100</f>
        <v>0.61474226804123711</v>
      </c>
      <c r="V20" s="994">
        <f>SUM(AB20:AB22)/S20/X20</f>
        <v>0.13720876081054353</v>
      </c>
      <c r="W20" s="517">
        <v>20</v>
      </c>
      <c r="X20" s="990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5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5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2">
        <f>(G21+G22+G23)/300</f>
        <v>0.72928609692169366</v>
      </c>
      <c r="V23" s="992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4">
        <f>G24/100</f>
        <v>0.65865731206453049</v>
      </c>
      <c r="V24" s="994">
        <f>AB24/S24/X24</f>
        <v>0.20082509173370536</v>
      </c>
      <c r="W24" s="517">
        <v>20</v>
      </c>
      <c r="X24" s="990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5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37.016166353840191</v>
      </c>
      <c r="AC27" s="499">
        <f>SUM(AC6:AC25)</f>
        <v>47.255469650402063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7" t="s">
        <v>798</v>
      </c>
      <c r="C28" s="1138"/>
      <c r="D28" s="1138"/>
      <c r="E28" s="1138"/>
      <c r="F28" s="1138"/>
      <c r="G28" s="1139"/>
      <c r="H28" s="1137" t="s">
        <v>799</v>
      </c>
      <c r="I28" s="1138"/>
      <c r="J28" s="1139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2">
        <f>U7</f>
        <v>0.61986329460013678</v>
      </c>
      <c r="V33" s="992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3">
        <v>0.9</v>
      </c>
      <c r="V34" s="994">
        <f>AB34/S34/X34</f>
        <v>4.2328767123287675E-2</v>
      </c>
      <c r="W34" s="517">
        <v>20</v>
      </c>
      <c r="X34" s="990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5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5">
        <v>0.9</v>
      </c>
      <c r="V35" s="992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4">
        <f>U10</f>
        <v>0.82661774762699336</v>
      </c>
      <c r="V36" s="994">
        <f t="shared" ref="V36:V44" si="6">AB36/S36/X36</f>
        <v>6.8787509731139285E-2</v>
      </c>
      <c r="W36" s="517">
        <v>20</v>
      </c>
      <c r="X36" s="990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5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IFERROR((S37*1000)/E49,0)-0.118</f>
        <v>5.1775165470161131</v>
      </c>
      <c r="U37" s="992">
        <f>U11</f>
        <v>0.99952095808383234</v>
      </c>
      <c r="V37" s="992">
        <f t="shared" si="6"/>
        <v>5.0031898441556574E-2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0.42104015223726915</v>
      </c>
      <c r="AC37" s="512">
        <f>IF(((D49+I49)*$B$2)&lt;=0,0,((D49+I49)*T37*$B$2))</f>
        <v>0.42124194478566945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IFERROR((S38*1000)/E36,0)-0.118</f>
        <v>1.071089280911496</v>
      </c>
      <c r="U38" s="994">
        <f>U12</f>
        <v>3.0897837837837834</v>
      </c>
      <c r="V38" s="994">
        <f t="shared" si="6"/>
        <v>0.31150991575798415</v>
      </c>
      <c r="W38" s="517">
        <v>20</v>
      </c>
      <c r="X38" s="990">
        <f t="shared" si="4"/>
        <v>6.3072000000000003E-2</v>
      </c>
      <c r="Y38" s="517"/>
      <c r="Z38" s="517"/>
      <c r="AA38" s="517"/>
      <c r="AB38" s="518">
        <f>AC38*U38</f>
        <v>0.26925506162712676</v>
      </c>
      <c r="AC38" s="519">
        <f>IF(((D49+I49)*$B$2)&lt;=0,0,((D49+I49)*T38*$B$2))</f>
        <v>8.7143658090338624E-2</v>
      </c>
      <c r="AD38" s="985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tr">
        <f>COMM!$E$19</f>
        <v>RSDAHT</v>
      </c>
      <c r="Q39" s="42"/>
      <c r="R39" s="514"/>
      <c r="S39" s="515"/>
      <c r="T39" s="516"/>
      <c r="U39" s="994"/>
      <c r="V39" s="994"/>
      <c r="W39" s="517"/>
      <c r="X39" s="990">
        <f t="shared" si="4"/>
        <v>6.3072000000000003E-2</v>
      </c>
      <c r="Y39" s="517"/>
      <c r="Z39" s="517"/>
      <c r="AA39" s="517">
        <f>AC39/AB38</f>
        <v>0.4118841357291253</v>
      </c>
      <c r="AB39" s="518"/>
      <c r="AC39" s="519">
        <f>RSD_Balance!K22</f>
        <v>0.11090188834898147</v>
      </c>
      <c r="AD39" s="985">
        <v>2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2">
        <f>U14</f>
        <v>0.82280373831775711</v>
      </c>
      <c r="V40" s="992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2">
        <f>U16</f>
        <v>0.82728758169934635</v>
      </c>
      <c r="V42" s="992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2">
        <f>U18</f>
        <v>0.5457894736842106</v>
      </c>
      <c r="V44" s="992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3">
        <f>U20</f>
        <v>0.61474226804123711</v>
      </c>
      <c r="V46" s="994">
        <f>SUM(AB46:AB48)/S46/X46</f>
        <v>4.4737576657325105E-2</v>
      </c>
      <c r="W46" s="517">
        <v>20</v>
      </c>
      <c r="X46" s="990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5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5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2">
        <f>U23</f>
        <v>0.72928609692169366</v>
      </c>
      <c r="V49" s="992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4">
        <f>U24</f>
        <v>0.65865731206453049</v>
      </c>
      <c r="V50" s="994">
        <f t="shared" si="13"/>
        <v>5.1032329364559198E-3</v>
      </c>
      <c r="W50" s="517">
        <v>20</v>
      </c>
      <c r="X50" s="990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5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5.1775165470161131</v>
      </c>
      <c r="U51" s="992">
        <v>1</v>
      </c>
      <c r="V51" s="992">
        <f>AB51/S51/X51</f>
        <v>0.14558807459639667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0.26608393894100396</v>
      </c>
      <c r="AC51" s="512">
        <f>RSD_Balance!K18</f>
        <v>0.26608393894100396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9.8258546517138896</v>
      </c>
      <c r="AC54" s="499">
        <f>SUM(AC31:AC52)</f>
        <v>11.825437320235622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2">
        <v>0.4</v>
      </c>
      <c r="V59" s="992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8">
        <f>DwellingStocks!K38/1000</f>
        <v>724.42972899999995</v>
      </c>
      <c r="T60" s="513">
        <f>(S60*1000)/SUM(G54:G62)-0.188</f>
        <v>2.540641381440425</v>
      </c>
      <c r="U60" s="999">
        <v>0.6</v>
      </c>
      <c r="V60" s="999">
        <f t="shared" ref="V60" si="16">AB60/S60/X60</f>
        <v>0.29839165082681329</v>
      </c>
      <c r="W60" s="1000">
        <v>15</v>
      </c>
      <c r="X60" s="1001">
        <f t="shared" si="15"/>
        <v>1.5768000000000002E-3</v>
      </c>
      <c r="Y60" s="1000"/>
      <c r="Z60" s="1000"/>
      <c r="AA60" s="1000"/>
      <c r="AB60" s="1002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4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19" t="s">
        <v>459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526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19" t="s">
        <v>528</v>
      </c>
      <c r="B1" s="1119"/>
      <c r="C1" s="1119"/>
      <c r="D1" s="1119"/>
      <c r="E1" s="1119"/>
      <c r="F1" s="1119"/>
      <c r="G1" s="1119"/>
      <c r="H1" s="1119"/>
      <c r="I1" s="1119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2021-03-30T11:59:12Z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888909339904785</vt:r8>
  </property>
</Properties>
</file>