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7C1D4CC9-E37E-4515-871F-A1DB2738DAB0}" xr6:coauthVersionLast="45" xr6:coauthVersionMax="46" xr10:uidLastSave="{00000000-0000-0000-0000-000000000000}"/>
  <bookViews>
    <workbookView xWindow="-120" yWindow="-163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23" i="55" l="1"/>
  <c r="X123" i="55"/>
  <c r="Y123" i="55"/>
  <c r="V123" i="55"/>
  <c r="W28" i="55"/>
  <c r="X28" i="55"/>
  <c r="Y28" i="55"/>
  <c r="V28" i="55"/>
  <c r="W75" i="55"/>
  <c r="X75" i="55"/>
  <c r="Y75" i="55"/>
  <c r="V75" i="55"/>
  <c r="V110" i="55" l="1"/>
  <c r="W125" i="55" l="1"/>
  <c r="X125" i="55"/>
  <c r="Y125" i="55"/>
  <c r="W126" i="55"/>
  <c r="X126" i="55"/>
  <c r="Y126" i="55"/>
  <c r="V126" i="55"/>
  <c r="V125" i="55"/>
  <c r="W101" i="55" l="1"/>
  <c r="X101" i="55"/>
  <c r="Y101" i="55"/>
  <c r="V101" i="55"/>
  <c r="Z102" i="55"/>
  <c r="Z101" i="55"/>
  <c r="W54" i="55"/>
  <c r="X54" i="55"/>
  <c r="Y54" i="55"/>
  <c r="V54" i="55"/>
  <c r="V50" i="55"/>
  <c r="Z54" i="55"/>
  <c r="Z53" i="55"/>
  <c r="W53" i="55"/>
  <c r="X53" i="55"/>
  <c r="Y53" i="55"/>
  <c r="V53" i="55"/>
  <c r="Z12" i="55"/>
  <c r="Z11" i="55"/>
  <c r="W11" i="55"/>
  <c r="X11" i="55"/>
  <c r="Y11" i="55"/>
  <c r="V12" i="55"/>
  <c r="V11" i="55"/>
  <c r="I22" i="56" l="1"/>
  <c r="I14" i="56"/>
  <c r="I19" i="56"/>
  <c r="I18" i="56"/>
  <c r="I13" i="56"/>
  <c r="I16" i="56"/>
  <c r="I15" i="56"/>
  <c r="I9" i="56"/>
  <c r="I10" i="56"/>
  <c r="I8" i="56"/>
  <c r="I7" i="56"/>
  <c r="I21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V25" i="55"/>
  <c r="C106" i="55"/>
  <c r="C105" i="55"/>
  <c r="AM106" i="55"/>
  <c r="AM105" i="55"/>
  <c r="C57" i="55"/>
  <c r="C58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9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C68" i="55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X97" i="55"/>
  <c r="Y97" i="55"/>
  <c r="V97" i="55"/>
  <c r="Y114" i="55"/>
  <c r="W114" i="55"/>
  <c r="X114" i="55" s="1"/>
  <c r="Y66" i="55"/>
  <c r="W66" i="55"/>
  <c r="Y51" i="55"/>
  <c r="X51" i="55"/>
  <c r="W51" i="55"/>
  <c r="W49" i="55"/>
  <c r="W45" i="55" s="1"/>
  <c r="X49" i="55"/>
  <c r="Y49" i="55"/>
  <c r="V49" i="55"/>
  <c r="Z47" i="55"/>
  <c r="Z48" i="55"/>
  <c r="Y20" i="55"/>
  <c r="W20" i="55"/>
  <c r="X20" i="55" s="1"/>
  <c r="W93" i="55" l="1"/>
  <c r="V93" i="55"/>
  <c r="X93" i="55"/>
  <c r="Y93" i="55"/>
  <c r="V45" i="55"/>
  <c r="Y45" i="55"/>
  <c r="X45" i="55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8" i="55"/>
  <c r="Z107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S108" i="55"/>
  <c r="R108" i="55"/>
  <c r="Q108" i="55"/>
  <c r="P108" i="55"/>
  <c r="AM107" i="55"/>
  <c r="AL107" i="55"/>
  <c r="S107" i="55"/>
  <c r="R107" i="55"/>
  <c r="Q107" i="55"/>
  <c r="P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60" i="55"/>
  <c r="Z59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9" i="55"/>
  <c r="Q59" i="55"/>
  <c r="R59" i="55"/>
  <c r="S59" i="55"/>
  <c r="V151" i="55"/>
  <c r="U151" i="55" s="1"/>
  <c r="U150" i="55"/>
  <c r="U152" i="55"/>
  <c r="U153" i="55"/>
  <c r="U154" i="55"/>
  <c r="U149" i="55"/>
  <c r="K17" i="55" l="1"/>
  <c r="V104" i="55"/>
  <c r="X47" i="55"/>
  <c r="V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10" i="55"/>
  <c r="V8" i="55" s="1"/>
  <c r="X115" i="55"/>
  <c r="W21" i="55"/>
  <c r="X21" i="55"/>
  <c r="Y67" i="55"/>
  <c r="W67" i="55"/>
  <c r="W115" i="55"/>
  <c r="Y21" i="55"/>
  <c r="Y115" i="55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W107" i="55"/>
  <c r="X112" i="55"/>
  <c r="X107" i="55"/>
  <c r="Y112" i="55"/>
  <c r="Y107" i="55"/>
  <c r="W110" i="55"/>
  <c r="V107" i="55"/>
  <c r="X110" i="55"/>
  <c r="V117" i="55"/>
  <c r="Y110" i="55"/>
  <c r="Y120" i="55"/>
  <c r="V113" i="55"/>
  <c r="V108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W108" i="55"/>
  <c r="X100" i="55"/>
  <c r="W120" i="55"/>
  <c r="V120" i="55"/>
  <c r="V118" i="55"/>
  <c r="Y116" i="55"/>
  <c r="X113" i="55"/>
  <c r="X108" i="55"/>
  <c r="X120" i="55"/>
  <c r="V116" i="55"/>
  <c r="Y113" i="55"/>
  <c r="Y108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Y60" i="55"/>
  <c r="X70" i="55"/>
  <c r="X60" i="55"/>
  <c r="X68" i="55"/>
  <c r="V65" i="55"/>
  <c r="W72" i="55"/>
  <c r="W60" i="55"/>
  <c r="X72" i="55"/>
  <c r="W70" i="55"/>
  <c r="W68" i="55"/>
  <c r="Y72" i="55"/>
  <c r="W73" i="55"/>
  <c r="Y70" i="55"/>
  <c r="Y68" i="55"/>
  <c r="Y62" i="55"/>
  <c r="V60" i="55"/>
  <c r="X73" i="55"/>
  <c r="V70" i="55"/>
  <c r="W65" i="55"/>
  <c r="Y73" i="55"/>
  <c r="X65" i="55"/>
  <c r="Y65" i="55"/>
  <c r="W62" i="55"/>
  <c r="X62" i="55"/>
  <c r="X69" i="55"/>
  <c r="W64" i="55"/>
  <c r="V59" i="55"/>
  <c r="X64" i="55"/>
  <c r="Y69" i="55"/>
  <c r="Y64" i="55"/>
  <c r="W59" i="55"/>
  <c r="X59" i="55"/>
  <c r="W69" i="55"/>
  <c r="Y5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V94" i="55"/>
  <c r="V102" i="55"/>
  <c r="Y102" i="55"/>
  <c r="Y94" i="55"/>
  <c r="X94" i="55"/>
  <c r="X102" i="55"/>
  <c r="Y46" i="55"/>
  <c r="W46" i="55"/>
  <c r="W94" i="55"/>
  <c r="W102" i="55"/>
  <c r="V46" i="55"/>
  <c r="V147" i="55"/>
  <c r="U148" i="55"/>
  <c r="W131" i="55" l="1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78" i="55"/>
  <c r="C77" i="55"/>
  <c r="C75" i="55"/>
  <c r="C73" i="55"/>
  <c r="C72" i="55"/>
  <c r="C67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3" i="55"/>
  <c r="C81" i="55"/>
  <c r="C80" i="55"/>
  <c r="C70" i="55"/>
  <c r="C69" i="55"/>
  <c r="C66" i="55"/>
  <c r="C65" i="55"/>
  <c r="C64" i="55"/>
  <c r="C62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<sst xmlns="http://schemas.openxmlformats.org/spreadsheetml/2006/main" count="3509" uniqueCount="1046">
  <si>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</si>
  <si>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</si>
  <si>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</si>
  <si>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</si>
  <si>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</si>
  <si>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</si>
  <si>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</si>
  <si>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</si>
  <si>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</si>
  <si>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</si>
  <si>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</si>
  <si>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</si>
  <si>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</si>
  <si>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</si>
  <si>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</si>
  <si>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</si>
  <si>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</si>
  <si>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</si>
  <si>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</si>
  <si>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</si>
  <si>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</si>
  <si>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</si>
  <si>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</si>
  <si>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</si>
  <si>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</si>
  <si>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</si>
  <si>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</si>
  <si>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</si>
  <si>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</si>
  <si>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</si>
  <si>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</si>
  <si>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</si>
  <si>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</si>
  <si>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</si>
  <si>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</si>
  <si>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</si>
  <si>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</si>
  <si>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</si>
  <si>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</si>
  <si>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</si>
  <si>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</si>
  <si>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</si>
  <si>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</si>
  <si>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</si>
  <si>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</si>
  <si>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</si>
  <si>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</si>
  <si>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</si>
  <si>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</si>
  <si>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</si>
  <si>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</si>
  <si>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</si>
  <si>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</si>
  <si>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</si>
  <si>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</si>
  <si>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</si>
  <si>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</si>
  <si>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</si>
  <si>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</si>
  <si>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</si>
  <si>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</si>
  <si>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</si>
  <si>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</si>
  <si>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</si>
  <si>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</si>
  <si>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</si>
  <si>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</si>
  <si>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</si>
  <si>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</si>
  <si>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</si>
  <si>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</si>
  <si>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</si>
  <si>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</si>
  <si>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</si>
  <si>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</si>
  <si>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</si>
  <si>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</si>
  <si>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</si>
  <si>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</si>
  <si>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</si>
  <si>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</si>
  <si>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</si>
  <si>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</si>
  <si>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</si>
  <si>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</si>
  <si>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</si>
  <si>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</si>
  <si>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</si>
  <si>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</si>
  <si>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</si>
  <si>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</si>
  <si>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</si>
  <si>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</si>
  <si>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</si>
  <si>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</si>
  <si>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</si>
  <si>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</si>
  <si>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</si>
  <si>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</si>
  <si>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</si>
  <si>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</si>
  <si>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</si>
  <si>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</si>
  <si>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</si>
  <si>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</si>
  <si>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</si>
  <si>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</si>
  <si>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</si>
  <si>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</si>
  <si>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</si>
  <si>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</si>
  <si>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</si>
  <si>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</si>
  <si>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</si>
  <si>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</si>
  <si>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</si>
  <si>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</si>
  <si>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</si>
  <si>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</si>
  <si>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</si>
  <si>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</si>
  <si>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</si>
  <si>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</si>
  <si>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</si>
  <si>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</si>
  <si>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</si>
  <si>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</si>
  <si>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</si>
  <si>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</si>
  <si>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</si>
  <si>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</si>
  <si>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</si>
  <si>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</si>
  <si>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</si>
  <si>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</si>
  <si>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</si>
  <si>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</si>
  <si>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</si>
  <si>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</si>
  <si>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</si>
  <si>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</si>
  <si>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</si>
  <si>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</si>
  <si>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</si>
  <si>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</si>
  <si>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</si>
  <si>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</si>
  <si>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</si>
  <si>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</si>
  <si>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</si>
  <si>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</si>
  <si>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</si>
  <si>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</si>
  <si>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</si>
  <si>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</si>
  <si>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</si>
  <si>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</si>
  <si>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</si>
  <si>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</si>
  <si>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</si>
  <si>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</si>
  <si>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</si>
  <si>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</si>
  <si>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</si>
  <si>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</si>
  <si>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</si>
  <si>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</si>
  <si>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</si>
  <si>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</si>
  <si>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</si>
  <si>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</si>
  <si>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</si>
  <si>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</si>
  <si>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</si>
  <si>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</si>
  <si>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</si>
  <si>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</si>
  <si>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</si>
  <si>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</si>
  <si>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</si>
  <si>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</si>
  <si>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</si>
  <si>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</si>
  <si>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</si>
  <si>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</si>
  <si>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</si>
  <si>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</si>
  <si>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</si>
  <si>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</si>
  <si>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</si>
  <si>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</si>
  <si>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</si>
  <si>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</si>
  <si>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</si>
  <si>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</si>
  <si>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</si>
  <si>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</si>
  <si>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</si>
  <si>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</si>
  <si>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</si>
  <si>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</si>
  <si>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</si>
  <si>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</si>
  <si>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</si>
  <si>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</si>
  <si>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</si>
  <si>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</si>
  <si>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</si>
  <si>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</si>
  <si>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</si>
  <si>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</si>
  <si>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</si>
  <si>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</si>
  <si>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</si>
  <si>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</si>
  <si>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</si>
  <si>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</si>
  <si>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</si>
  <si>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</si>
  <si>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</si>
  <si>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</si>
  <si>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</si>
  <si>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</si>
  <si>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</si>
  <si>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</si>
  <si>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</si>
  <si>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</si>
  <si>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</si>
  <si>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</si>
  <si>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</si>
  <si>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</si>
  <si>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</si>
  <si>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</si>
  <si>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</si>
  <si>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</si>
  <si>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</si>
  <si>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</si>
  <si>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</si>
  <si>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</si>
  <si>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</si>
  <si>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</si>
  <si>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</si>
  <si>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</si>
  <si>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</si>
  <si>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</si>
  <si>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</si>
  <si>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</si>
  <si>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</si>
  <si>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</si>
  <si>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</si>
  <si>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</si>
  <si>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</si>
  <si>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</si>
  <si>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</si>
  <si>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</si>
  <si>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</si>
  <si>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</si>
  <si>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</si>
  <si>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</si>
  <si>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</si>
  <si>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</si>
  <si>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</si>
  <si>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</si>
  <si>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</si>
  <si>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</si>
  <si>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</si>
  <si>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</si>
  <si>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</si>
  <si>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</si>
  <si>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</si>
  <si>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</si>
  <si>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</si>
  <si>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</si>
  <si>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</si>
  <si>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</si>
  <si>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</si>
  <si>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</si>
  <si>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</si>
  <si>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</si>
  <si>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</si>
  <si>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</si>
  <si>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</si>
  <si>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</si>
  <si>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</si>
  <si>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</si>
  <si>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</si>
  <si>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</si>
  <si>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</si>
  <si>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</si>
  <si>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</si>
  <si>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</si>
  <si>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</si>
  <si>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</si>
  <si>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</si>
  <si>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</si>
  <si>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</si>
  <si>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</si>
  <si>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</si>
  <si>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</si>
  <si>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</si>
  <si>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</si>
  <si>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</si>
  <si>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</si>
  <si>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</si>
  <si>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</si>
  <si>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</si>
  <si>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</si>
  <si>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</si>
  <si>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</si>
  <si>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</si>
  <si>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</si>
  <si>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</si>
  <si>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</si>
  <si>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</si>
  <si>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</si>
  <si>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</si>
  <si>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</si>
  <si>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</si>
  <si>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</si>
  <si>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</si>
  <si>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</si>
  <si>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</si>
  <si>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</si>
  <si>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</si>
  <si>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</si>
  <si>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</si>
  <si>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</si>
  <si>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</si>
  <si>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</si>
  <si>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</si>
  <si>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</si>
  <si>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</si>
  <si>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</si>
  <si>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</si>
  <si>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</si>
  <si>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</si>
  <si>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</si>
  <si>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</si>
  <si>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</si>
  <si>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</si>
  <si>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</si>
  <si>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</si>
  <si>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</si>
  <si>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</si>
  <si>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</si>
  <si>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</si>
  <si>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</si>
  <si>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</si>
  <si>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</si>
  <si>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</si>
  <si>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</si>
  <si>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</si>
  <si>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</si>
  <si>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</si>
  <si>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</si>
  <si>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</si>
  <si>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</si>
  <si>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</si>
  <si>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</si>
  <si>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</si>
  <si>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</si>
  <si>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</si>
  <si>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</si>
  <si>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</si>
  <si>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</si>
  <si>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</si>
  <si>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</si>
  <si>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</si>
  <si>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</si>
  <si>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</si>
  <si>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</si>
  <si>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</si>
  <si>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</si>
  <si>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</si>
  <si>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</si>
  <si>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</si>
  <si>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</si>
  <si>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</si>
  <si>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</si>
  <si>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</si>
  <si>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</si>
  <si>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</si>
  <si>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</si>
  <si>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</si>
  <si>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</si>
  <si>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</si>
  <si>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</si>
  <si>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</si>
  <si>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</si>
  <si>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</si>
  <si>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</si>
  <si>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</si>
  <si>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</si>
  <si>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</si>
  <si>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</si>
  <si>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</si>
  <si>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</si>
  <si>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</si>
  <si>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</si>
  <si>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</si>
  <si>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</si>
  <si>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</si>
  <si>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</si>
  <si>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</si>
  <si>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</si>
  <si>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</si>
  <si>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</si>
  <si>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</si>
  <si>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</si>
  <si>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</si>
  <si>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</si>
  <si>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</si>
  <si>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</si>
  <si>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</si>
  <si>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</si>
  <si>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</si>
  <si>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</si>
  <si>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</si>
  <si>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</si>
  <si>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</si>
  <si>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</si>
  <si>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</si>
  <si>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</si>
  <si>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</si>
  <si>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</si>
  <si>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</si>
  <si>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</si>
  <si>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</si>
  <si>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</si>
  <si>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</si>
  <si>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</si>
  <si>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</si>
  <si>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</si>
  <si>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</si>
  <si>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</si>
  <si>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</si>
  <si>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</si>
  <si>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</si>
  <si>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</si>
  <si>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</si>
  <si>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</si>
  <si>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</si>
  <si>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</si>
  <si>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</si>
  <si>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</si>
  <si>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</si>
  <si>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</si>
  <si>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</si>
  <si>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</si>
  <si>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</si>
  <si>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</si>
  <si>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</si>
  <si>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</si>
  <si>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</si>
  <si>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</si>
  <si>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</si>
  <si>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</si>
  <si>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</si>
  <si>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</si>
  <si>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</si>
  <si>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</si>
  <si>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</si>
  <si>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</si>
  <si>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</si>
  <si>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</si>
  <si>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</si>
  <si>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</si>
  <si>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</si>
  <si>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</si>
  <si>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</si>
  <si>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</si>
  <si>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</si>
  <si>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</si>
  <si>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</si>
  <si>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</si>
  <si>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</si>
  <si>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</si>
  <si>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</si>
  <si>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</si>
  <si>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</si>
  <si>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</si>
  <si>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</si>
  <si>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</si>
  <si>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</si>
  <si>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</si>
  <si>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</si>
  <si>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</si>
  <si>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</si>
  <si>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</si>
  <si>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</si>
  <si>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</si>
  <si>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</si>
  <si>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</si>
  <si>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</si>
  <si>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</si>
  <si>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</si>
  <si>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</si>
  <si>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</si>
  <si>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</si>
  <si>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</si>
  <si>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</si>
  <si>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</si>
  <si>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</si>
  <si>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</si>
  <si>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</si>
  <si>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</si>
  <si>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</si>
  <si>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</si>
  <si>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</si>
  <si>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</si>
  <si>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</si>
  <si>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</si>
  <si>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</si>
  <si>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</si>
  <si>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</si>
  <si>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</si>
  <si>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</si>
  <si>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</si>
  <si>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</si>
  <si>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</si>
  <si>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</si>
  <si>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</si>
  <si>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</si>
  <si>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</si>
  <si>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</si>
  <si>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</si>
  <si>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</si>
  <si>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</si>
  <si>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</si>
  <si>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</si>
  <si>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</si>
  <si>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</si>
  <si>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</si>
  <si>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</si>
  <si>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</si>
  <si>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</si>
  <si>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</si>
  <si>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</si>
  <si>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</si>
  <si>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</si>
  <si>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</si>
  <si>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</si>
  <si>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</si>
  <si>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</si>
  <si>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</si>
  <si>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</si>
  <si>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</si>
  <si>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</si>
  <si>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</si>
  <si>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</si>
  <si>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</si>
  <si>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</si>
  <si>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</si>
  <si>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</si>
  <si>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</si>
  <si>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</si>
  <si>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</si>
  <si>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</si>
  <si>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</si>
  <si>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</si>
  <si>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</si>
  <si>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</si>
  <si>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</si>
  <si>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</si>
  <si>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</si>
  <si>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</si>
  <si>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</si>
  <si>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</si>
  <si>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</si>
  <si>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</si>
  <si>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</si>
  <si>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</si>
  <si>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</si>
  <si>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</si>
  <si>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</si>
  <si>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</si>
  <si>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</si>
  <si>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</si>
  <si>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</si>
  <si>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</si>
  <si>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</si>
  <si>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</si>
  <si>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</si>
  <si>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</si>
  <si>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</si>
  <si>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</si>
  <si>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</si>
  <si>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</si>
  <si>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</si>
  <si>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</si>
  <si>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</si>
  <si>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</si>
  <si>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</si>
  <si>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</si>
  <si>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</si>
  <si>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</si>
  <si>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</si>
  <si>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</si>
  <si>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</si>
  <si>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</si>
  <si>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</si>
  <si>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</si>
  <si>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</si>
  <si>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</si>
  <si>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</si>
  <si>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</si>
  <si>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</si>
  <si>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</si>
  <si>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</si>
  <si>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</si>
  <si>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</si>
  <si>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</si>
  <si>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</si>
  <si>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</si>
  <si>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</si>
  <si>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</si>
  <si>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</si>
  <si>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</si>
  <si>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</si>
  <si>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</si>
  <si>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</si>
  <si>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</si>
  <si>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</si>
  <si>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</si>
  <si>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</si>
  <si>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</si>
  <si>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</si>
  <si>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</si>
  <si>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</si>
  <si>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</si>
  <si>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</si>
  <si>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</si>
  <si>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</si>
  <si>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</si>
  <si>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</si>
  <si>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</si>
  <si>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</si>
  <si>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</si>
  <si>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</si>
  <si>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</si>
  <si>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</si>
  <si>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</si>
  <si>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</si>
  <si>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</si>
  <si>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</si>
  <si>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</si>
  <si>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</si>
  <si>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</si>
  <si>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</si>
  <si>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</si>
  <si>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</si>
  <si>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</si>
  <si>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</si>
  <si>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</si>
  <si>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</si>
  <si>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</si>
  <si>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</si>
  <si>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</si>
  <si>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</si>
  <si>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</si>
  <si>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</si>
  <si>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</si>
  <si>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</si>
  <si>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</si>
  <si>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</si>
  <si>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</si>
  <si>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</si>
  <si>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</si>
  <si>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</si>
  <si>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</si>
  <si>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</si>
  <si>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</si>
  <si>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</si>
  <si>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</si>
  <si>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</si>
  <si>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</si>
  <si>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</si>
  <si>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</si>
  <si>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</si>
  <si>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</si>
  <si>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</si>
  <si>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</si>
  <si>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</si>
  <si>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</si>
  <si>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</si>
  <si>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</si>
  <si>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</si>
  <si>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</si>
  <si>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</si>
  <si>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</si>
  <si>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</si>
  <si>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</si>
  <si>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</si>
  <si>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</si>
  <si>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</si>
  <si>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</si>
  <si>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</si>
  <si>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</si>
  <si>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</si>
  <si>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</si>
  <si>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</si>
  <si>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</si>
  <si>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</si>
  <si>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</si>
  <si>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</si>
  <si>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</si>
  <si>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</si>
  <si>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</si>
  <si>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</si>
  <si>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</si>
  <si>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</si>
  <si>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</si>
  <si>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</si>
  <si>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</si>
  <si>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</si>
  <si>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</si>
  <si>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</si>
  <si>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</si>
  <si>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</si>
  <si>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</si>
  <si>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</si>
  <si>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</si>
  <si>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</si>
  <si>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</si>
  <si>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</si>
  <si>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</si>
  <si>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</si>
  <si>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</si>
  <si>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</si>
  <si>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</si>
  <si>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</si>
  <si>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</si>
  <si>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</si>
  <si>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</si>
  <si>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</si>
  <si>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</si>
  <si>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</si>
  <si>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</si>
  <si>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</si>
  <si>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</si>
  <si>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</si>
  <si>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</si>
  <si>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</si>
  <si>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</si>
  <si>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</si>
  <si>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</si>
  <si>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</si>
  <si>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</si>
  <si>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</si>
  <si>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</si>
  <si>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</si>
  <si>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</si>
  <si>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</si>
  <si>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</si>
  <si>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</si>
  <si>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</si>
  <si>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</si>
  <si>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</si>
  <si>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</si>
  <si>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</si>
  <si>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</si>
  <si>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</si>
  <si>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</si>
  <si>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</si>
  <si>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</si>
  <si>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</si>
  <si>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</si>
  <si>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</si>
  <si>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</si>
  <si>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</si>
  <si>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</si>
  <si>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</si>
  <si>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</si>
  <si>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</si>
  <si>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</si>
  <si>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</si>
  <si>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</si>
  <si>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</si>
  <si>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</si>
  <si>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</si>
  <si>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</si>
  <si>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</si>
  <si>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</si>
  <si>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</si>
  <si>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</si>
  <si>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</si>
  <si>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</si>
  <si>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</si>
  <si>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</si>
  <si>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</si>
  <si>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</si>
  <si>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</si>
  <si>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</si>
  <si>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</si>
  <si>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</si>
  <si>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</si>
  <si>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</si>
  <si>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</si>
  <si>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</si>
  <si>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</si>
  <si>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</si>
  <si>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</si>
  <si>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</si>
  <si>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</si>
  <si>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</si>
  <si>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</si>
  <si>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</si>
  <si>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</si>
  <si>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</si>
  <si>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</si>
  <si>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</si>
  <si>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</si>
  <si>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</si>
  <si>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</si>
  <si>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</si>
  <si>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</si>
  <si>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</si>
  <si>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</si>
  <si>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</si>
  <si>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</si>
  <si>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</si>
  <si>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</si>
  <si>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</si>
  <si>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</si>
  <si>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</si>
  <si>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</si>
  <si>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</si>
  <si>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</si>
  <si>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</si>
  <si>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</si>
  <si>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</si>
  <si>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</si>
  <si>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</si>
  <si>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</si>
  <si>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</si>
  <si>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</si>
  <si>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</si>
  <si>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</si>
  <si>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</si>
  <si>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</si>
  <si>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</si>
  <si>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</si>
  <si>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</si>
  <si>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</si>
  <si>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</si>
  <si>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</si>
  <si>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</si>
  <si>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</si>
  <si>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</si>
  <si>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</si>
  <si>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</si>
  <si>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</si>
  <si>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</si>
  <si>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</si>
  <si>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</si>
  <si>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</si>
  <si>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</si>
  <si>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</si>
  <si>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</si>
  <si>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</si>
  <si>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</si>
  <si>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</si>
  <si>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</si>
  <si>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</si>
  <si>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</si>
  <si>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</si>
  <si>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</si>
  <si>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</si>
  <si>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</si>
  <si>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</si>
  <si>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</si>
  <si>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</si>
  <si>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</si>
  <si>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</si>
  <si>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</si>
  <si>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</si>
  <si>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</si>
  <si>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</si>
  <si>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</si>
  <si>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</si>
  <si>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</si>
  <si>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</si>
  <si>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</si>
  <si>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</si>
  <si>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</si>
  <si>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</si>
  <si>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</si>
  <si>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</si>
  <si>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</si>
  <si>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</si>
  <si>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</si>
  <si>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</si>
  <si>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</si>
  <si>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</si>
  <si>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</si>
  <si>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</si>
  <si>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</si>
  <si>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</si>
  <si>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</si>
  <si>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</si>
  <si>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</si>
  <si>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</si>
  <si>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</si>
  <si>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</si>
  <si>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</si>
  <si>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</si>
  <si>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</si>
  <si>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</si>
  <si>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</si>
  <si>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</si>
  <si>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</si>
  <si>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</si>
  <si>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</si>
  <si>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</si>
  <si>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</si>
  <si>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</si>
  <si>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</si>
  <si>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</si>
  <si>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</si>
  <si>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</si>
  <si>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</si>
  <si>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</si>
  <si>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</si>
  <si>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</si>
  <si>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</si>
  <si>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</si>
  <si>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</si>
  <si>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</si>
  <si>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</si>
  <si>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</si>
  <si>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</si>
  <si>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</si>
  <si>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</si>
  <si>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</si>
  <si>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</si>
  <si>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</si>
  <si>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</si>
  <si>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</si>
  <si>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</si>
  <si>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</si>
  <si>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</si>
  <si>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</si>
  <si>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</si>
  <si>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</si>
  <si>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</si>
  <si>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</si>
  <si>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</si>
  <si>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</si>
  <si>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</si>
  <si>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</si>
  <si>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</si>
  <si>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</si>
  <si>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</si>
  <si>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</si>
  <si>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</si>
  <si>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</si>
  <si>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</si>
  <si>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</si>
  <si>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</si>
  <si>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</si>
  <si>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</si>
  <si>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</si>
  <si>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</si>
  <si>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</si>
  <si>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</si>
  <si>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</si>
  <si>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</si>
  <si>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</si>
  <si>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</si>
  <si>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</si>
  <si>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</si>
  <si>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</si>
  <si>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</si>
  <si>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</si>
  <si>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</si>
  <si>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</si>
  <si>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</si>
  <si>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</si>
  <si>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</si>
  <si>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</si>
  <si>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</si>
  <si>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</si>
  <si>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</si>
  <si>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</si>
  <si>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</si>
  <si>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</si>
  <si>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</si>
  <si>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</si>
  <si>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</si>
  <si>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</si>
  <si>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</si>
  <si>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</si>
  <si>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</si>
  <si>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</si>
  <si>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</si>
  <si>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</si>
  <si>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</si>
  <si>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</si>
  <si>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</si>
  <si>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</si>
  <si>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</si>
  <si>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</si>
  <si>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</si>
  <si>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</si>
  <si>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</si>
  <si>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</si>
  <si>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</si>
  <si>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</si>
  <si>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</si>
  <si>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</si>
  <si>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</si>
  <si>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</si>
  <si>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</si>
  <si>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</si>
  <si>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</si>
  <si>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</si>
  <si>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</si>
  <si>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</si>
  <si>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</si>
  <si>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</si>
  <si>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</si>
  <si>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</si>
  <si>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</si>
  <si>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</si>
  <si>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</si>
  <si>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</si>
  <si>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</si>
  <si>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</si>
  <si>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</si>
  <si>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</si>
  <si>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</si>
  <si>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</si>
  <si>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</si>
  <si>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</si>
  <si>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</si>
  <si>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</si>
  <si>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</si>
  <si>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</si>
  <si>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</si>
  <si>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Residential  Fireplace New 1 - SH</t>
  </si>
  <si>
    <t>R-SW_Att_FPL_N1</t>
  </si>
  <si>
    <t>Residential  Fireplace with back boiler New 1 - SH +WH</t>
  </si>
  <si>
    <t>*R-SH_Det_FPL_N1</t>
  </si>
  <si>
    <t>*R-SW_Det_FPL_N1</t>
  </si>
  <si>
    <t>Lights</t>
  </si>
  <si>
    <t>P&amp;F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</si>
</sst>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60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2" fontId="16" fillId="34" borderId="0" xfId="0" applyNumberFormat="1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left" vertical="center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1" t="s">
        <v>434</v>
      </c>
      <c r="B17" s="521"/>
      <c r="C17" s="521"/>
      <c r="D17" s="521"/>
      <c r="E17" s="521"/>
      <c r="F17" s="521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2" t="s">
        <v>436</v>
      </c>
      <c r="C20" s="522"/>
      <c r="D20" s="522"/>
      <c r="E20" s="522"/>
      <c r="F20" s="522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3" t="s">
        <v>1</v>
      </c>
      <c r="C21" s="523"/>
      <c r="D21" s="523"/>
      <c r="E21" s="523"/>
      <c r="F21" s="523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3" t="s">
        <v>48</v>
      </c>
      <c r="C22" s="523"/>
      <c r="D22" s="523"/>
      <c r="E22" s="523"/>
      <c r="F22" s="523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4"/>
      <c r="B25" s="524"/>
      <c r="C25" s="524"/>
      <c r="D25" s="524"/>
      <c r="E25" s="524"/>
      <c r="F25" s="524"/>
      <c r="G25" s="3"/>
      <c r="H25" s="3"/>
    </row>
    <row r="26" spans="1:14" ht="17.25" customHeight="1" x14ac:dyDescent="0.2">
      <c r="A26" s="520"/>
      <c r="B26" s="520"/>
      <c r="C26" s="520"/>
      <c r="D26" s="520"/>
      <c r="E26" s="520"/>
      <c r="F26" s="520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5" t="s">
        <v>4</v>
      </c>
      <c r="C2" s="526"/>
      <c r="D2" s="526"/>
      <c r="E2" s="527"/>
      <c r="G2" s="525" t="s">
        <v>5</v>
      </c>
      <c r="H2" s="527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8" t="s">
        <v>70</v>
      </c>
      <c r="C20" s="529"/>
      <c r="D20" s="529"/>
      <c r="E20" s="530"/>
      <c r="G20" s="525" t="s">
        <v>14</v>
      </c>
      <c r="H20" s="527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5" t="s">
        <v>78</v>
      </c>
      <c r="C38" s="526"/>
      <c r="D38" s="526"/>
      <c r="E38" s="527"/>
      <c r="G38" s="531" t="s">
        <v>72</v>
      </c>
      <c r="H38" s="532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1008</v>
      </c>
      <c r="H40" s="261" t="s">
        <v>1009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D1" zoomScale="60" zoomScaleNormal="60" workbookViewId="0">
      <selection activeCell="L18" sqref="L1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1010</v>
      </c>
      <c r="H3" s="64" t="s">
        <v>33</v>
      </c>
      <c r="I3" s="63" t="s">
        <v>660</v>
      </c>
      <c r="J3" s="63" t="s">
        <v>314</v>
      </c>
      <c r="M3" s="5" t="s">
        <v>390</v>
      </c>
      <c r="S3" s="533" t="s">
        <v>680</v>
      </c>
      <c r="T3" s="533"/>
      <c r="U3" s="533"/>
      <c r="V3" s="533"/>
      <c r="W3" s="533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(AK23*N11)/2</f>
        <v>2.1494423184792772E-4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AI23</f>
        <v>7.9109298846992832E-3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21.75" thickBot="1" x14ac:dyDescent="0.25">
      <c r="C9" s="109"/>
      <c r="D9" s="109"/>
      <c r="E9" s="70" t="s">
        <v>372</v>
      </c>
      <c r="F9" s="71"/>
      <c r="G9" s="71"/>
      <c r="H9" s="109"/>
      <c r="I9" s="314">
        <f>AJ22*N10</f>
        <v>5.6296955912135845E-4</v>
      </c>
      <c r="J9" s="103"/>
      <c r="M9" s="534" t="s">
        <v>110</v>
      </c>
      <c r="N9" s="534" t="s">
        <v>110</v>
      </c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.75" thickBot="1" x14ac:dyDescent="0.25">
      <c r="C10" s="132"/>
      <c r="D10" s="132"/>
      <c r="E10" s="165" t="s">
        <v>373</v>
      </c>
      <c r="F10" s="166"/>
      <c r="G10" s="166"/>
      <c r="H10" s="132"/>
      <c r="I10" s="316">
        <f>(AK23*N11)/2</f>
        <v>2.1494423184792772E-4</v>
      </c>
      <c r="J10" s="141"/>
      <c r="M10" s="291" t="s">
        <v>1044</v>
      </c>
      <c r="N10" s="292">
        <v>0.4</v>
      </c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M11" s="294" t="s">
        <v>1045</v>
      </c>
      <c r="N11" s="295">
        <v>0.6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AH38</f>
        <v>1.0242117509517548E-2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(AK37*N11)/2</f>
        <v>3.7440784810945435E-4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AI38</f>
        <v>8.461889951638905E-3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AJ37*N10</f>
        <v>8.258159899084647E-4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(AK37*N11)/2</f>
        <v>3.7440784810945435E-4</v>
      </c>
      <c r="J16" s="141"/>
    </row>
    <row r="17" spans="2:38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8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AH52</f>
        <v>2.4280865417312326E-2</v>
      </c>
      <c r="J18" s="188">
        <v>2020</v>
      </c>
    </row>
    <row r="19" spans="2:38" x14ac:dyDescent="0.2">
      <c r="C19" s="109"/>
      <c r="D19" s="109"/>
      <c r="E19" s="70" t="s">
        <v>402</v>
      </c>
      <c r="F19" s="71"/>
      <c r="G19" s="71"/>
      <c r="H19" s="109"/>
      <c r="I19" s="314">
        <f>(AK52*N11)/2</f>
        <v>3.9601185380309516E-4</v>
      </c>
      <c r="J19" s="103"/>
    </row>
    <row r="20" spans="2:38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H20" s="311" t="s">
        <v>688</v>
      </c>
      <c r="AI20" s="312" t="s">
        <v>695</v>
      </c>
      <c r="AJ20" s="312" t="s">
        <v>696</v>
      </c>
      <c r="AK20" s="5" t="s">
        <v>691</v>
      </c>
      <c r="AL20" s="310" t="s">
        <v>697</v>
      </c>
    </row>
    <row r="21" spans="2:38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AJ51*N10</f>
        <v>1.4104960356347441E-3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H21" s="310" t="s">
        <v>694</v>
      </c>
    </row>
    <row r="22" spans="2:38" ht="15" x14ac:dyDescent="0.2">
      <c r="C22" s="132"/>
      <c r="D22" s="132"/>
      <c r="E22" s="165" t="s">
        <v>405</v>
      </c>
      <c r="F22" s="166"/>
      <c r="G22" s="166"/>
      <c r="H22" s="132"/>
      <c r="I22" s="316">
        <f>(AK52*N11)/2</f>
        <v>3.9601185380309516E-4</v>
      </c>
      <c r="J22" s="141"/>
      <c r="V22" s="5" t="s">
        <v>665</v>
      </c>
      <c r="W22" s="180">
        <v>6419</v>
      </c>
      <c r="X22" s="180">
        <v>535137</v>
      </c>
      <c r="Y22" s="5">
        <v>52</v>
      </c>
      <c r="Z22" s="180">
        <v>-505747</v>
      </c>
      <c r="AA22" s="180">
        <v>11249</v>
      </c>
      <c r="AB22" s="180">
        <v>2509515</v>
      </c>
      <c r="AC22" s="180">
        <v>1893006</v>
      </c>
      <c r="AD22" s="180">
        <v>5793778</v>
      </c>
      <c r="AE22" s="180">
        <v>31852</v>
      </c>
      <c r="AF22" s="180">
        <v>9733652</v>
      </c>
      <c r="AG22" s="295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68" t="s">
        <v>733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68" t="s">
        <v>733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68" t="s">
        <v>733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06">
        <v>206798.88499999998</v>
      </c>
      <c r="AH31" s="180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2">
    <mergeCell ref="S3:W3"/>
    <mergeCell ref="M9:N9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6"/>
  <sheetViews>
    <sheetView tabSelected="1" topLeftCell="A50" zoomScale="60" zoomScaleNormal="60" workbookViewId="0">
      <selection activeCell="AC111" sqref="AC111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1033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745</v>
      </c>
      <c r="AC3" s="63" t="s">
        <v>746</v>
      </c>
      <c r="AD3" s="63" t="s">
        <v>747</v>
      </c>
      <c r="AE3" s="63" t="s">
        <v>664</v>
      </c>
      <c r="AF3" s="63" t="s">
        <v>313</v>
      </c>
      <c r="AG3" s="63" t="s">
        <v>732</v>
      </c>
      <c r="AH3" s="63" t="s">
        <v>314</v>
      </c>
      <c r="AI3" s="63" t="s">
        <v>1031</v>
      </c>
    </row>
    <row r="4" spans="3:43" ht="38.25" x14ac:dyDescent="0.2">
      <c r="C4" s="62" t="s">
        <v>743</v>
      </c>
      <c r="D4" s="62" t="s">
        <v>42</v>
      </c>
      <c r="E4" s="62" t="s">
        <v>316</v>
      </c>
      <c r="F4" s="62" t="s">
        <v>1034</v>
      </c>
      <c r="G4" s="62" t="s">
        <v>317</v>
      </c>
      <c r="H4" s="541" t="s">
        <v>720</v>
      </c>
      <c r="I4" s="542"/>
      <c r="J4" s="542"/>
      <c r="K4" s="543"/>
      <c r="L4" s="541" t="s">
        <v>319</v>
      </c>
      <c r="M4" s="542"/>
      <c r="N4" s="542"/>
      <c r="O4" s="543"/>
      <c r="P4" s="541" t="s">
        <v>320</v>
      </c>
      <c r="Q4" s="542"/>
      <c r="R4" s="542"/>
      <c r="S4" s="543"/>
      <c r="T4" s="541" t="s">
        <v>321</v>
      </c>
      <c r="U4" s="543"/>
      <c r="V4" s="544" t="s">
        <v>322</v>
      </c>
      <c r="W4" s="545"/>
      <c r="X4" s="545"/>
      <c r="Y4" s="546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734</v>
      </c>
      <c r="D6" s="84"/>
      <c r="E6" s="84"/>
      <c r="F6" s="84"/>
      <c r="G6" s="85"/>
      <c r="H6" s="535" t="s">
        <v>45</v>
      </c>
      <c r="I6" s="536"/>
      <c r="J6" s="536"/>
      <c r="K6" s="537"/>
      <c r="L6" s="536" t="s">
        <v>45</v>
      </c>
      <c r="M6" s="536"/>
      <c r="N6" s="536"/>
      <c r="O6" s="537"/>
      <c r="P6" s="535" t="s">
        <v>45</v>
      </c>
      <c r="Q6" s="536"/>
      <c r="R6" s="536"/>
      <c r="S6" s="537"/>
      <c r="T6" s="535" t="s">
        <v>302</v>
      </c>
      <c r="U6" s="537"/>
      <c r="V6" s="535" t="s">
        <v>968</v>
      </c>
      <c r="W6" s="536"/>
      <c r="X6" s="536"/>
      <c r="Y6" s="537"/>
      <c r="Z6" s="107" t="s">
        <v>980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748</v>
      </c>
      <c r="AG6" s="107" t="s">
        <v>45</v>
      </c>
      <c r="AH6" s="107" t="s">
        <v>330</v>
      </c>
      <c r="AI6" s="107" t="s">
        <v>1032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721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0.47304000000000002</v>
      </c>
      <c r="AG7" s="134"/>
      <c r="AH7" s="134">
        <v>2019</v>
      </c>
      <c r="AI7" s="134">
        <v>15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721</v>
      </c>
      <c r="F8" s="70"/>
      <c r="G8" s="103" t="s">
        <v>714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0.56764799999999993</v>
      </c>
      <c r="AG8" s="112"/>
      <c r="AH8" s="112">
        <v>2019</v>
      </c>
      <c r="AI8" s="112">
        <v>18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726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9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0.47304000000000002</v>
      </c>
      <c r="AG9" s="111"/>
      <c r="AH9" s="111">
        <v>2019</v>
      </c>
      <c r="AI9" s="111">
        <v>15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726</v>
      </c>
      <c r="F10" s="70"/>
      <c r="G10" s="103" t="s">
        <v>714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V9*($U$150/$U$149)</f>
        <v>2.8135443037974688</v>
      </c>
      <c r="W10" s="457">
        <f>W9*($U$150/$U$149)</f>
        <v>2.8135443037974688</v>
      </c>
      <c r="X10" s="457">
        <f>X9*($U$150/$U$149)</f>
        <v>2.8135443037974688</v>
      </c>
      <c r="Y10" s="457">
        <f>Y9*($U$150/$U$149)</f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0.56764799999999993</v>
      </c>
      <c r="AG10" s="112"/>
      <c r="AH10" s="112">
        <v>2019</v>
      </c>
      <c r="AI10" s="112">
        <v>18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722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SUM(2.79+0.25)</f>
        <v>3.04</v>
      </c>
      <c r="W11" s="456">
        <f t="shared" ref="W11:Y11" si="11">SUM(2.79+0.25)</f>
        <v>3.04</v>
      </c>
      <c r="X11" s="456">
        <f t="shared" si="11"/>
        <v>3.04</v>
      </c>
      <c r="Y11" s="456">
        <f t="shared" si="11"/>
        <v>3.04</v>
      </c>
      <c r="Z11" s="456">
        <f>0.12+0.15</f>
        <v>0.27</v>
      </c>
      <c r="AA11" s="111"/>
      <c r="AB11" s="118"/>
      <c r="AC11" s="118"/>
      <c r="AD11" s="118"/>
      <c r="AE11" s="118"/>
      <c r="AF11" s="108">
        <f t="shared" si="6"/>
        <v>0.47304000000000002</v>
      </c>
      <c r="AG11" s="111"/>
      <c r="AH11" s="111">
        <v>2019</v>
      </c>
      <c r="AI11" s="111">
        <v>15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722</v>
      </c>
      <c r="F12" s="70"/>
      <c r="G12" s="103" t="s">
        <v>714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V11*($U$150/$U$149)</f>
        <v>3.0656540084388189</v>
      </c>
      <c r="W12" s="457">
        <f>W11*($U$150/$U$149)</f>
        <v>3.0656540084388189</v>
      </c>
      <c r="X12" s="457">
        <f>X11*($U$150/$U$149)</f>
        <v>3.0656540084388189</v>
      </c>
      <c r="Y12" s="457">
        <f>Y11*($U$150/$U$149)</f>
        <v>3.0656540084388189</v>
      </c>
      <c r="Z12" s="457">
        <f>0.12+0.15</f>
        <v>0.27</v>
      </c>
      <c r="AA12" s="112"/>
      <c r="AB12" s="119"/>
      <c r="AC12" s="119"/>
      <c r="AD12" s="119"/>
      <c r="AE12" s="119"/>
      <c r="AF12" s="109">
        <f t="shared" si="6"/>
        <v>0.56764799999999993</v>
      </c>
      <c r="AG12" s="112"/>
      <c r="AH12" s="112">
        <v>2019</v>
      </c>
      <c r="AI12" s="112">
        <v>18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725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0.47304000000000002</v>
      </c>
      <c r="AG13" s="111"/>
      <c r="AH13" s="111">
        <v>2019</v>
      </c>
      <c r="AI13" s="111">
        <v>15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725</v>
      </c>
      <c r="F14" s="70"/>
      <c r="G14" s="103" t="s">
        <v>714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3">H14*0.7</f>
        <v>0.7</v>
      </c>
      <c r="Q14" s="321">
        <f t="shared" si="13"/>
        <v>0.7</v>
      </c>
      <c r="R14" s="321">
        <f t="shared" si="13"/>
        <v>0.7</v>
      </c>
      <c r="S14" s="322">
        <f t="shared" si="13"/>
        <v>0.7</v>
      </c>
      <c r="T14" s="99">
        <v>20</v>
      </c>
      <c r="U14" s="70"/>
      <c r="V14" s="457">
        <f>(JRC_Data!BB11/1000)*($U$150/$U$151)</f>
        <v>6.6663223140495873</v>
      </c>
      <c r="W14" s="457">
        <f>(JRC_Data!BC11/1000)*($U$150/$U$151)</f>
        <v>6.6663223140495873</v>
      </c>
      <c r="X14" s="457">
        <f>(JRC_Data!BD11/1000)*($U$150/$U$151)</f>
        <v>7.4070247933884303</v>
      </c>
      <c r="Y14" s="457">
        <f>(JRC_Data!BE11/1000)*($U$150/$U$151)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0.56764799999999993</v>
      </c>
      <c r="AG14" s="112"/>
      <c r="AH14" s="112">
        <v>2019</v>
      </c>
      <c r="AI14" s="112">
        <v>18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735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(JRC_Data!BB48/1000)*($U$149/$U$151)</f>
        <v>3.9173553719008263</v>
      </c>
      <c r="W16" s="125">
        <f>(JRC_Data!BC48/1000)*($U$149/$U$151)</f>
        <v>3.9173553719008263</v>
      </c>
      <c r="X16" s="125">
        <f>(JRC_Data!BD48/1000)*($U$149/$U$151)</f>
        <v>3.9173553719008263</v>
      </c>
      <c r="Y16" s="125">
        <f>(JRC_Data!BE48/1000)*($U$149/$U$151)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0.47304000000000002</v>
      </c>
      <c r="AG16" s="129"/>
      <c r="AH16" s="129">
        <v>2019</v>
      </c>
      <c r="AI16" s="129">
        <v>15</v>
      </c>
      <c r="AK16" s="150"/>
      <c r="AL16" s="149" t="str">
        <f t="shared" ref="AL16:AM21" si="14">C18</f>
        <v>R-SH_Apt_ELC_HPN1</v>
      </c>
      <c r="AM16" s="149" t="str">
        <f t="shared" si="14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736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4"/>
        <v>R-HC_Apt_ELC_HPN1</v>
      </c>
      <c r="AM17" s="151" t="str">
        <f t="shared" si="14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1035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(JRC_Data!BB16/1000)*($U$149/$U$152)</f>
        <v>2.1281632653061227</v>
      </c>
      <c r="W18" s="86">
        <f>(JRC_Data!BC16/1000)*($U$149/$U$152)</f>
        <v>2.0314285714285716</v>
      </c>
      <c r="X18" s="86">
        <f>(JRC_Data!BD16/1000)*($U$149/$U$152)</f>
        <v>1.8379591836734692</v>
      </c>
      <c r="Y18" s="86">
        <f>(JRC_Data!BE16/1000)*($U$149/$U$152)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5">31.536*(AI18/1000)</f>
        <v>0.15768000000000001</v>
      </c>
      <c r="AG18" s="134"/>
      <c r="AH18" s="134">
        <v>2100</v>
      </c>
      <c r="AI18" s="134">
        <v>5</v>
      </c>
      <c r="AK18" s="152"/>
      <c r="AL18" s="151" t="str">
        <f t="shared" si="14"/>
        <v>R-SH_Apt_ELC_HPN2</v>
      </c>
      <c r="AM18" s="151" t="str">
        <f t="shared" si="14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1035</v>
      </c>
      <c r="G19" s="103" t="s">
        <v>715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(JRC_Data!BB16/1000)*($U$150/$U$152)</f>
        <v>2.1461224489795923</v>
      </c>
      <c r="W19" s="68">
        <f>(JRC_Data!BC16/1000)*($U$150/$U$152)</f>
        <v>2.0485714285714289</v>
      </c>
      <c r="X19" s="68">
        <f>(JRC_Data!BD16/1000)*($U$150/$U$152)</f>
        <v>1.8534693877551021</v>
      </c>
      <c r="Y19" s="68">
        <f>(JRC_Data!BE16/1000)*($U$150/$U$152)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5"/>
        <v>0.15768000000000001</v>
      </c>
      <c r="AG19" s="112"/>
      <c r="AH19" s="112">
        <v>2100</v>
      </c>
      <c r="AI19" s="112">
        <v>5</v>
      </c>
      <c r="AK19" s="152"/>
      <c r="AL19" s="151" t="str">
        <f t="shared" si="14"/>
        <v>R-SW_Apt_ELC_HPN1</v>
      </c>
      <c r="AM19" s="151" t="str">
        <f t="shared" si="14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1035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5"/>
        <v>0.15768000000000001</v>
      </c>
      <c r="AG20" s="111"/>
      <c r="AH20" s="111">
        <v>2019</v>
      </c>
      <c r="AI20" s="111">
        <v>5</v>
      </c>
      <c r="AK20" s="286"/>
      <c r="AL20" s="151" t="str">
        <f t="shared" si="14"/>
        <v>R-SH_Apt_ELC_HPN3</v>
      </c>
      <c r="AM20" s="151" t="str">
        <f t="shared" si="14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1035</v>
      </c>
      <c r="G21" s="103" t="s">
        <v>714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6">I21*0.7</f>
        <v>0.76999999999999991</v>
      </c>
      <c r="R21" s="69">
        <f t="shared" si="16"/>
        <v>0.86333333333333329</v>
      </c>
      <c r="S21" s="103">
        <f t="shared" si="16"/>
        <v>0.93333333333333324</v>
      </c>
      <c r="T21" s="99">
        <v>20</v>
      </c>
      <c r="U21" s="70"/>
      <c r="V21" s="457">
        <f>V20*($U$150/$U$149)</f>
        <v>7.5673248945147682</v>
      </c>
      <c r="W21" s="457">
        <f>W20*($U$150/$U$149)</f>
        <v>6.8862656540084393</v>
      </c>
      <c r="X21" s="457">
        <f>X20*($U$150/$U$149)</f>
        <v>6.2665017451476803</v>
      </c>
      <c r="Y21" s="457">
        <f>Y20*($U$150/$U$149)</f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5"/>
        <v>0.18921600000000002</v>
      </c>
      <c r="AG21" s="112"/>
      <c r="AH21" s="112">
        <v>2019</v>
      </c>
      <c r="AI21" s="112">
        <v>6</v>
      </c>
      <c r="AK21" s="158"/>
      <c r="AL21" s="154" t="str">
        <f t="shared" si="14"/>
        <v>R-HC_Apt_ELC_HPN2</v>
      </c>
      <c r="AM21" s="154" t="str">
        <f t="shared" si="14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1035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(JRC_Data!BB20/1000)*($U$149/$U$152)</f>
        <v>13.542857142857143</v>
      </c>
      <c r="W22" s="86">
        <f>(JRC_Data!BC20/1000)*($U$149/$U$152)</f>
        <v>12.575510204081631</v>
      </c>
      <c r="X22" s="86">
        <f>(JRC_Data!BD20/1000)*($U$149/$U$152)</f>
        <v>11.608163265306121</v>
      </c>
      <c r="Y22" s="86">
        <f>(JRC_Data!BE20/1000)*($U$149/$U$152)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5"/>
        <v>0.15768000000000001</v>
      </c>
      <c r="AG22" s="111"/>
      <c r="AH22" s="111">
        <v>2019</v>
      </c>
      <c r="AI22" s="111">
        <v>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1035</v>
      </c>
      <c r="G23" s="141" t="s">
        <v>715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(JRC_Data!BB20/1000)*($U$150/$U$152)</f>
        <v>13.657142857142858</v>
      </c>
      <c r="W23" s="68">
        <f>(JRC_Data!BC20/1000)*($U$150/$U$152)</f>
        <v>12.681632653061225</v>
      </c>
      <c r="X23" s="68">
        <f>(JRC_Data!BD20/1000)*($U$150/$U$152)</f>
        <v>11.706122448979592</v>
      </c>
      <c r="Y23" s="68">
        <f>(JRC_Data!BE20/1000)*($U$150/$U$152)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5"/>
        <v>0.15768000000000001</v>
      </c>
      <c r="AG23" s="112"/>
      <c r="AH23" s="112">
        <v>2019</v>
      </c>
      <c r="AI23" s="112">
        <v>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737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726</v>
      </c>
      <c r="F25" s="135" t="s">
        <v>1035</v>
      </c>
      <c r="G25" s="135" t="s">
        <v>714</v>
      </c>
      <c r="H25" s="456">
        <f>JRC_Data!AC28/0.81</f>
        <v>1.6666666666666667</v>
      </c>
      <c r="I25" s="456">
        <f>JRC_Data!AD28/0.81</f>
        <v>1.7901234567901232</v>
      </c>
      <c r="J25" s="456">
        <f>JRC_Data!AE28/0.81</f>
        <v>2.0987654320987654</v>
      </c>
      <c r="K25" s="456">
        <f>JRC_Data!AF28/0.81</f>
        <v>2.0987654320987654</v>
      </c>
      <c r="L25" s="92"/>
      <c r="M25" s="93"/>
      <c r="N25" s="93"/>
      <c r="O25" s="94"/>
      <c r="P25" s="65">
        <f>H25*0.7</f>
        <v>1.1666666666666667</v>
      </c>
      <c r="Q25" s="66">
        <f t="shared" ref="Q25:S25" si="17">I25*0.7</f>
        <v>1.2530864197530862</v>
      </c>
      <c r="R25" s="66">
        <f t="shared" si="17"/>
        <v>1.4691358024691357</v>
      </c>
      <c r="S25" s="102">
        <f t="shared" si="17"/>
        <v>1.4691358024691357</v>
      </c>
      <c r="T25" s="135">
        <v>22</v>
      </c>
      <c r="U25" s="94"/>
      <c r="V25" s="65">
        <f>(JRC_Data!BB28/1000)*($U$150/$U$153)</f>
        <v>14.395366795366796</v>
      </c>
      <c r="W25" s="65">
        <f>(JRC_Data!BC28/1000)*($U$150/$U$153)</f>
        <v>13.472586872586874</v>
      </c>
      <c r="X25" s="65">
        <f>(JRC_Data!BD28/1000)*($U$150/$U$153)</f>
        <v>11.627027027027028</v>
      </c>
      <c r="Y25" s="65">
        <f>(JRC_Data!BE28/1000)*($U$150/$U$153)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18">31.536*(AI25/1000)</f>
        <v>0.56764799999999993</v>
      </c>
      <c r="AG25" s="134"/>
      <c r="AH25" s="134">
        <v>2019</v>
      </c>
      <c r="AI25" s="134">
        <v>18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726</v>
      </c>
      <c r="F26" s="73" t="s">
        <v>1035</v>
      </c>
      <c r="G26" s="73" t="s">
        <v>714</v>
      </c>
      <c r="H26" s="457">
        <f>JRC_Data!AC30/0.9</f>
        <v>1.6666666666666665</v>
      </c>
      <c r="I26" s="457">
        <f>JRC_Data!AD30/0.9</f>
        <v>1.7222222222222223</v>
      </c>
      <c r="J26" s="457">
        <f>JRC_Data!AE30/0.9</f>
        <v>1.7222222222222223</v>
      </c>
      <c r="K26" s="457">
        <f>JRC_Data!AF30/0.9</f>
        <v>1.7777777777777779</v>
      </c>
      <c r="L26" s="95"/>
      <c r="M26" s="96"/>
      <c r="N26" s="96"/>
      <c r="O26" s="97"/>
      <c r="P26" s="329">
        <f>H26*0.7</f>
        <v>1.1666666666666665</v>
      </c>
      <c r="Q26" s="72">
        <f t="shared" ref="Q26" si="19">I26*0.7</f>
        <v>1.2055555555555555</v>
      </c>
      <c r="R26" s="72">
        <f t="shared" ref="R26" si="20">J26*0.7</f>
        <v>1.2055555555555555</v>
      </c>
      <c r="S26" s="105">
        <f t="shared" ref="S26" si="21">K26*0.7</f>
        <v>1.2444444444444445</v>
      </c>
      <c r="T26" s="73">
        <v>15</v>
      </c>
      <c r="U26" s="97"/>
      <c r="V26" s="329">
        <f>(JRC_Data!BB30/1000)*($U$150/$U$153)</f>
        <v>43.832046332046332</v>
      </c>
      <c r="W26" s="329">
        <f>(JRC_Data!BC30/1000)*($U$150/$U$153)</f>
        <v>43.832046332046332</v>
      </c>
      <c r="X26" s="329">
        <f>(JRC_Data!BD30/1000)*($U$150/$U$153)</f>
        <v>43.832046332046332</v>
      </c>
      <c r="Y26" s="329">
        <f>(JRC_Data!BE30/1000)*($U$150/$U$153)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18"/>
        <v>0.56764799999999993</v>
      </c>
      <c r="AG26" s="113"/>
      <c r="AH26" s="113">
        <v>2019</v>
      </c>
      <c r="AI26" s="113">
        <v>18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738</v>
      </c>
      <c r="D27" s="79"/>
      <c r="E27" s="80"/>
      <c r="F27" s="80"/>
      <c r="G27" s="80"/>
      <c r="H27" s="80"/>
      <c r="I27" s="80"/>
      <c r="J27" s="80"/>
      <c r="K27" s="80"/>
      <c r="L27" s="80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730</v>
      </c>
      <c r="F28" s="167" t="s">
        <v>1035</v>
      </c>
      <c r="G28" s="144" t="s">
        <v>714</v>
      </c>
      <c r="H28" s="456">
        <f>1*$AD$28+JRC_Data!AD18*(1.2-$AD$28)</f>
        <v>3.2699999999999996</v>
      </c>
      <c r="I28" s="456">
        <f>1*$AD$28+JRC_Data!AE18*(1.2-$AD$28)</f>
        <v>3.6299999999999994</v>
      </c>
      <c r="J28" s="456">
        <f>1*$AD$28+JRC_Data!AF18*(1.2-$AD$28)</f>
        <v>3.8999999999999995</v>
      </c>
      <c r="K28" s="456">
        <f>1*$AD$28+JRC_Data!AG18*(1.2-$AD$28)</f>
        <v>3.8999999999999995</v>
      </c>
      <c r="L28" s="95"/>
      <c r="M28" s="96"/>
      <c r="N28" s="96"/>
      <c r="O28" s="97"/>
      <c r="P28" s="329">
        <f>H28*0.7</f>
        <v>2.2889999999999997</v>
      </c>
      <c r="Q28" s="72">
        <f>I28*0.7</f>
        <v>2.5409999999999995</v>
      </c>
      <c r="R28" s="72">
        <f t="shared" ref="R28:S28" si="22">J28*0.7</f>
        <v>2.7299999999999995</v>
      </c>
      <c r="S28" s="105">
        <f t="shared" si="22"/>
        <v>2.7299999999999995</v>
      </c>
      <c r="T28" s="333">
        <v>20</v>
      </c>
      <c r="U28" s="334"/>
      <c r="V28" s="125">
        <f>(V21+V10)*0.8</f>
        <v>8.3046953586497896</v>
      </c>
      <c r="W28" s="125">
        <f t="shared" ref="W28:Y28" si="23">(W21+W10)*0.8</f>
        <v>7.7598479662447266</v>
      </c>
      <c r="X28" s="125">
        <f t="shared" si="23"/>
        <v>7.2640368391561196</v>
      </c>
      <c r="Y28" s="125">
        <f t="shared" si="23"/>
        <v>7.2150005738396636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0.30274559999999995</v>
      </c>
      <c r="AG28" s="129"/>
      <c r="AH28" s="129">
        <v>2019</v>
      </c>
      <c r="AI28" s="129">
        <f>AI10*AD28+AI21*(1-AD28)</f>
        <v>9.5999999999999979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739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985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713</v>
      </c>
      <c r="F30" s="135"/>
      <c r="G30" s="67" t="s">
        <v>714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(JRC_Data!BB62/1000)*($U$150/$U$148)</f>
        <v>2.6555555555555554</v>
      </c>
      <c r="W30" s="65">
        <f>(JRC_Data!BC62/1000)*($U$150/$U$148)</f>
        <v>2.6555555555555554</v>
      </c>
      <c r="X30" s="65">
        <f>(JRC_Data!BD62/1000)*($U$150/$U$148)</f>
        <v>2.6555555555555554</v>
      </c>
      <c r="Y30" s="65">
        <f>(JRC_Data!BE62/1000)*($U$150/$U$148)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4">31.536*(AI30/1000)</f>
        <v>0.56764799999999993</v>
      </c>
      <c r="AG30" s="134"/>
      <c r="AH30" s="134">
        <v>2019</v>
      </c>
      <c r="AI30" s="134">
        <v>18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713</v>
      </c>
      <c r="F31" s="73"/>
      <c r="G31" s="74" t="s">
        <v>714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(JRC_Data!BB62/1000)*($U$150/$U$148)</f>
        <v>2.6555555555555554</v>
      </c>
      <c r="W31" s="329">
        <f>(JRC_Data!BC62/1000)*($U$150/$U$148)</f>
        <v>2.6555555555555554</v>
      </c>
      <c r="X31" s="329">
        <f>(JRC_Data!BD62/1000)*($U$150/$U$148)</f>
        <v>2.6555555555555554</v>
      </c>
      <c r="Y31" s="329">
        <f>(JRC_Data!BE62/1000)*($U$150/$U$148)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4"/>
        <v>0.56764799999999993</v>
      </c>
      <c r="AG31" s="113"/>
      <c r="AH31" s="113">
        <v>2019</v>
      </c>
      <c r="AI31" s="113">
        <v>18</v>
      </c>
    </row>
    <row r="32" spans="3:43" x14ac:dyDescent="0.2">
      <c r="C32" s="79" t="s">
        <v>740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(JRC_Data!BB48/1000)*($U$145/$U$146)</f>
        <v>3.6878868563919918</v>
      </c>
      <c r="W33" s="66">
        <f>(JRC_Data!BC48/1000)*($U$145/$U$146)</f>
        <v>3.6878868563919918</v>
      </c>
      <c r="X33" s="66">
        <f>(JRC_Data!BD48/1000)*($U$145/$U$146)</f>
        <v>3.6878868563919918</v>
      </c>
      <c r="Y33" s="66">
        <f>(JRC_Data!BE48/1000)*($U$145/$U$146)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5">31.536*(AI33/1000)</f>
        <v>0.15768000000000001</v>
      </c>
      <c r="AG33" s="134"/>
      <c r="AH33" s="134">
        <v>2019</v>
      </c>
      <c r="AI33" s="134">
        <v>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731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(JRC_Data!BB45/1000)*($U$145/$U$146)</f>
        <v>4.9786472561291895</v>
      </c>
      <c r="W34" s="69">
        <f>(JRC_Data!BC45/1000)*($U$145/$U$146)</f>
        <v>4.7020557418997893</v>
      </c>
      <c r="X34" s="69">
        <f>(JRC_Data!BD45/1000)*($U$145/$U$146)</f>
        <v>4.2410698848507904</v>
      </c>
      <c r="Y34" s="69">
        <f>(JRC_Data!BE45/1000)*($U$145/$U$146)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5"/>
        <v>0.15768000000000001</v>
      </c>
      <c r="AG34" s="112"/>
      <c r="AH34" s="112">
        <v>2019</v>
      </c>
      <c r="AI34" s="112">
        <v>5</v>
      </c>
    </row>
    <row r="35" spans="3:43" x14ac:dyDescent="0.2">
      <c r="C35" s="79" t="s">
        <v>741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987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(JRC_Data!BB16/1000)*($U$146/$U$152)</f>
        <v>1.8396671215443359</v>
      </c>
      <c r="W36" s="65">
        <f>(JRC_Data!BC16/1000)*($U$146/$U$152)</f>
        <v>1.756045888746866</v>
      </c>
      <c r="X36" s="65">
        <f>(JRC_Data!BD16/1000)*($U$146/$U$152)</f>
        <v>1.5888034231519261</v>
      </c>
      <c r="Y36" s="65">
        <f>(JRC_Data!BE16/1000)*($U$146/$U$152)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6">31.536*(AI36/1000)</f>
        <v>0.15768000000000001</v>
      </c>
      <c r="AG36" s="134"/>
      <c r="AH36" s="134">
        <v>2019</v>
      </c>
      <c r="AI36" s="134">
        <v>5</v>
      </c>
    </row>
    <row r="37" spans="3:43" x14ac:dyDescent="0.2">
      <c r="C37" s="329" t="str">
        <f>"R-SC_Apt"&amp;"_"&amp;RIGHT(E37,3)&amp;"_N2"</f>
        <v>R-SC_Apt_ELC_N2</v>
      </c>
      <c r="D37" s="72" t="s">
        <v>988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6"/>
        <v>0.15768000000000001</v>
      </c>
      <c r="AG37" s="113"/>
      <c r="AH37" s="113">
        <v>2019</v>
      </c>
      <c r="AI37" s="113">
        <v>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1033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745</v>
      </c>
      <c r="AC41" s="63" t="s">
        <v>746</v>
      </c>
      <c r="AD41" s="63" t="s">
        <v>747</v>
      </c>
      <c r="AE41" s="63" t="s">
        <v>664</v>
      </c>
      <c r="AF41" s="63" t="s">
        <v>313</v>
      </c>
      <c r="AG41" s="63" t="s">
        <v>732</v>
      </c>
      <c r="AH41" s="63" t="s">
        <v>314</v>
      </c>
      <c r="AI41" s="63" t="s">
        <v>1031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1034</v>
      </c>
      <c r="G42" s="62" t="s">
        <v>317</v>
      </c>
      <c r="H42" s="541" t="s">
        <v>318</v>
      </c>
      <c r="I42" s="542"/>
      <c r="J42" s="542"/>
      <c r="K42" s="543"/>
      <c r="L42" s="541" t="s">
        <v>319</v>
      </c>
      <c r="M42" s="542"/>
      <c r="N42" s="542"/>
      <c r="O42" s="543"/>
      <c r="P42" s="541" t="s">
        <v>320</v>
      </c>
      <c r="Q42" s="542"/>
      <c r="R42" s="542"/>
      <c r="S42" s="543"/>
      <c r="T42" s="541" t="s">
        <v>321</v>
      </c>
      <c r="U42" s="543"/>
      <c r="V42" s="544" t="s">
        <v>322</v>
      </c>
      <c r="W42" s="545"/>
      <c r="X42" s="545"/>
      <c r="Y42" s="546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734</v>
      </c>
      <c r="D44" s="84"/>
      <c r="E44" s="84"/>
      <c r="F44" s="84"/>
      <c r="G44" s="85"/>
      <c r="H44" s="535" t="s">
        <v>45</v>
      </c>
      <c r="I44" s="536"/>
      <c r="J44" s="536"/>
      <c r="K44" s="537"/>
      <c r="L44" s="536" t="s">
        <v>45</v>
      </c>
      <c r="M44" s="536"/>
      <c r="N44" s="536"/>
      <c r="O44" s="537"/>
      <c r="P44" s="535" t="s">
        <v>45</v>
      </c>
      <c r="Q44" s="536"/>
      <c r="R44" s="536"/>
      <c r="S44" s="537"/>
      <c r="T44" s="538" t="s">
        <v>302</v>
      </c>
      <c r="U44" s="539"/>
      <c r="V44" s="538" t="s">
        <v>968</v>
      </c>
      <c r="W44" s="540"/>
      <c r="X44" s="540"/>
      <c r="Y44" s="539"/>
      <c r="Z44" s="450" t="s">
        <v>980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748</v>
      </c>
      <c r="AG44" s="450" t="s">
        <v>45</v>
      </c>
      <c r="AH44" s="450" t="s">
        <v>330</v>
      </c>
      <c r="AI44" s="450" t="s">
        <v>1032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721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7">W49*1.3</f>
        <v>4.2250000000000005</v>
      </c>
      <c r="X45" s="456">
        <f t="shared" si="27"/>
        <v>4.2250000000000005</v>
      </c>
      <c r="Y45" s="456">
        <f t="shared" si="27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3" si="28">31.536*(AI45/1000)</f>
        <v>0.63072000000000006</v>
      </c>
      <c r="AG45" s="111"/>
      <c r="AH45" s="111">
        <v>2019</v>
      </c>
      <c r="AI45" s="111">
        <v>20</v>
      </c>
      <c r="AK45" s="152" t="s">
        <v>38</v>
      </c>
      <c r="AL45" s="151" t="str">
        <f t="shared" ref="AL45:AL60" si="29">C45</f>
        <v>R-SH_Att_KER_N1</v>
      </c>
      <c r="AM45" s="151" t="str">
        <f t="shared" ref="AM45:AM60" si="30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721</v>
      </c>
      <c r="F46" s="70"/>
      <c r="G46" s="103" t="s">
        <v>716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1">I46*0.7</f>
        <v>0.7</v>
      </c>
      <c r="R46" s="69">
        <f t="shared" ref="R46:R48" si="32">J46*0.7</f>
        <v>0.7</v>
      </c>
      <c r="S46" s="103">
        <f t="shared" ref="S46:S48" si="33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4">W50*1.3</f>
        <v>4.2773760330578519</v>
      </c>
      <c r="X46" s="457">
        <f t="shared" si="34"/>
        <v>4.2773760330578519</v>
      </c>
      <c r="Y46" s="457">
        <f t="shared" si="34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8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29"/>
        <v>R-SW_Att_KER_N1</v>
      </c>
      <c r="AM46" s="151" t="str">
        <f t="shared" si="30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723</v>
      </c>
      <c r="F47" s="76"/>
      <c r="G47" s="104" t="s">
        <v>716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1"/>
        <v>0.7</v>
      </c>
      <c r="R47" s="75">
        <f t="shared" si="32"/>
        <v>0.7</v>
      </c>
      <c r="S47" s="104">
        <f t="shared" si="33"/>
        <v>0.7</v>
      </c>
      <c r="T47" s="100">
        <v>20</v>
      </c>
      <c r="U47" s="87"/>
      <c r="V47" s="108">
        <f>((JRC_Data!BB7+JRC_Data!BB45)*0.8/1000)*$U$152</f>
        <v>9.0810810810810807</v>
      </c>
      <c r="W47" s="108">
        <f>((JRC_Data!BC7+JRC_Data!BC45)*0.8/1000)*$U$152</f>
        <v>8.8540540540540533</v>
      </c>
      <c r="X47" s="108">
        <f>((JRC_Data!BD7+JRC_Data!BD45)*0.8/1000)*$U$152</f>
        <v>8.4756756756756761</v>
      </c>
      <c r="Y47" s="108">
        <f>((JRC_Data!BE7+JRC_Data!BE45)*0.8/1000)*$U$152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8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29"/>
        <v>R-SW_Att_KER_N2</v>
      </c>
      <c r="AM47" s="151" t="str">
        <f t="shared" si="30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724</v>
      </c>
      <c r="F48" s="70"/>
      <c r="G48" s="103" t="s">
        <v>716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1"/>
        <v>0.71749999999999992</v>
      </c>
      <c r="R48" s="69">
        <f t="shared" si="32"/>
        <v>0.71749999999999992</v>
      </c>
      <c r="S48" s="103">
        <f t="shared" si="33"/>
        <v>0.71749999999999992</v>
      </c>
      <c r="T48" s="99">
        <v>20</v>
      </c>
      <c r="U48" s="71"/>
      <c r="V48" s="109">
        <f>((JRC_Data!BB7+JRC_Data!BB11)*0.8/1000)*$U$152</f>
        <v>10.102702702702702</v>
      </c>
      <c r="W48" s="109">
        <f>((JRC_Data!BC7+JRC_Data!BC11)*0.8/1000)*$U$152</f>
        <v>10.102702702702702</v>
      </c>
      <c r="X48" s="109">
        <f>((JRC_Data!BD7+JRC_Data!BD11)*0.8/1000)*$U$152</f>
        <v>10.670270270270269</v>
      </c>
      <c r="Y48" s="109">
        <f>((JRC_Data!BE7+JRC_Data!BE11)*0.8/1000)*$U$152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>31.536*(AI48/1000)</f>
        <v>0.7884000000000001</v>
      </c>
      <c r="AG48" s="112"/>
      <c r="AH48" s="112">
        <v>2019</v>
      </c>
      <c r="AI48" s="112">
        <v>25</v>
      </c>
      <c r="AK48" s="152"/>
      <c r="AL48" s="151" t="str">
        <f t="shared" si="29"/>
        <v>R-SW_Att_KER_N3</v>
      </c>
      <c r="AM48" s="151" t="str">
        <f t="shared" si="30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726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5">3.25</f>
        <v>3.25</v>
      </c>
      <c r="X49" s="456">
        <f t="shared" si="35"/>
        <v>3.25</v>
      </c>
      <c r="Y49" s="456">
        <f t="shared" si="35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8"/>
        <v>0.63072000000000006</v>
      </c>
      <c r="AG49" s="111"/>
      <c r="AH49" s="111">
        <v>2019</v>
      </c>
      <c r="AI49" s="111">
        <v>20</v>
      </c>
      <c r="AK49" s="152"/>
      <c r="AL49" s="151" t="str">
        <f t="shared" si="29"/>
        <v>R-SH_Att_GAS_N1</v>
      </c>
      <c r="AM49" s="151" t="str">
        <f t="shared" si="30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726</v>
      </c>
      <c r="F50" s="70"/>
      <c r="G50" s="103" t="s">
        <v>716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6">I50*0.7</f>
        <v>0.7</v>
      </c>
      <c r="R50" s="69">
        <f t="shared" ref="R50:R52" si="37">J50*0.7</f>
        <v>0.7</v>
      </c>
      <c r="S50" s="103">
        <f t="shared" ref="S50:S52" si="38">K50*0.7</f>
        <v>0.7</v>
      </c>
      <c r="T50" s="99">
        <v>20</v>
      </c>
      <c r="U50" s="71"/>
      <c r="V50" s="457">
        <f>V49*($U$152/$U$151)</f>
        <v>3.2902892561983474</v>
      </c>
      <c r="W50" s="457">
        <f>W49*($U$152/$U$151)</f>
        <v>3.2902892561983474</v>
      </c>
      <c r="X50" s="457">
        <f>X49*($U$152/$U$151)</f>
        <v>3.2902892561983474</v>
      </c>
      <c r="Y50" s="457">
        <f>Y49*($U$152/$U$151)</f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8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29"/>
        <v>R-SW_Att_GAS_N1</v>
      </c>
      <c r="AM50" s="151" t="str">
        <f t="shared" si="30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727</v>
      </c>
      <c r="F51" s="76"/>
      <c r="G51" s="104" t="s">
        <v>716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6"/>
        <v>0.7</v>
      </c>
      <c r="R51" s="75">
        <f t="shared" si="37"/>
        <v>0.7</v>
      </c>
      <c r="S51" s="104">
        <f t="shared" si="38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8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29"/>
        <v>R-SW_Att_GAS_N2</v>
      </c>
      <c r="AM51" s="151" t="str">
        <f t="shared" si="30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728</v>
      </c>
      <c r="F52" s="70"/>
      <c r="G52" s="103" t="s">
        <v>716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6"/>
        <v>0.71749999999999992</v>
      </c>
      <c r="R52" s="69">
        <f t="shared" si="37"/>
        <v>0.71749999999999992</v>
      </c>
      <c r="S52" s="103">
        <f t="shared" si="38"/>
        <v>0.71749999999999992</v>
      </c>
      <c r="T52" s="99">
        <v>20</v>
      </c>
      <c r="U52" s="71"/>
      <c r="V52" s="109">
        <f>((JRC_Data!BB9+JRC_Data!BB11)*0.8/1000)*($U$152/$U$151)</f>
        <v>8.7066115702479348</v>
      </c>
      <c r="W52" s="109">
        <f>((JRC_Data!BC9+JRC_Data!BC11)*0.8/1000)*($U$152/$U$151)</f>
        <v>8.7066115702479348</v>
      </c>
      <c r="X52" s="109">
        <f>((JRC_Data!BD9+JRC_Data!BD11)*0.8/1000)*($U$152/$U$151)</f>
        <v>9.3140495867768589</v>
      </c>
      <c r="Y52" s="109">
        <f>((JRC_Data!BE9+JRC_Data!BE11)*0.8/1000)*($U$152/$U$151)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8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29"/>
        <v>R-SW_Att_GAS_N3</v>
      </c>
      <c r="AM52" s="151" t="str">
        <f t="shared" si="30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722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SUM(V49+0.25)</f>
        <v>3.5</v>
      </c>
      <c r="W53" s="456">
        <f t="shared" ref="W53:Y53" si="39">SUM(W49+0.25)</f>
        <v>3.5</v>
      </c>
      <c r="X53" s="456">
        <f t="shared" si="39"/>
        <v>3.5</v>
      </c>
      <c r="Y53" s="456">
        <f t="shared" si="39"/>
        <v>3.5</v>
      </c>
      <c r="Z53" s="456">
        <f>SUM(0.12+0.15)</f>
        <v>0.27</v>
      </c>
      <c r="AA53" s="111"/>
      <c r="AB53" s="88"/>
      <c r="AC53" s="118"/>
      <c r="AD53" s="118"/>
      <c r="AE53" s="118"/>
      <c r="AF53" s="108">
        <f t="shared" si="28"/>
        <v>0.63072000000000006</v>
      </c>
      <c r="AG53" s="111"/>
      <c r="AH53" s="111">
        <v>2019</v>
      </c>
      <c r="AI53" s="111">
        <v>20</v>
      </c>
      <c r="AK53" s="152"/>
      <c r="AL53" s="151" t="str">
        <f t="shared" si="29"/>
        <v>R-SH_Att_LPG_N1</v>
      </c>
      <c r="AM53" s="151" t="str">
        <f t="shared" si="30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722</v>
      </c>
      <c r="F54" s="70"/>
      <c r="G54" s="103" t="s">
        <v>716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40">I54*0.7</f>
        <v>0.7</v>
      </c>
      <c r="R54" s="69">
        <f t="shared" ref="R54" si="41">J54*0.7</f>
        <v>0.7</v>
      </c>
      <c r="S54" s="103">
        <f t="shared" ref="S54" si="42">K54*0.7</f>
        <v>0.7</v>
      </c>
      <c r="T54" s="99">
        <v>20</v>
      </c>
      <c r="U54" s="71"/>
      <c r="V54" s="457">
        <f>V49*($U$152/$U$151)+0.25</f>
        <v>3.5402892561983474</v>
      </c>
      <c r="W54" s="457">
        <f t="shared" ref="W54:Y54" si="43">W49*($U$152/$U$151)+0.25</f>
        <v>3.5402892561983474</v>
      </c>
      <c r="X54" s="457">
        <f t="shared" si="43"/>
        <v>3.5402892561983474</v>
      </c>
      <c r="Y54" s="457">
        <f t="shared" si="43"/>
        <v>3.5402892561983474</v>
      </c>
      <c r="Z54" s="456">
        <f>SUM(0.12+0.15)</f>
        <v>0.27</v>
      </c>
      <c r="AA54" s="112"/>
      <c r="AB54" s="90"/>
      <c r="AC54" s="119"/>
      <c r="AD54" s="119"/>
      <c r="AE54" s="119"/>
      <c r="AF54" s="109">
        <f t="shared" si="28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29"/>
        <v>R-SW_Att_LPG_N1</v>
      </c>
      <c r="AM54" s="151" t="str">
        <f t="shared" si="30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725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8"/>
        <v>0.63072000000000006</v>
      </c>
      <c r="AG55" s="111"/>
      <c r="AH55" s="111">
        <v>2019</v>
      </c>
      <c r="AI55" s="111">
        <v>20</v>
      </c>
      <c r="AK55" s="152"/>
      <c r="AL55" s="151" t="str">
        <f t="shared" si="29"/>
        <v>R-SH_Att_WOO_N1</v>
      </c>
      <c r="AM55" s="151" t="str">
        <f t="shared" si="30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725</v>
      </c>
      <c r="F56" s="70"/>
      <c r="G56" s="103" t="s">
        <v>716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60" si="44">H56*0.7</f>
        <v>0.7</v>
      </c>
      <c r="Q56" s="69">
        <f t="shared" si="44"/>
        <v>0.7</v>
      </c>
      <c r="R56" s="69">
        <f t="shared" si="44"/>
        <v>0.7</v>
      </c>
      <c r="S56" s="103">
        <f t="shared" si="44"/>
        <v>0.7</v>
      </c>
      <c r="T56" s="99">
        <v>20</v>
      </c>
      <c r="U56" s="71"/>
      <c r="V56" s="457">
        <f>V55*($U$152/$U$151)</f>
        <v>20.733884297520664</v>
      </c>
      <c r="W56" s="457">
        <f>W55*($U$152/$U$151)</f>
        <v>20.065631206611574</v>
      </c>
      <c r="X56" s="457">
        <f>X55*($U$152/$U$151)</f>
        <v>18.968269646280994</v>
      </c>
      <c r="Y56" s="457">
        <f>Y55*($U$152/$U$151)</f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8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29"/>
        <v>R-SW_Att_WOO_N1</v>
      </c>
      <c r="AM56" s="154" t="str">
        <f t="shared" si="30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68" t="str">
        <f>"*R-SH_Att"&amp;"_"&amp;"FPL"&amp;"_N1"</f>
        <v>*R-SH_Att_FPL_N1</v>
      </c>
      <c r="D57" s="66" t="s">
        <v>1039</v>
      </c>
      <c r="E57" s="70" t="s">
        <v>1037</v>
      </c>
      <c r="F57" s="70"/>
      <c r="G57" s="103" t="s">
        <v>392</v>
      </c>
      <c r="H57" s="68"/>
      <c r="I57" s="69"/>
      <c r="J57" s="69"/>
      <c r="K57" s="103"/>
      <c r="L57" s="90"/>
      <c r="M57" s="78"/>
      <c r="N57" s="78"/>
      <c r="O57" s="91"/>
      <c r="P57" s="68"/>
      <c r="Q57" s="69"/>
      <c r="R57" s="69"/>
      <c r="S57" s="103"/>
      <c r="T57" s="99"/>
      <c r="U57" s="71"/>
      <c r="V57" s="457"/>
      <c r="W57" s="457"/>
      <c r="X57" s="457"/>
      <c r="Y57" s="457"/>
      <c r="Z57" s="519"/>
      <c r="AA57" s="112"/>
      <c r="AB57" s="90"/>
      <c r="AC57" s="119"/>
      <c r="AD57" s="119"/>
      <c r="AE57" s="119"/>
      <c r="AF57" s="109">
        <f t="shared" si="28"/>
        <v>0.63072000000000006</v>
      </c>
      <c r="AG57" s="112"/>
      <c r="AH57" s="111">
        <v>2019</v>
      </c>
      <c r="AI57" s="112">
        <v>20</v>
      </c>
      <c r="AK57" s="155"/>
      <c r="AL57" s="154" t="s">
        <v>1038</v>
      </c>
      <c r="AM57" s="154" t="str">
        <f t="shared" si="30"/>
        <v>Residential  Fireplace New 1 - SH</v>
      </c>
      <c r="AN57" s="152" t="s">
        <v>16</v>
      </c>
      <c r="AO57" s="152" t="s">
        <v>433</v>
      </c>
      <c r="AP57" s="155"/>
      <c r="AQ57" s="155"/>
    </row>
    <row r="58" spans="3:43" ht="15.75" thickBot="1" x14ac:dyDescent="0.3">
      <c r="C58" s="68" t="str">
        <f>"*R-SW_Att"&amp;"_"&amp;"FPL"&amp;"_N1"</f>
        <v>*R-SW_Att_FPL_N1</v>
      </c>
      <c r="D58" s="66" t="s">
        <v>1041</v>
      </c>
      <c r="E58" s="70" t="s">
        <v>1037</v>
      </c>
      <c r="F58" s="70"/>
      <c r="G58" s="103" t="s">
        <v>716</v>
      </c>
      <c r="H58" s="68"/>
      <c r="I58" s="69"/>
      <c r="J58" s="69"/>
      <c r="K58" s="103"/>
      <c r="L58" s="90"/>
      <c r="M58" s="78"/>
      <c r="N58" s="78"/>
      <c r="O58" s="91"/>
      <c r="P58" s="68"/>
      <c r="Q58" s="69"/>
      <c r="R58" s="69"/>
      <c r="S58" s="103"/>
      <c r="T58" s="99"/>
      <c r="U58" s="71"/>
      <c r="V58" s="457"/>
      <c r="W58" s="457"/>
      <c r="X58" s="457"/>
      <c r="Y58" s="457"/>
      <c r="Z58" s="519"/>
      <c r="AA58" s="112"/>
      <c r="AB58" s="90"/>
      <c r="AC58" s="119"/>
      <c r="AD58" s="119"/>
      <c r="AE58" s="119"/>
      <c r="AF58" s="109">
        <f t="shared" si="28"/>
        <v>0.7884000000000001</v>
      </c>
      <c r="AG58" s="112"/>
      <c r="AH58" s="112">
        <v>2019</v>
      </c>
      <c r="AI58" s="112">
        <v>25</v>
      </c>
      <c r="AK58" s="155"/>
      <c r="AL58" s="154" t="s">
        <v>1040</v>
      </c>
      <c r="AM58" s="154" t="str">
        <f t="shared" si="30"/>
        <v>Residential  Fireplace with back boiler New 1 - SH +WH</v>
      </c>
      <c r="AN58" s="155" t="s">
        <v>16</v>
      </c>
      <c r="AO58" s="155" t="s">
        <v>433</v>
      </c>
      <c r="AP58" s="155"/>
      <c r="AQ58" s="155"/>
    </row>
    <row r="59" spans="3:43" ht="15.75" thickBot="1" x14ac:dyDescent="0.3">
      <c r="C59" s="65" t="s">
        <v>698</v>
      </c>
      <c r="D59" s="66" t="s">
        <v>699</v>
      </c>
      <c r="E59" s="135" t="s">
        <v>729</v>
      </c>
      <c r="F59" s="135"/>
      <c r="G59" s="102" t="s">
        <v>392</v>
      </c>
      <c r="H59" s="86">
        <v>1</v>
      </c>
      <c r="I59" s="75">
        <v>1</v>
      </c>
      <c r="J59" s="75">
        <v>1</v>
      </c>
      <c r="K59" s="104">
        <v>1</v>
      </c>
      <c r="L59" s="88"/>
      <c r="M59" s="77"/>
      <c r="N59" s="77"/>
      <c r="O59" s="89"/>
      <c r="P59" s="86">
        <f t="shared" si="44"/>
        <v>0.7</v>
      </c>
      <c r="Q59" s="75">
        <f t="shared" si="44"/>
        <v>0.7</v>
      </c>
      <c r="R59" s="75">
        <f t="shared" si="44"/>
        <v>0.7</v>
      </c>
      <c r="S59" s="104">
        <f t="shared" si="44"/>
        <v>0.7</v>
      </c>
      <c r="T59" s="100">
        <v>20</v>
      </c>
      <c r="U59" s="87"/>
      <c r="V59" s="108">
        <f>(JRC_Data!BB7/1000)*$U$151</f>
        <v>6.166795366795367</v>
      </c>
      <c r="W59" s="108">
        <f>(JRC_Data!BC7/1000)*$U$151</f>
        <v>6.166795366795367</v>
      </c>
      <c r="X59" s="108">
        <f>(JRC_Data!BD7/1000)*$U$151</f>
        <v>6.166795366795367</v>
      </c>
      <c r="Y59" s="108">
        <f>(JRC_Data!BE7/1000)*$U$151</f>
        <v>6.166795366795367</v>
      </c>
      <c r="Z59" s="104">
        <f>JRC_Data!BL7/1000</f>
        <v>0.27</v>
      </c>
      <c r="AA59" s="111"/>
      <c r="AB59" s="88"/>
      <c r="AC59" s="118"/>
      <c r="AD59" s="118"/>
      <c r="AE59" s="118"/>
      <c r="AF59" s="108">
        <f t="shared" si="28"/>
        <v>0.63072000000000006</v>
      </c>
      <c r="AG59" s="111"/>
      <c r="AH59" s="111">
        <v>2019</v>
      </c>
      <c r="AI59" s="111">
        <v>20</v>
      </c>
      <c r="AK59" s="155"/>
      <c r="AL59" s="154" t="str">
        <f t="shared" si="29"/>
        <v>*R-H_Apt_HVO_N1</v>
      </c>
      <c r="AM59" s="154" t="str">
        <f t="shared" si="30"/>
        <v>Residential  Hydrotreated vegetable oil - New 1 SH</v>
      </c>
      <c r="AN59" s="155" t="s">
        <v>16</v>
      </c>
      <c r="AO59" s="155" t="s">
        <v>433</v>
      </c>
      <c r="AP59" s="155"/>
      <c r="AQ59" s="155" t="s">
        <v>309</v>
      </c>
    </row>
    <row r="60" spans="3:43" ht="15.75" thickBot="1" x14ac:dyDescent="0.3">
      <c r="C60" s="68" t="s">
        <v>991</v>
      </c>
      <c r="D60" s="69" t="s">
        <v>992</v>
      </c>
      <c r="E60" s="70" t="s">
        <v>729</v>
      </c>
      <c r="F60" s="70"/>
      <c r="G60" s="103" t="s">
        <v>716</v>
      </c>
      <c r="H60" s="329">
        <v>1</v>
      </c>
      <c r="I60" s="72">
        <v>1</v>
      </c>
      <c r="J60" s="72">
        <v>1</v>
      </c>
      <c r="K60" s="105">
        <v>1</v>
      </c>
      <c r="L60" s="95"/>
      <c r="M60" s="96"/>
      <c r="N60" s="96"/>
      <c r="O60" s="97"/>
      <c r="P60" s="329">
        <f t="shared" si="44"/>
        <v>0.7</v>
      </c>
      <c r="Q60" s="72">
        <f t="shared" si="44"/>
        <v>0.7</v>
      </c>
      <c r="R60" s="72">
        <f t="shared" si="44"/>
        <v>0.7</v>
      </c>
      <c r="S60" s="105">
        <f t="shared" si="44"/>
        <v>0.7</v>
      </c>
      <c r="T60" s="101">
        <v>20</v>
      </c>
      <c r="U60" s="74"/>
      <c r="V60" s="110">
        <f>(JRC_Data!BB7/1000)*$U$152</f>
        <v>6.243243243243243</v>
      </c>
      <c r="W60" s="110">
        <f>(JRC_Data!BC7/1000)*$U$152</f>
        <v>6.243243243243243</v>
      </c>
      <c r="X60" s="110">
        <f>(JRC_Data!BD7/1000)*$U$152</f>
        <v>6.243243243243243</v>
      </c>
      <c r="Y60" s="110">
        <f>(JRC_Data!BE7/1000)*$U$152</f>
        <v>6.243243243243243</v>
      </c>
      <c r="Z60" s="103">
        <f>JRC_Data!BL7/1000</f>
        <v>0.27</v>
      </c>
      <c r="AA60" s="112"/>
      <c r="AB60" s="90"/>
      <c r="AC60" s="119"/>
      <c r="AD60" s="119"/>
      <c r="AE60" s="119"/>
      <c r="AF60" s="109">
        <f t="shared" si="28"/>
        <v>0.7884000000000001</v>
      </c>
      <c r="AG60" s="113"/>
      <c r="AH60" s="113">
        <v>2019</v>
      </c>
      <c r="AI60" s="113">
        <v>25</v>
      </c>
      <c r="AK60" s="155"/>
      <c r="AL60" s="154" t="str">
        <f t="shared" si="29"/>
        <v>*R-H_Apt_HVO_N2</v>
      </c>
      <c r="AM60" s="154" t="str">
        <f t="shared" si="30"/>
        <v>Residential  Hydrotreated vegetable oil - New 1 SH + WH</v>
      </c>
      <c r="AN60" s="155" t="s">
        <v>16</v>
      </c>
      <c r="AO60" s="155" t="s">
        <v>433</v>
      </c>
      <c r="AP60" s="155"/>
      <c r="AQ60" s="155" t="s">
        <v>309</v>
      </c>
    </row>
    <row r="61" spans="3:43" ht="15.75" thickBot="1" x14ac:dyDescent="0.3">
      <c r="C61" s="79" t="s">
        <v>735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6"/>
      <c r="AL61" s="157" t="str">
        <f>C62</f>
        <v>R-SH_Att_ELC_N1</v>
      </c>
      <c r="AM61" s="157" t="str">
        <f>D62</f>
        <v>Residential Electric Heater - New 1 SH</v>
      </c>
      <c r="AN61" s="156" t="s">
        <v>16</v>
      </c>
      <c r="AO61" s="156" t="s">
        <v>433</v>
      </c>
      <c r="AP61" s="156"/>
      <c r="AQ61" s="156" t="s">
        <v>309</v>
      </c>
    </row>
    <row r="62" spans="3:43" ht="15" x14ac:dyDescent="0.25">
      <c r="C62" s="142" t="str">
        <f>"R-SH_Att"&amp;"_"&amp;RIGHT(E62,3)&amp;"_N1"</f>
        <v>R-SH_Att_ELC_N1</v>
      </c>
      <c r="D62" s="126" t="s">
        <v>343</v>
      </c>
      <c r="E62" s="167" t="s">
        <v>406</v>
      </c>
      <c r="F62" s="167"/>
      <c r="G62" s="127" t="s">
        <v>392</v>
      </c>
      <c r="H62" s="326">
        <v>1</v>
      </c>
      <c r="I62" s="327">
        <v>1</v>
      </c>
      <c r="J62" s="327">
        <v>1</v>
      </c>
      <c r="K62" s="328">
        <v>1</v>
      </c>
      <c r="L62" s="120"/>
      <c r="M62" s="121"/>
      <c r="N62" s="121"/>
      <c r="O62" s="122"/>
      <c r="P62" s="120"/>
      <c r="Q62" s="121"/>
      <c r="R62" s="121"/>
      <c r="S62" s="122"/>
      <c r="T62" s="123">
        <v>20</v>
      </c>
      <c r="U62" s="124"/>
      <c r="V62" s="125">
        <f>(JRC_Data!BB48/1000)*($U$152/$U$151)</f>
        <v>4.0495867768595044</v>
      </c>
      <c r="W62" s="125">
        <f>(JRC_Data!BC48/1000)*($U$152/$U$151)</f>
        <v>4.0495867768595044</v>
      </c>
      <c r="X62" s="125">
        <f>(JRC_Data!BD48/1000)*($U$152/$U$151)</f>
        <v>4.0495867768595044</v>
      </c>
      <c r="Y62" s="125">
        <f>(JRC_Data!BE48/1000)*($U$152/$U$151)</f>
        <v>4.0495867768595044</v>
      </c>
      <c r="Z62" s="128">
        <f>JRC_Data!BL48/1000</f>
        <v>0.05</v>
      </c>
      <c r="AA62" s="129"/>
      <c r="AB62" s="130"/>
      <c r="AC62" s="130"/>
      <c r="AD62" s="130"/>
      <c r="AE62" s="130"/>
      <c r="AF62" s="128">
        <f t="shared" si="28"/>
        <v>0.63072000000000006</v>
      </c>
      <c r="AG62" s="129"/>
      <c r="AH62" s="129">
        <v>2019</v>
      </c>
      <c r="AI62" s="129">
        <v>20</v>
      </c>
      <c r="AK62" s="150"/>
      <c r="AL62" s="149" t="str">
        <f t="shared" ref="AL62:AM68" si="45">C64</f>
        <v>R-SH_Att_ELC_HPN1</v>
      </c>
      <c r="AM62" s="149" t="str">
        <f t="shared" si="45"/>
        <v>Residential Electric Heat Pump - Air to Air - SH</v>
      </c>
      <c r="AN62" s="150" t="s">
        <v>16</v>
      </c>
      <c r="AO62" s="150" t="s">
        <v>433</v>
      </c>
      <c r="AP62" s="150"/>
      <c r="AQ62" s="150" t="s">
        <v>309</v>
      </c>
    </row>
    <row r="63" spans="3:43" ht="15" x14ac:dyDescent="0.25">
      <c r="C63" s="79" t="s">
        <v>736</v>
      </c>
      <c r="D63" s="79"/>
      <c r="E63" s="80"/>
      <c r="F63" s="80"/>
      <c r="G63" s="80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0"/>
      <c r="U63" s="80"/>
      <c r="V63" s="79"/>
      <c r="W63" s="79"/>
      <c r="X63" s="79"/>
      <c r="Y63" s="79"/>
      <c r="Z63" s="79"/>
      <c r="AA63" s="80"/>
      <c r="AB63" s="82"/>
      <c r="AC63" s="82"/>
      <c r="AD63" s="82"/>
      <c r="AE63" s="82"/>
      <c r="AF63" s="79"/>
      <c r="AG63" s="80"/>
      <c r="AH63" s="80"/>
      <c r="AI63" s="80"/>
      <c r="AK63" s="152"/>
      <c r="AL63" s="151" t="str">
        <f t="shared" si="45"/>
        <v>R-HC_Att_ELC_HPN1</v>
      </c>
      <c r="AM63" s="151" t="str">
        <f t="shared" si="45"/>
        <v>Residential Electric Heat Pump - Air to Air - SH + SC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65" t="str">
        <f>"R-SH_Att"&amp;"_"&amp;RIGHT(E64,3)&amp;"_HPN1"</f>
        <v>R-SH_Att_ELC_HPN1</v>
      </c>
      <c r="D64" s="66" t="s">
        <v>345</v>
      </c>
      <c r="E64" s="135" t="s">
        <v>406</v>
      </c>
      <c r="F64" s="135" t="s">
        <v>1035</v>
      </c>
      <c r="G64" s="102" t="s">
        <v>392</v>
      </c>
      <c r="H64" s="65">
        <v>1</v>
      </c>
      <c r="I64" s="66">
        <f>JRC_Data!AD16/JRC_Data!$AC$16</f>
        <v>1.0666666666666667</v>
      </c>
      <c r="J64" s="66">
        <f>JRC_Data!AE16/JRC_Data!$AC$16</f>
        <v>1.2333333333333334</v>
      </c>
      <c r="K64" s="102">
        <f>JRC_Data!AF16/JRC_Data!$AC$16</f>
        <v>1.3333333333333333</v>
      </c>
      <c r="L64" s="65"/>
      <c r="M64" s="66"/>
      <c r="N64" s="66"/>
      <c r="O64" s="102"/>
      <c r="P64" s="65"/>
      <c r="Q64" s="66"/>
      <c r="R64" s="66"/>
      <c r="S64" s="102"/>
      <c r="T64" s="98">
        <v>20</v>
      </c>
      <c r="U64" s="94"/>
      <c r="V64" s="65">
        <f>(JRC_Data!BB16/1000)*($U$151/$U$152)</f>
        <v>2.1730612244897962</v>
      </c>
      <c r="W64" s="65">
        <f>(JRC_Data!BC16/1000)*($U$151/$U$152)</f>
        <v>2.0742857142857147</v>
      </c>
      <c r="X64" s="65">
        <f>(JRC_Data!BD16/1000)*($U$151/$U$152)</f>
        <v>1.8767346938775511</v>
      </c>
      <c r="Y64" s="131">
        <f>(JRC_Data!BE16/1000)*($U$151/$U$152)</f>
        <v>1.7779591836734696</v>
      </c>
      <c r="Z64" s="131">
        <f>JRC_Data!BL16/1000</f>
        <v>3.4000000000000002E-2</v>
      </c>
      <c r="AA64" s="131"/>
      <c r="AB64" s="131"/>
      <c r="AC64" s="131"/>
      <c r="AD64" s="131"/>
      <c r="AE64" s="131"/>
      <c r="AF64" s="131">
        <f t="shared" si="28"/>
        <v>0.220752</v>
      </c>
      <c r="AG64" s="134"/>
      <c r="AH64" s="134">
        <v>2100</v>
      </c>
      <c r="AI64" s="134">
        <v>7</v>
      </c>
      <c r="AK64" s="152"/>
      <c r="AL64" s="151" t="str">
        <f t="shared" si="45"/>
        <v>R-SH_Att_ELC_HPN2</v>
      </c>
      <c r="AM64" s="151" t="str">
        <f t="shared" si="45"/>
        <v>Residential Electric Heat Pump - Air to Water - SH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"R-HC_Att"&amp;"_"&amp;RIGHT(E65,3)&amp;"_HPN1"</f>
        <v>R-HC_Att_ELC_HPN1</v>
      </c>
      <c r="D65" s="69" t="s">
        <v>346</v>
      </c>
      <c r="E65" s="70" t="s">
        <v>406</v>
      </c>
      <c r="F65" s="70" t="s">
        <v>1035</v>
      </c>
      <c r="G65" s="103" t="s">
        <v>717</v>
      </c>
      <c r="H65" s="68">
        <v>1</v>
      </c>
      <c r="I65" s="69">
        <f>JRC_Data!AD16/JRC_Data!$AC$16</f>
        <v>1.0666666666666667</v>
      </c>
      <c r="J65" s="69">
        <f>JRC_Data!AE16/JRC_Data!$AC$16</f>
        <v>1.2333333333333334</v>
      </c>
      <c r="K65" s="103">
        <f>JRC_Data!AF16/JRC_Data!$AC$16</f>
        <v>1.3333333333333333</v>
      </c>
      <c r="L65" s="68">
        <v>1</v>
      </c>
      <c r="M65" s="69">
        <f>JRC_Data!AD16/JRC_Data!$AC$16</f>
        <v>1.0666666666666667</v>
      </c>
      <c r="N65" s="69">
        <f>JRC_Data!AE16/JRC_Data!$AC$16</f>
        <v>1.2333333333333334</v>
      </c>
      <c r="O65" s="103">
        <f>JRC_Data!AF16/JRC_Data!$AC$16</f>
        <v>1.3333333333333333</v>
      </c>
      <c r="P65" s="68"/>
      <c r="Q65" s="69"/>
      <c r="R65" s="69"/>
      <c r="S65" s="103"/>
      <c r="T65" s="99">
        <v>20</v>
      </c>
      <c r="U65" s="91"/>
      <c r="V65" s="68">
        <f>(JRC_Data!BB16/1000)*($U$152/$U$152)</f>
        <v>2.2000000000000002</v>
      </c>
      <c r="W65" s="68">
        <f>(JRC_Data!BC16/1000)*($U$152/$U$152)</f>
        <v>2.1</v>
      </c>
      <c r="X65" s="68">
        <f>(JRC_Data!BD16/1000)*($U$152/$U$152)</f>
        <v>1.9</v>
      </c>
      <c r="Y65" s="109">
        <f>(JRC_Data!BE16/1000)*($U$152/$U$152)</f>
        <v>1.8</v>
      </c>
      <c r="Z65" s="109">
        <f>JRC_Data!BL16/1000</f>
        <v>3.4000000000000002E-2</v>
      </c>
      <c r="AA65" s="109"/>
      <c r="AB65" s="109"/>
      <c r="AC65" s="109"/>
      <c r="AD65" s="109"/>
      <c r="AE65" s="109"/>
      <c r="AF65" s="109">
        <f t="shared" si="28"/>
        <v>0.26805600000000002</v>
      </c>
      <c r="AG65" s="112"/>
      <c r="AH65" s="112">
        <v>2100</v>
      </c>
      <c r="AI65" s="112">
        <v>8.5</v>
      </c>
      <c r="AK65" s="152"/>
      <c r="AL65" s="151" t="str">
        <f t="shared" si="45"/>
        <v>R-SW_Att_ELC_HPN1</v>
      </c>
      <c r="AM65" s="151" t="str">
        <f t="shared" si="45"/>
        <v>Residential Electric Heat Pump - Air to Water - SH + WH</v>
      </c>
      <c r="AN65" s="152" t="s">
        <v>16</v>
      </c>
      <c r="AO65" s="152" t="s">
        <v>433</v>
      </c>
      <c r="AP65" s="152"/>
      <c r="AQ65" s="152" t="s">
        <v>309</v>
      </c>
    </row>
    <row r="66" spans="3:43" ht="15" x14ac:dyDescent="0.25">
      <c r="C66" s="86" t="str">
        <f>"R-SH_Att"&amp;"_"&amp;RIGHT(E66,3)&amp;"_HPN2"</f>
        <v>R-SH_Att_ELC_HPN2</v>
      </c>
      <c r="D66" s="75" t="s">
        <v>347</v>
      </c>
      <c r="E66" s="76" t="s">
        <v>406</v>
      </c>
      <c r="F66" s="76" t="s">
        <v>1035</v>
      </c>
      <c r="G66" s="104" t="s">
        <v>392</v>
      </c>
      <c r="H66" s="86">
        <v>1</v>
      </c>
      <c r="I66" s="75">
        <f>JRC_Data!AD18/JRC_Data!$AC$16</f>
        <v>1.0999999999999999</v>
      </c>
      <c r="J66" s="75">
        <f>JRC_Data!AE18/JRC_Data!$AC$16</f>
        <v>1.2333333333333334</v>
      </c>
      <c r="K66" s="104">
        <f>JRC_Data!AF18/JRC_Data!$AC$16</f>
        <v>1.3333333333333333</v>
      </c>
      <c r="L66" s="86"/>
      <c r="M66" s="75"/>
      <c r="N66" s="75"/>
      <c r="O66" s="104"/>
      <c r="P66" s="86"/>
      <c r="Q66" s="75"/>
      <c r="R66" s="75"/>
      <c r="S66" s="104"/>
      <c r="T66" s="100">
        <v>20</v>
      </c>
      <c r="U66" s="89"/>
      <c r="V66" s="456">
        <v>8.5299999999999994</v>
      </c>
      <c r="W66" s="456">
        <f>V66*0.91</f>
        <v>7.7622999999999998</v>
      </c>
      <c r="X66" s="456">
        <f>W66*0.91</f>
        <v>7.0636929999999998</v>
      </c>
      <c r="Y66" s="456">
        <f>V66*0.82</f>
        <v>6.9945999999999993</v>
      </c>
      <c r="Z66" s="456">
        <v>0.1</v>
      </c>
      <c r="AA66" s="108"/>
      <c r="AB66" s="108"/>
      <c r="AC66" s="108"/>
      <c r="AD66" s="108"/>
      <c r="AE66" s="108"/>
      <c r="AF66" s="108">
        <f t="shared" si="28"/>
        <v>0.220752</v>
      </c>
      <c r="AG66" s="111"/>
      <c r="AH66" s="111">
        <v>2019</v>
      </c>
      <c r="AI66" s="111">
        <v>7</v>
      </c>
      <c r="AK66" s="286"/>
      <c r="AL66" s="151" t="str">
        <f t="shared" si="45"/>
        <v>R-SW_Att_ELC_HPN2</v>
      </c>
      <c r="AM66" s="151" t="str">
        <f t="shared" si="45"/>
        <v>Residential Electric Heat Pump - Air to Water - SH + WH + Solar</v>
      </c>
      <c r="AN66" s="152" t="s">
        <v>16</v>
      </c>
      <c r="AO66" s="152" t="s">
        <v>433</v>
      </c>
      <c r="AP66" s="152"/>
      <c r="AQ66" s="152" t="s">
        <v>309</v>
      </c>
    </row>
    <row r="67" spans="3:43" ht="15" x14ac:dyDescent="0.25">
      <c r="C67" s="68" t="str">
        <f>"R-SW_Att"&amp;"_"&amp;RIGHT(E67,3)&amp;"_HPN1"</f>
        <v>R-SW_Att_ELC_HPN1</v>
      </c>
      <c r="D67" s="69" t="s">
        <v>348</v>
      </c>
      <c r="E67" s="70" t="s">
        <v>406</v>
      </c>
      <c r="F67" s="70" t="s">
        <v>1035</v>
      </c>
      <c r="G67" s="103" t="s">
        <v>716</v>
      </c>
      <c r="H67" s="68">
        <v>1</v>
      </c>
      <c r="I67" s="69">
        <f>JRC_Data!AD18/JRC_Data!$AC$16</f>
        <v>1.0999999999999999</v>
      </c>
      <c r="J67" s="69">
        <f>JRC_Data!AE18/JRC_Data!$AC$16</f>
        <v>1.2333333333333334</v>
      </c>
      <c r="K67" s="103">
        <f>JRC_Data!AF18/JRC_Data!$AC$16</f>
        <v>1.3333333333333333</v>
      </c>
      <c r="L67" s="68"/>
      <c r="M67" s="69"/>
      <c r="N67" s="69"/>
      <c r="O67" s="103"/>
      <c r="P67" s="68">
        <f>H67*0.7</f>
        <v>0.7</v>
      </c>
      <c r="Q67" s="69">
        <f t="shared" ref="Q67:Q68" si="46">I67*0.7</f>
        <v>0.76999999999999991</v>
      </c>
      <c r="R67" s="69">
        <f t="shared" ref="R67:R68" si="47">J67*0.7</f>
        <v>0.86333333333333329</v>
      </c>
      <c r="S67" s="103">
        <f t="shared" ref="S67:S68" si="48">K67*0.7</f>
        <v>0.93333333333333324</v>
      </c>
      <c r="T67" s="99">
        <v>20</v>
      </c>
      <c r="U67" s="91"/>
      <c r="V67" s="457">
        <f>V66*($U$150/$U$149)</f>
        <v>8.6019831223628689</v>
      </c>
      <c r="W67" s="457">
        <f>W66*($U$150/$U$149)</f>
        <v>7.8278046413502116</v>
      </c>
      <c r="X67" s="457">
        <f>X66*($U$150/$U$149)</f>
        <v>7.1233022236286923</v>
      </c>
      <c r="Y67" s="457">
        <f>Y66*($U$150/$U$149)</f>
        <v>7.0536261603375525</v>
      </c>
      <c r="Z67" s="457">
        <v>0.1</v>
      </c>
      <c r="AA67" s="109"/>
      <c r="AB67" s="109"/>
      <c r="AC67" s="109"/>
      <c r="AD67" s="109"/>
      <c r="AE67" s="109"/>
      <c r="AF67" s="109">
        <f t="shared" si="28"/>
        <v>0.26805600000000002</v>
      </c>
      <c r="AG67" s="112"/>
      <c r="AH67" s="112">
        <v>2019</v>
      </c>
      <c r="AI67" s="112">
        <v>8.5</v>
      </c>
      <c r="AK67" s="286"/>
      <c r="AL67" s="151" t="str">
        <f t="shared" si="45"/>
        <v>R-SH_Att_ELC_HPN3</v>
      </c>
      <c r="AM67" s="151" t="str">
        <f t="shared" si="45"/>
        <v>Residential Electric Heat Pump - Ground to Water - SH</v>
      </c>
      <c r="AN67" s="152" t="s">
        <v>16</v>
      </c>
      <c r="AO67" s="152" t="s">
        <v>433</v>
      </c>
      <c r="AP67" s="152"/>
      <c r="AQ67" s="152" t="s">
        <v>309</v>
      </c>
    </row>
    <row r="68" spans="3:43" ht="15.75" thickBot="1" x14ac:dyDescent="0.3">
      <c r="C68" s="86" t="str">
        <f>"R-SW_Att"&amp;"_"&amp;RIGHT(E68,3)&amp;"_HPN2"</f>
        <v>R-SW_Att_ELC_HPN2</v>
      </c>
      <c r="D68" s="75" t="s">
        <v>349</v>
      </c>
      <c r="E68" s="76" t="s">
        <v>1025</v>
      </c>
      <c r="F68" s="76" t="s">
        <v>1035</v>
      </c>
      <c r="G68" s="104" t="s">
        <v>716</v>
      </c>
      <c r="H68" s="86">
        <v>1</v>
      </c>
      <c r="I68" s="75">
        <v>1.1100000000000001</v>
      </c>
      <c r="J68" s="75">
        <v>1.19</v>
      </c>
      <c r="K68" s="104">
        <v>1.19</v>
      </c>
      <c r="L68" s="86"/>
      <c r="M68" s="75"/>
      <c r="N68" s="75"/>
      <c r="O68" s="104"/>
      <c r="P68" s="86">
        <f>H68*0.7</f>
        <v>0.7</v>
      </c>
      <c r="Q68" s="75">
        <f t="shared" si="46"/>
        <v>0.77700000000000002</v>
      </c>
      <c r="R68" s="75">
        <f t="shared" si="47"/>
        <v>0.83299999999999996</v>
      </c>
      <c r="S68" s="104">
        <f t="shared" si="48"/>
        <v>0.83299999999999996</v>
      </c>
      <c r="T68" s="100">
        <v>20</v>
      </c>
      <c r="U68" s="89"/>
      <c r="V68" s="86">
        <f>((JRC_Data!BB18+JRC_Data!BB45)*0.8/1000)*($U$152/$U$151)</f>
        <v>13.282644628099174</v>
      </c>
      <c r="W68" s="86">
        <f>((JRC_Data!BC18+JRC_Data!BC45)*0.8/1000)*($U$152/$U$151)</f>
        <v>12.229752066115703</v>
      </c>
      <c r="X68" s="86">
        <f>((JRC_Data!BD18+JRC_Data!BD45)*0.8/1000)*($U$152/$U$151)</f>
        <v>11.824793388429752</v>
      </c>
      <c r="Y68" s="108">
        <f>((JRC_Data!BE18+JRC_Data!BE45)*0.8/1000)*($U$152/$U$151)</f>
        <v>10.285950413223141</v>
      </c>
      <c r="Z68" s="108">
        <f>((JRC_Data!BL18+JRC_Data!BL45)*0.8)/1000</f>
        <v>0.16960000000000003</v>
      </c>
      <c r="AA68" s="108"/>
      <c r="AB68" s="118">
        <v>0.1</v>
      </c>
      <c r="AC68" s="108"/>
      <c r="AD68" s="108"/>
      <c r="AE68" s="290">
        <v>5</v>
      </c>
      <c r="AF68" s="108">
        <f t="shared" si="28"/>
        <v>0.26805600000000002</v>
      </c>
      <c r="AG68" s="111"/>
      <c r="AH68" s="111">
        <v>2019</v>
      </c>
      <c r="AI68" s="111">
        <v>8.5</v>
      </c>
      <c r="AK68" s="158"/>
      <c r="AL68" s="154" t="str">
        <f t="shared" si="45"/>
        <v>R-HC_Att_ELC_HPN2</v>
      </c>
      <c r="AM68" s="154" t="str">
        <f t="shared" si="45"/>
        <v>Residential Electric Heat Pump - Ground to Water - SH + SC</v>
      </c>
      <c r="AN68" s="155" t="s">
        <v>16</v>
      </c>
      <c r="AO68" s="155" t="s">
        <v>433</v>
      </c>
      <c r="AP68" s="155"/>
      <c r="AQ68" s="155" t="s">
        <v>309</v>
      </c>
    </row>
    <row r="69" spans="3:43" ht="15" x14ac:dyDescent="0.25">
      <c r="C69" s="68" t="str">
        <f>"R-SH_Att"&amp;"_"&amp;RIGHT(E69,3)&amp;"_HPN3"</f>
        <v>R-SH_Att_ELC_HPN3</v>
      </c>
      <c r="D69" s="69" t="s">
        <v>350</v>
      </c>
      <c r="E69" s="70" t="s">
        <v>406</v>
      </c>
      <c r="F69" s="70" t="s">
        <v>1035</v>
      </c>
      <c r="G69" s="103" t="s">
        <v>392</v>
      </c>
      <c r="H69" s="68">
        <f>JRC_Data!AC20/JRC_Data!$AC$16</f>
        <v>1.0999999999999999</v>
      </c>
      <c r="I69" s="69">
        <f>JRC_Data!AD20/JRC_Data!$AC$16</f>
        <v>1.1666666666666667</v>
      </c>
      <c r="J69" s="69">
        <f>JRC_Data!AE20/JRC_Data!$AC$16</f>
        <v>1.3333333333333333</v>
      </c>
      <c r="K69" s="103">
        <f>JRC_Data!AF20/JRC_Data!$AC$16</f>
        <v>1.5</v>
      </c>
      <c r="L69" s="68"/>
      <c r="M69" s="69"/>
      <c r="N69" s="69"/>
      <c r="O69" s="103"/>
      <c r="P69" s="68"/>
      <c r="Q69" s="69"/>
      <c r="R69" s="69"/>
      <c r="S69" s="103"/>
      <c r="T69" s="99">
        <v>20</v>
      </c>
      <c r="U69" s="91"/>
      <c r="V69" s="68">
        <f>(JRC_Data!BB20/1000)*($U$151/$U$152)</f>
        <v>13.828571428571429</v>
      </c>
      <c r="W69" s="68">
        <f>(JRC_Data!BC20/1000)*($U$151/$U$152)</f>
        <v>12.840816326530613</v>
      </c>
      <c r="X69" s="68">
        <f>(JRC_Data!BD20/1000)*($U$151/$U$152)</f>
        <v>11.853061224489796</v>
      </c>
      <c r="Y69" s="109">
        <f>(JRC_Data!BE20/1000)*($U$151/$U$152)</f>
        <v>10.865306122448981</v>
      </c>
      <c r="Z69" s="109">
        <f>JRC_Data!BL20/1000</f>
        <v>0.2</v>
      </c>
      <c r="AA69" s="109"/>
      <c r="AB69" s="109"/>
      <c r="AC69" s="109"/>
      <c r="AD69" s="109"/>
      <c r="AE69" s="109"/>
      <c r="AF69" s="109">
        <f t="shared" si="28"/>
        <v>0.220752</v>
      </c>
      <c r="AG69" s="112"/>
      <c r="AH69" s="112">
        <v>2019</v>
      </c>
      <c r="AI69" s="112">
        <v>7</v>
      </c>
      <c r="AK69" s="159"/>
      <c r="AL69" s="149" t="str">
        <f>C72</f>
        <v>R-SW_Att_GAS_HPN1</v>
      </c>
      <c r="AM69" s="149" t="str">
        <f>D72</f>
        <v>Residential Gas Absorption Heat Pump - Air to Water - SH + WH</v>
      </c>
      <c r="AN69" s="150" t="s">
        <v>16</v>
      </c>
      <c r="AO69" s="150" t="s">
        <v>433</v>
      </c>
      <c r="AP69" s="150"/>
      <c r="AQ69" s="150" t="s">
        <v>309</v>
      </c>
    </row>
    <row r="70" spans="3:43" ht="15.75" thickBot="1" x14ac:dyDescent="0.3">
      <c r="C70" s="140" t="str">
        <f>"R-HC_Att"&amp;"_"&amp;RIGHT(E70,3)&amp;"_HPN2"</f>
        <v>R-HC_Att_ELC_HPN2</v>
      </c>
      <c r="D70" s="136" t="s">
        <v>351</v>
      </c>
      <c r="E70" s="165" t="s">
        <v>406</v>
      </c>
      <c r="F70" s="165" t="s">
        <v>1035</v>
      </c>
      <c r="G70" s="141" t="s">
        <v>717</v>
      </c>
      <c r="H70" s="140">
        <f>JRC_Data!AC20/JRC_Data!$AC$16</f>
        <v>1.0999999999999999</v>
      </c>
      <c r="I70" s="136">
        <f>JRC_Data!AD20/JRC_Data!$AC$16</f>
        <v>1.1666666666666667</v>
      </c>
      <c r="J70" s="136">
        <f>JRC_Data!AE20/JRC_Data!$AC$16</f>
        <v>1.3333333333333333</v>
      </c>
      <c r="K70" s="141">
        <f>JRC_Data!AF20/JRC_Data!$AC$16</f>
        <v>1.5</v>
      </c>
      <c r="L70" s="140">
        <f>JRC_Data!AC20/JRC_Data!$AC$16</f>
        <v>1.0999999999999999</v>
      </c>
      <c r="M70" s="136">
        <f>JRC_Data!AD20/JRC_Data!$AC$16</f>
        <v>1.1666666666666667</v>
      </c>
      <c r="N70" s="136">
        <f>JRC_Data!AE20/JRC_Data!$AC$16</f>
        <v>1.3333333333333333</v>
      </c>
      <c r="O70" s="141">
        <f>JRC_Data!AF20/JRC_Data!$AC$16</f>
        <v>1.5</v>
      </c>
      <c r="P70" s="140"/>
      <c r="Q70" s="136"/>
      <c r="R70" s="136"/>
      <c r="S70" s="141"/>
      <c r="T70" s="147">
        <v>20</v>
      </c>
      <c r="U70" s="148"/>
      <c r="V70" s="140">
        <f>(JRC_Data!BB20/1000)*($U$152/$U$152)</f>
        <v>14</v>
      </c>
      <c r="W70" s="140">
        <f>(JRC_Data!BC20/1000)*($U$152/$U$152)</f>
        <v>13</v>
      </c>
      <c r="X70" s="140">
        <f>(JRC_Data!BD20/1000)*($U$152/$U$152)</f>
        <v>12</v>
      </c>
      <c r="Y70" s="132">
        <f>(JRC_Data!BE20/1000)*($U$152/$U$152)</f>
        <v>11</v>
      </c>
      <c r="Z70" s="132">
        <f>JRC_Data!BL20/1000</f>
        <v>0.2</v>
      </c>
      <c r="AA70" s="132"/>
      <c r="AB70" s="132"/>
      <c r="AC70" s="132"/>
      <c r="AD70" s="132"/>
      <c r="AE70" s="132"/>
      <c r="AF70" s="132">
        <f t="shared" si="28"/>
        <v>0.26805600000000002</v>
      </c>
      <c r="AG70" s="137"/>
      <c r="AH70" s="137">
        <v>2019</v>
      </c>
      <c r="AI70" s="137">
        <v>8.5</v>
      </c>
      <c r="AK70" s="287"/>
      <c r="AL70" s="154" t="str">
        <f>C73</f>
        <v>R-SW_Att_GAS_HPN2</v>
      </c>
      <c r="AM70" s="154" t="str">
        <f>D73</f>
        <v>Residential Gas Engine Heat Pump - Air to Water - SH + WH</v>
      </c>
      <c r="AN70" s="155" t="s">
        <v>16</v>
      </c>
      <c r="AO70" s="155" t="s">
        <v>433</v>
      </c>
      <c r="AP70" s="155"/>
      <c r="AQ70" s="155" t="s">
        <v>309</v>
      </c>
    </row>
    <row r="71" spans="3:43" ht="15.75" thickBot="1" x14ac:dyDescent="0.3">
      <c r="C71" s="79" t="s">
        <v>737</v>
      </c>
      <c r="D71" s="79"/>
      <c r="E71" s="80"/>
      <c r="F71" s="80"/>
      <c r="G71" s="80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0"/>
      <c r="U71" s="80"/>
      <c r="V71" s="79"/>
      <c r="W71" s="79"/>
      <c r="X71" s="79"/>
      <c r="Y71" s="79"/>
      <c r="Z71" s="79"/>
      <c r="AA71" s="133"/>
      <c r="AB71" s="82"/>
      <c r="AC71" s="82"/>
      <c r="AD71" s="82"/>
      <c r="AE71" s="82"/>
      <c r="AF71" s="79"/>
      <c r="AG71" s="80"/>
      <c r="AH71" s="80"/>
      <c r="AI71" s="80"/>
      <c r="AK71" s="288"/>
      <c r="AL71" s="157" t="str">
        <f>C75</f>
        <v>R-SW_Att_GAS_HHPN1</v>
      </c>
      <c r="AM71" s="157" t="str">
        <f>D75</f>
        <v>Residential Gas Hybrid Heat Pump - Air to Water - SH + WH</v>
      </c>
      <c r="AN71" s="156" t="s">
        <v>16</v>
      </c>
      <c r="AO71" s="156" t="s">
        <v>433</v>
      </c>
      <c r="AP71" s="156"/>
      <c r="AQ71" s="156" t="s">
        <v>309</v>
      </c>
    </row>
    <row r="72" spans="3:43" ht="15" x14ac:dyDescent="0.25">
      <c r="C72" s="65" t="str">
        <f>"R-SW_Att"&amp;"_"&amp;RIGHT(E72,3)&amp;"_HPN1"</f>
        <v>R-SW_Att_GAS_HPN1</v>
      </c>
      <c r="D72" s="66" t="s">
        <v>352</v>
      </c>
      <c r="E72" s="135" t="s">
        <v>726</v>
      </c>
      <c r="F72" s="135" t="s">
        <v>1035</v>
      </c>
      <c r="G72" s="135" t="s">
        <v>716</v>
      </c>
      <c r="H72" s="456">
        <f>JRC_Data!AC28/0.81</f>
        <v>1.6666666666666667</v>
      </c>
      <c r="I72" s="456">
        <f>JRC_Data!AD28/0.81</f>
        <v>1.7901234567901232</v>
      </c>
      <c r="J72" s="456">
        <f>JRC_Data!AE28/0.81</f>
        <v>2.0987654320987654</v>
      </c>
      <c r="K72" s="456">
        <f>JRC_Data!AF28/0.81</f>
        <v>2.0987654320987654</v>
      </c>
      <c r="L72" s="92"/>
      <c r="M72" s="93"/>
      <c r="N72" s="93"/>
      <c r="O72" s="94"/>
      <c r="P72" s="65">
        <f>H72*0.7</f>
        <v>1.1666666666666667</v>
      </c>
      <c r="Q72" s="66">
        <f t="shared" ref="Q72:Q73" si="49">I72*0.7</f>
        <v>1.2530864197530862</v>
      </c>
      <c r="R72" s="66">
        <f t="shared" ref="R72:R73" si="50">J72*0.7</f>
        <v>1.4691358024691357</v>
      </c>
      <c r="S72" s="102">
        <f t="shared" ref="S72:S73" si="51">K72*0.7</f>
        <v>1.4691358024691357</v>
      </c>
      <c r="T72" s="135">
        <v>22</v>
      </c>
      <c r="U72" s="94"/>
      <c r="V72" s="65">
        <f>(JRC_Data!BB28/1000)*($U$152/$U$153)</f>
        <v>14.756756756756756</v>
      </c>
      <c r="W72" s="65">
        <f>(JRC_Data!BC28/1000)*($U$152/$U$153)</f>
        <v>13.810810810810811</v>
      </c>
      <c r="X72" s="65">
        <f>(JRC_Data!BD28/1000)*($U$152/$U$153)</f>
        <v>11.918918918918919</v>
      </c>
      <c r="Y72" s="131">
        <f>(JRC_Data!BE28/1000)*($U$152/$U$153)</f>
        <v>11.918918918918919</v>
      </c>
      <c r="Z72" s="131">
        <f>JRC_Data!BL28/1000</f>
        <v>0.23499999999999999</v>
      </c>
      <c r="AA72" s="131"/>
      <c r="AB72" s="102"/>
      <c r="AC72" s="131"/>
      <c r="AD72" s="131"/>
      <c r="AE72" s="131"/>
      <c r="AF72" s="131">
        <f t="shared" si="28"/>
        <v>0.7884000000000001</v>
      </c>
      <c r="AG72" s="134"/>
      <c r="AH72" s="134">
        <v>2019</v>
      </c>
      <c r="AI72" s="134">
        <v>25</v>
      </c>
      <c r="AK72" s="289"/>
      <c r="AL72" s="149" t="str">
        <f>C77</f>
        <v>R-SW_Att_HET_N1</v>
      </c>
      <c r="AM72" s="149" t="str">
        <f>D77</f>
        <v>Residential District Heating Centralized - SH + WH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329" t="str">
        <f>"R-SW_Att"&amp;"_"&amp;RIGHT(E73,3)&amp;"_HPN2"</f>
        <v>R-SW_Att_GAS_HPN2</v>
      </c>
      <c r="D73" s="72" t="s">
        <v>353</v>
      </c>
      <c r="E73" s="73" t="s">
        <v>726</v>
      </c>
      <c r="F73" s="73" t="s">
        <v>1035</v>
      </c>
      <c r="G73" s="73" t="s">
        <v>716</v>
      </c>
      <c r="H73" s="457">
        <f>JRC_Data!AC30/0.9</f>
        <v>1.6666666666666665</v>
      </c>
      <c r="I73" s="457">
        <f>JRC_Data!AD30/0.9</f>
        <v>1.7222222222222223</v>
      </c>
      <c r="J73" s="457">
        <f>JRC_Data!AE30/0.9</f>
        <v>1.7222222222222223</v>
      </c>
      <c r="K73" s="457">
        <f>JRC_Data!AF30/0.9</f>
        <v>1.7777777777777779</v>
      </c>
      <c r="L73" s="95"/>
      <c r="M73" s="96"/>
      <c r="N73" s="96"/>
      <c r="O73" s="97"/>
      <c r="P73" s="329">
        <f>H73*0.7</f>
        <v>1.1666666666666665</v>
      </c>
      <c r="Q73" s="72">
        <f t="shared" si="49"/>
        <v>1.2055555555555555</v>
      </c>
      <c r="R73" s="72">
        <f t="shared" si="50"/>
        <v>1.2055555555555555</v>
      </c>
      <c r="S73" s="105">
        <f t="shared" si="51"/>
        <v>1.2444444444444445</v>
      </c>
      <c r="T73" s="73">
        <v>15</v>
      </c>
      <c r="U73" s="97"/>
      <c r="V73" s="329">
        <f>(JRC_Data!BB30/1000)*($U$152/$U$153)</f>
        <v>44.932432432432435</v>
      </c>
      <c r="W73" s="329">
        <f>(JRC_Data!BC30/1000)*($U$152/$U$153)</f>
        <v>44.932432432432435</v>
      </c>
      <c r="X73" s="329">
        <f>(JRC_Data!BD30/1000)*($U$152/$U$153)</f>
        <v>44.932432432432435</v>
      </c>
      <c r="Y73" s="110">
        <f>(JRC_Data!BE30/1000)*($U$152/$U$153)</f>
        <v>44.932432432432435</v>
      </c>
      <c r="Z73" s="110">
        <f>JRC_Data!BL28/1000</f>
        <v>0.23499999999999999</v>
      </c>
      <c r="AA73" s="110"/>
      <c r="AB73" s="105"/>
      <c r="AC73" s="110"/>
      <c r="AD73" s="110"/>
      <c r="AE73" s="110"/>
      <c r="AF73" s="110">
        <f>31.536*(AI73/1000)</f>
        <v>0.7884000000000001</v>
      </c>
      <c r="AG73" s="113"/>
      <c r="AH73" s="113">
        <v>2019</v>
      </c>
      <c r="AI73" s="113">
        <v>25</v>
      </c>
      <c r="AK73" s="160"/>
      <c r="AL73" s="154" t="str">
        <f>C78</f>
        <v>R-SW_Att_HET_N2</v>
      </c>
      <c r="AM73" s="154" t="str">
        <f>D78</f>
        <v>Residential District Heating Decentralized - SH + WH</v>
      </c>
      <c r="AN73" s="155" t="s">
        <v>16</v>
      </c>
      <c r="AO73" s="155" t="s">
        <v>433</v>
      </c>
      <c r="AP73" s="155"/>
      <c r="AQ73" s="155" t="s">
        <v>309</v>
      </c>
    </row>
    <row r="74" spans="3:43" ht="15" x14ac:dyDescent="0.25">
      <c r="C74" s="79" t="s">
        <v>344</v>
      </c>
      <c r="D74" s="79"/>
      <c r="E74" s="80"/>
      <c r="F74" s="80"/>
      <c r="G74" s="80"/>
      <c r="H74" s="80"/>
      <c r="I74" s="80"/>
      <c r="J74" s="80"/>
      <c r="K74" s="80"/>
      <c r="L74" s="81"/>
      <c r="M74" s="81"/>
      <c r="N74" s="81"/>
      <c r="O74" s="81"/>
      <c r="P74" s="79"/>
      <c r="Q74" s="79"/>
      <c r="R74" s="79"/>
      <c r="S74" s="79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289"/>
      <c r="AL74" s="149" t="str">
        <f>C80</f>
        <v>R-WH_Att_ELC_N1</v>
      </c>
      <c r="AM74" s="149" t="str">
        <f>D80</f>
        <v xml:space="preserve">Residential Electric Water Heater </v>
      </c>
      <c r="AN74" s="150" t="s">
        <v>16</v>
      </c>
      <c r="AO74" s="150" t="s">
        <v>433</v>
      </c>
      <c r="AP74" s="150"/>
      <c r="AQ74" s="150" t="s">
        <v>309</v>
      </c>
    </row>
    <row r="75" spans="3:43" ht="15.75" thickBot="1" x14ac:dyDescent="0.3">
      <c r="C75" s="142" t="str">
        <f>"R-SW_Att"&amp;"_"&amp;RIGHT(E75,3)&amp;"_HHPN1"</f>
        <v>R-SW_Att_GAS_HHPN1</v>
      </c>
      <c r="D75" s="126" t="s">
        <v>361</v>
      </c>
      <c r="E75" s="167" t="s">
        <v>730</v>
      </c>
      <c r="F75" s="167" t="s">
        <v>1035</v>
      </c>
      <c r="G75" s="144" t="s">
        <v>716</v>
      </c>
      <c r="H75" s="456">
        <f>1*$AD$28+JRC_Data!AD18*(1.2-$AD$28)</f>
        <v>3.2699999999999996</v>
      </c>
      <c r="I75" s="456">
        <f>1*$AD$28+JRC_Data!AE18*(1.2-$AD$28)</f>
        <v>3.6299999999999994</v>
      </c>
      <c r="J75" s="456">
        <f>1*$AD$28+JRC_Data!AF18*(1.2-$AD$28)</f>
        <v>3.8999999999999995</v>
      </c>
      <c r="K75" s="456">
        <f>1*$AD$28+JRC_Data!AG18*(1.2-$AD$28)</f>
        <v>3.8999999999999995</v>
      </c>
      <c r="L75" s="95"/>
      <c r="M75" s="96"/>
      <c r="N75" s="96"/>
      <c r="O75" s="97"/>
      <c r="P75" s="329">
        <f>H75*0.7</f>
        <v>2.2889999999999997</v>
      </c>
      <c r="Q75" s="72">
        <f t="shared" ref="Q75" si="52">I75*0.7</f>
        <v>2.5409999999999995</v>
      </c>
      <c r="R75" s="72">
        <f t="shared" ref="R75" si="53">J75*0.7</f>
        <v>2.7299999999999995</v>
      </c>
      <c r="S75" s="105">
        <f t="shared" ref="S75" si="54">K75*0.7</f>
        <v>2.7299999999999995</v>
      </c>
      <c r="T75" s="5">
        <v>20</v>
      </c>
      <c r="V75" s="125">
        <f>(V67+V50)*0.8</f>
        <v>9.5138179028489738</v>
      </c>
      <c r="W75" s="125">
        <f t="shared" ref="W75:Y75" si="55">(W67+W50)*0.8</f>
        <v>8.8944751180388462</v>
      </c>
      <c r="X75" s="125">
        <f t="shared" si="55"/>
        <v>8.3308731838616321</v>
      </c>
      <c r="Y75" s="125">
        <f t="shared" si="55"/>
        <v>8.2751323332287203</v>
      </c>
      <c r="Z75" s="448">
        <f>(JRC_Data!BL9+JRC_Data!BL18)*0.8/1000</f>
        <v>0.308</v>
      </c>
      <c r="AA75" s="129"/>
      <c r="AB75" s="130"/>
      <c r="AC75" s="130"/>
      <c r="AD75" s="130">
        <v>0.3</v>
      </c>
      <c r="AE75" s="129">
        <v>5</v>
      </c>
      <c r="AF75" s="128">
        <f t="shared" si="28"/>
        <v>0.42415920000000001</v>
      </c>
      <c r="AG75" s="129"/>
      <c r="AH75" s="129">
        <v>2019</v>
      </c>
      <c r="AI75" s="129">
        <f>AI50*AD75+AI68*(1-AD75)</f>
        <v>13.45</v>
      </c>
      <c r="AK75" s="4"/>
      <c r="AL75" s="151" t="str">
        <f>C81</f>
        <v>R-WH_Att_SOL_N1</v>
      </c>
      <c r="AM75" s="151" t="str">
        <f>D81</f>
        <v xml:space="preserve">Residential Solar Water Heater </v>
      </c>
      <c r="AN75" s="152" t="s">
        <v>16</v>
      </c>
      <c r="AO75" s="152" t="s">
        <v>433</v>
      </c>
      <c r="AP75" s="152"/>
      <c r="AQ75" s="152" t="s">
        <v>309</v>
      </c>
    </row>
    <row r="76" spans="3:43" ht="15" x14ac:dyDescent="0.25">
      <c r="C76" s="79" t="s">
        <v>354</v>
      </c>
      <c r="D76" s="79"/>
      <c r="E76" s="80"/>
      <c r="F76" s="80"/>
      <c r="G76" s="80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0"/>
      <c r="U76" s="80"/>
      <c r="V76" s="79"/>
      <c r="W76" s="79"/>
      <c r="X76" s="79"/>
      <c r="Y76" s="79"/>
      <c r="Z76" s="79"/>
      <c r="AA76" s="80"/>
      <c r="AB76" s="82"/>
      <c r="AC76" s="82"/>
      <c r="AD76" s="82"/>
      <c r="AE76" s="82"/>
      <c r="AF76" s="79"/>
      <c r="AG76" s="80"/>
      <c r="AH76" s="80"/>
      <c r="AI76" s="80"/>
      <c r="AK76" s="4"/>
      <c r="AL76" s="151" t="str">
        <f>C83</f>
        <v>R-SC_Att_ELC_N1</v>
      </c>
      <c r="AM76" s="151" t="str">
        <f>D83</f>
        <v>Residential Electric Air Conditioning</v>
      </c>
      <c r="AN76" s="150" t="s">
        <v>16</v>
      </c>
      <c r="AO76" s="150" t="s">
        <v>433</v>
      </c>
      <c r="AP76" s="150"/>
      <c r="AQ76" s="150" t="s">
        <v>309</v>
      </c>
    </row>
    <row r="77" spans="3:43" x14ac:dyDescent="0.2">
      <c r="C77" s="65" t="str">
        <f>"R-SW_Att"&amp;"_"&amp;RIGHT(E77,3)&amp;"_N1"</f>
        <v>R-SW_Att_HET_N1</v>
      </c>
      <c r="D77" s="66" t="s">
        <v>355</v>
      </c>
      <c r="E77" s="135" t="s">
        <v>713</v>
      </c>
      <c r="F77" s="135"/>
      <c r="G77" s="135" t="s">
        <v>716</v>
      </c>
      <c r="H77" s="65">
        <v>1</v>
      </c>
      <c r="I77" s="66">
        <v>1</v>
      </c>
      <c r="J77" s="66">
        <v>1</v>
      </c>
      <c r="K77" s="102">
        <v>1</v>
      </c>
      <c r="L77" s="92"/>
      <c r="M77" s="93"/>
      <c r="N77" s="93"/>
      <c r="O77" s="94"/>
      <c r="P77" s="323">
        <v>1</v>
      </c>
      <c r="Q77" s="324">
        <v>1</v>
      </c>
      <c r="R77" s="324">
        <v>1</v>
      </c>
      <c r="S77" s="325">
        <v>1</v>
      </c>
      <c r="T77" s="98">
        <v>20</v>
      </c>
      <c r="U77" s="94"/>
      <c r="V77" s="65">
        <f>(JRC_Data!BB62/1000)*($U$152/$U$148)</f>
        <v>2.7222222222222219</v>
      </c>
      <c r="W77" s="65">
        <f>(JRC_Data!BC62/1000)*($U$152/$U$148)</f>
        <v>2.7222222222222219</v>
      </c>
      <c r="X77" s="65">
        <f>(JRC_Data!BD62/1000)*($U$152/$U$148)</f>
        <v>2.7222222222222219</v>
      </c>
      <c r="Y77" s="65">
        <f>(JRC_Data!BE62/1000)*($U$152/$U$148)</f>
        <v>2.7222222222222219</v>
      </c>
      <c r="Z77" s="131">
        <f>JRC_Data!BL62/1000</f>
        <v>0.15</v>
      </c>
      <c r="AA77" s="131"/>
      <c r="AB77" s="131"/>
      <c r="AC77" s="131"/>
      <c r="AD77" s="131"/>
      <c r="AE77" s="131"/>
      <c r="AF77" s="131">
        <f t="shared" si="28"/>
        <v>0.7884000000000001</v>
      </c>
      <c r="AG77" s="134"/>
      <c r="AH77" s="134">
        <v>2019</v>
      </c>
      <c r="AI77" s="134">
        <v>25</v>
      </c>
    </row>
    <row r="78" spans="3:43" x14ac:dyDescent="0.2">
      <c r="C78" s="329" t="str">
        <f>"R-SW_Att"&amp;"_"&amp;RIGHT(E78,3)&amp;"_N2"</f>
        <v>R-SW_Att_HET_N2</v>
      </c>
      <c r="D78" s="72" t="s">
        <v>356</v>
      </c>
      <c r="E78" s="73" t="s">
        <v>713</v>
      </c>
      <c r="F78" s="73"/>
      <c r="G78" s="73" t="s">
        <v>716</v>
      </c>
      <c r="H78" s="329">
        <v>1</v>
      </c>
      <c r="I78" s="72">
        <v>1</v>
      </c>
      <c r="J78" s="72">
        <v>1</v>
      </c>
      <c r="K78" s="105">
        <v>1</v>
      </c>
      <c r="L78" s="95"/>
      <c r="M78" s="96"/>
      <c r="N78" s="96"/>
      <c r="O78" s="97"/>
      <c r="P78" s="330">
        <v>1</v>
      </c>
      <c r="Q78" s="331">
        <v>1</v>
      </c>
      <c r="R78" s="331">
        <v>1</v>
      </c>
      <c r="S78" s="332">
        <v>1</v>
      </c>
      <c r="T78" s="101">
        <v>20</v>
      </c>
      <c r="U78" s="97"/>
      <c r="V78" s="329">
        <f>(JRC_Data!BB62/1000)*($U$152/$U$148)</f>
        <v>2.7222222222222219</v>
      </c>
      <c r="W78" s="329">
        <f>(JRC_Data!BC62/1000)*($U$152/$U$148)</f>
        <v>2.7222222222222219</v>
      </c>
      <c r="X78" s="329">
        <f>(JRC_Data!BD62/1000)*($U$152/$U$148)</f>
        <v>2.7222222222222219</v>
      </c>
      <c r="Y78" s="329">
        <f>(JRC_Data!BE62/1000)*($U$152/$U$148)</f>
        <v>2.7222222222222219</v>
      </c>
      <c r="Z78" s="110">
        <f>JRC_Data!BL62/1000</f>
        <v>0.15</v>
      </c>
      <c r="AA78" s="110"/>
      <c r="AB78" s="110"/>
      <c r="AC78" s="110"/>
      <c r="AD78" s="110"/>
      <c r="AE78" s="110"/>
      <c r="AF78" s="110">
        <f t="shared" si="28"/>
        <v>0.7884000000000001</v>
      </c>
      <c r="AG78" s="113"/>
      <c r="AH78" s="113">
        <v>2019</v>
      </c>
      <c r="AI78" s="113">
        <v>25</v>
      </c>
    </row>
    <row r="79" spans="3:43" x14ac:dyDescent="0.2">
      <c r="C79" s="79" t="s">
        <v>357</v>
      </c>
      <c r="D79" s="79"/>
      <c r="E79" s="80"/>
      <c r="F79" s="80"/>
      <c r="G79" s="80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0"/>
      <c r="U79" s="80"/>
      <c r="V79" s="79"/>
      <c r="W79" s="79"/>
      <c r="X79" s="79"/>
      <c r="Y79" s="79"/>
      <c r="Z79" s="79"/>
      <c r="AA79" s="80"/>
      <c r="AB79" s="82"/>
      <c r="AC79" s="82"/>
      <c r="AD79" s="82"/>
      <c r="AE79" s="82"/>
      <c r="AF79" s="79"/>
      <c r="AG79" s="80"/>
      <c r="AH79" s="80"/>
      <c r="AI79" s="80"/>
    </row>
    <row r="80" spans="3:43" x14ac:dyDescent="0.2">
      <c r="C80" s="65" t="str">
        <f>"R-WH_Att"&amp;"_"&amp;RIGHT(E80,3)&amp;"_N1"</f>
        <v>R-WH_Att_ELC_N1</v>
      </c>
      <c r="D80" s="66" t="s">
        <v>358</v>
      </c>
      <c r="E80" s="135" t="s">
        <v>406</v>
      </c>
      <c r="F80" s="135"/>
      <c r="G80" s="102" t="s">
        <v>395</v>
      </c>
      <c r="H80" s="92"/>
      <c r="I80" s="93"/>
      <c r="J80" s="93"/>
      <c r="K80" s="94"/>
      <c r="L80" s="92"/>
      <c r="M80" s="93"/>
      <c r="N80" s="93"/>
      <c r="O80" s="94"/>
      <c r="P80" s="323">
        <v>1</v>
      </c>
      <c r="Q80" s="324">
        <v>1</v>
      </c>
      <c r="R80" s="324">
        <v>1</v>
      </c>
      <c r="S80" s="325">
        <v>1</v>
      </c>
      <c r="T80" s="98">
        <v>20</v>
      </c>
      <c r="U80" s="94"/>
      <c r="V80" s="65">
        <f>(JRC_Data!BB48/1000)*($U$146/$U$146)</f>
        <v>4</v>
      </c>
      <c r="W80" s="65">
        <f>(JRC_Data!BC48/1000)*($U$146/$U$146)</f>
        <v>4</v>
      </c>
      <c r="X80" s="65">
        <f>(JRC_Data!BD48/1000)*($U$146/$U$146)</f>
        <v>4</v>
      </c>
      <c r="Y80" s="65">
        <f>(JRC_Data!BE48/1000)*($U$146/$U$146)</f>
        <v>4</v>
      </c>
      <c r="Z80" s="131">
        <f>JRC_Data!BL48/1000</f>
        <v>0.05</v>
      </c>
      <c r="AA80" s="131"/>
      <c r="AB80" s="131"/>
      <c r="AC80" s="131"/>
      <c r="AD80" s="131"/>
      <c r="AE80" s="131"/>
      <c r="AF80" s="131">
        <f t="shared" si="28"/>
        <v>0.18921600000000002</v>
      </c>
      <c r="AG80" s="134"/>
      <c r="AH80" s="134">
        <v>2019</v>
      </c>
      <c r="AI80" s="134">
        <v>6</v>
      </c>
    </row>
    <row r="81" spans="3:43" x14ac:dyDescent="0.2">
      <c r="C81" s="329" t="str">
        <f>"R-WH_Att"&amp;"_"&amp;RIGHT(E81,3)&amp;"_N1"</f>
        <v>R-WH_Att_SOL_N1</v>
      </c>
      <c r="D81" s="72" t="s">
        <v>359</v>
      </c>
      <c r="E81" s="73" t="s">
        <v>731</v>
      </c>
      <c r="F81" s="73"/>
      <c r="G81" s="105" t="s">
        <v>395</v>
      </c>
      <c r="H81" s="95"/>
      <c r="I81" s="96"/>
      <c r="J81" s="96"/>
      <c r="K81" s="97"/>
      <c r="L81" s="95"/>
      <c r="M81" s="96"/>
      <c r="N81" s="96"/>
      <c r="O81" s="97"/>
      <c r="P81" s="320">
        <v>1</v>
      </c>
      <c r="Q81" s="321">
        <v>1</v>
      </c>
      <c r="R81" s="321">
        <v>1</v>
      </c>
      <c r="S81" s="322">
        <v>1</v>
      </c>
      <c r="T81" s="99">
        <v>25</v>
      </c>
      <c r="U81" s="68">
        <v>30</v>
      </c>
      <c r="V81" s="68">
        <f>(JRC_Data!BB45/1000)*($U$146/$U$146)</f>
        <v>5.4</v>
      </c>
      <c r="W81" s="68">
        <f>(JRC_Data!BC45/1000)*($U$146/$U$146)</f>
        <v>5.0999999999999996</v>
      </c>
      <c r="X81" s="68">
        <f>(JRC_Data!BD45/1000)*($U$146/$U$146)</f>
        <v>4.5999999999999996</v>
      </c>
      <c r="Y81" s="68">
        <f>(JRC_Data!BE45/1000)*($U$146/$U$146)</f>
        <v>3.7</v>
      </c>
      <c r="Z81" s="109">
        <f>JRC_Data!BL45/1000</f>
        <v>6.2E-2</v>
      </c>
      <c r="AA81" s="109"/>
      <c r="AB81" s="109"/>
      <c r="AC81" s="109"/>
      <c r="AD81" s="109"/>
      <c r="AE81" s="109"/>
      <c r="AF81" s="109">
        <f t="shared" si="28"/>
        <v>0.18921600000000002</v>
      </c>
      <c r="AG81" s="113"/>
      <c r="AH81" s="112">
        <v>2019</v>
      </c>
      <c r="AI81" s="112">
        <v>6</v>
      </c>
    </row>
    <row r="82" spans="3:43" x14ac:dyDescent="0.2">
      <c r="C82" s="79" t="s">
        <v>741</v>
      </c>
      <c r="D82" s="79"/>
      <c r="E82" s="80"/>
      <c r="F82" s="80"/>
      <c r="G82" s="80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0"/>
      <c r="U82" s="80"/>
      <c r="V82" s="79"/>
      <c r="W82" s="79"/>
      <c r="X82" s="79"/>
      <c r="Y82" s="79"/>
      <c r="Z82" s="79"/>
      <c r="AA82" s="80"/>
      <c r="AB82" s="82"/>
      <c r="AC82" s="82"/>
      <c r="AD82" s="82"/>
      <c r="AE82" s="82"/>
      <c r="AF82" s="79"/>
      <c r="AG82" s="80"/>
      <c r="AH82" s="80"/>
      <c r="AI82" s="80"/>
    </row>
    <row r="83" spans="3:43" x14ac:dyDescent="0.2">
      <c r="C83" s="75" t="str">
        <f>"R-SC_Att"&amp;"_"&amp;RIGHT(E83,3)&amp;"_N1"</f>
        <v>R-SC_Att_ELC_N1</v>
      </c>
      <c r="D83" s="143" t="s">
        <v>360</v>
      </c>
      <c r="E83" s="163" t="s">
        <v>406</v>
      </c>
      <c r="F83" s="163"/>
      <c r="G83" s="164" t="s">
        <v>394</v>
      </c>
      <c r="H83" s="161"/>
      <c r="I83" s="162"/>
      <c r="J83" s="162"/>
      <c r="K83" s="162"/>
      <c r="L83" s="335">
        <v>1</v>
      </c>
      <c r="M83" s="336">
        <f>JRC_Data!AD16/JRC_Data!$AC$16</f>
        <v>1.0666666666666667</v>
      </c>
      <c r="N83" s="336">
        <f>JRC_Data!AE16/JRC_Data!$AC$16</f>
        <v>1.2333333333333334</v>
      </c>
      <c r="O83" s="336">
        <f>JRC_Data!AF16/JRC_Data!$AC$16</f>
        <v>1.3333333333333333</v>
      </c>
      <c r="P83" s="162"/>
      <c r="Q83" s="162"/>
      <c r="R83" s="162"/>
      <c r="S83" s="146"/>
      <c r="T83" s="145">
        <v>20</v>
      </c>
      <c r="U83" s="146"/>
      <c r="V83" s="142">
        <f>(JRC_Data!BB16/1000)*($U$147/$U$152)</f>
        <v>1.9786641929499076</v>
      </c>
      <c r="W83" s="142">
        <f>(JRC_Data!BC16/1000)*($U$147/$U$152)</f>
        <v>1.8887249114521845</v>
      </c>
      <c r="X83" s="142">
        <f>(JRC_Data!BD16/1000)*($U$147/$U$152)</f>
        <v>1.7088463484567382</v>
      </c>
      <c r="Y83" s="142">
        <f>(JRC_Data!BE16/1000)*($U$147/$U$152)</f>
        <v>1.6189070669590153</v>
      </c>
      <c r="Z83" s="139">
        <f>JRC_Data!BL16/1000</f>
        <v>3.4000000000000002E-2</v>
      </c>
      <c r="AA83" s="139"/>
      <c r="AB83" s="139"/>
      <c r="AC83" s="139"/>
      <c r="AD83" s="139"/>
      <c r="AE83" s="139"/>
      <c r="AF83" s="139">
        <f t="shared" si="28"/>
        <v>0.18921600000000002</v>
      </c>
      <c r="AG83" s="138"/>
      <c r="AH83" s="138">
        <v>2019</v>
      </c>
      <c r="AI83" s="138">
        <v>6</v>
      </c>
    </row>
    <row r="87" spans="3:43" x14ac:dyDescent="0.2">
      <c r="AM87" s="57"/>
      <c r="AN87" s="57"/>
      <c r="AO87" s="57"/>
      <c r="AP87" s="57"/>
      <c r="AQ87" s="57"/>
    </row>
    <row r="88" spans="3:43" x14ac:dyDescent="0.2">
      <c r="H88" s="51" t="s">
        <v>26</v>
      </c>
    </row>
    <row r="89" spans="3:43" ht="45.75" thickBot="1" x14ac:dyDescent="0.25">
      <c r="C89" s="60" t="s">
        <v>28</v>
      </c>
      <c r="D89" s="61" t="s">
        <v>39</v>
      </c>
      <c r="E89" s="60" t="s">
        <v>30</v>
      </c>
      <c r="F89" s="60" t="s">
        <v>1033</v>
      </c>
      <c r="G89" s="60" t="s">
        <v>31</v>
      </c>
      <c r="H89" s="63" t="s">
        <v>996</v>
      </c>
      <c r="I89" s="63" t="s">
        <v>997</v>
      </c>
      <c r="J89" s="63" t="s">
        <v>998</v>
      </c>
      <c r="K89" s="63" t="s">
        <v>999</v>
      </c>
      <c r="L89" s="63" t="s">
        <v>1000</v>
      </c>
      <c r="M89" s="63" t="s">
        <v>1001</v>
      </c>
      <c r="N89" s="63" t="s">
        <v>1002</v>
      </c>
      <c r="O89" s="63" t="s">
        <v>1003</v>
      </c>
      <c r="P89" s="63" t="s">
        <v>1004</v>
      </c>
      <c r="Q89" s="63" t="s">
        <v>1005</v>
      </c>
      <c r="R89" s="63" t="s">
        <v>1006</v>
      </c>
      <c r="S89" s="63" t="s">
        <v>1007</v>
      </c>
      <c r="T89" s="64" t="s">
        <v>33</v>
      </c>
      <c r="U89" s="64" t="s">
        <v>312</v>
      </c>
      <c r="V89" s="63" t="s">
        <v>661</v>
      </c>
      <c r="W89" s="63" t="s">
        <v>324</v>
      </c>
      <c r="X89" s="63" t="s">
        <v>325</v>
      </c>
      <c r="Y89" s="63" t="s">
        <v>326</v>
      </c>
      <c r="Z89" s="63" t="s">
        <v>81</v>
      </c>
      <c r="AA89" s="63" t="s">
        <v>82</v>
      </c>
      <c r="AB89" s="63" t="s">
        <v>745</v>
      </c>
      <c r="AC89" s="63" t="s">
        <v>746</v>
      </c>
      <c r="AD89" s="63" t="s">
        <v>747</v>
      </c>
      <c r="AE89" s="63" t="s">
        <v>664</v>
      </c>
      <c r="AF89" s="63" t="s">
        <v>313</v>
      </c>
      <c r="AG89" s="63" t="s">
        <v>732</v>
      </c>
      <c r="AH89" s="63" t="s">
        <v>314</v>
      </c>
      <c r="AI89" s="63" t="s">
        <v>1031</v>
      </c>
    </row>
    <row r="90" spans="3:43" ht="38.25" x14ac:dyDescent="0.2">
      <c r="C90" s="62" t="s">
        <v>315</v>
      </c>
      <c r="D90" s="62" t="s">
        <v>42</v>
      </c>
      <c r="E90" s="62" t="s">
        <v>316</v>
      </c>
      <c r="F90" s="62" t="s">
        <v>1034</v>
      </c>
      <c r="G90" s="62" t="s">
        <v>317</v>
      </c>
      <c r="H90" s="541" t="s">
        <v>318</v>
      </c>
      <c r="I90" s="542"/>
      <c r="J90" s="542"/>
      <c r="K90" s="543"/>
      <c r="L90" s="541" t="s">
        <v>319</v>
      </c>
      <c r="M90" s="542"/>
      <c r="N90" s="542"/>
      <c r="O90" s="543"/>
      <c r="P90" s="541" t="s">
        <v>320</v>
      </c>
      <c r="Q90" s="542"/>
      <c r="R90" s="542"/>
      <c r="S90" s="543"/>
      <c r="T90" s="541" t="s">
        <v>321</v>
      </c>
      <c r="U90" s="543"/>
      <c r="V90" s="544" t="s">
        <v>322</v>
      </c>
      <c r="W90" s="545"/>
      <c r="X90" s="545"/>
      <c r="Y90" s="546"/>
      <c r="Z90" s="106"/>
      <c r="AA90" s="106"/>
      <c r="AB90" s="114" t="s">
        <v>621</v>
      </c>
      <c r="AC90" s="117" t="s">
        <v>621</v>
      </c>
      <c r="AD90" s="117" t="s">
        <v>621</v>
      </c>
      <c r="AE90" s="117" t="s">
        <v>663</v>
      </c>
      <c r="AF90" s="106" t="s">
        <v>116</v>
      </c>
      <c r="AG90" s="106" t="s">
        <v>323</v>
      </c>
      <c r="AH90" s="106"/>
      <c r="AI90" s="106"/>
      <c r="AK90" s="56" t="s">
        <v>27</v>
      </c>
      <c r="AL90" s="57"/>
      <c r="AM90" s="57"/>
      <c r="AN90" s="57"/>
      <c r="AO90" s="57"/>
      <c r="AP90" s="57"/>
      <c r="AQ90" s="57"/>
    </row>
    <row r="91" spans="3:43" ht="15.75" thickBot="1" x14ac:dyDescent="0.25">
      <c r="C91" s="60" t="s">
        <v>1026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449"/>
      <c r="U91" s="449"/>
      <c r="V91" s="449"/>
      <c r="W91" s="449"/>
      <c r="X91" s="449"/>
      <c r="Y91" s="449"/>
      <c r="Z91" s="449"/>
      <c r="AA91" s="449"/>
      <c r="AB91" s="449"/>
      <c r="AC91" s="449"/>
      <c r="AD91" s="449"/>
      <c r="AE91" s="449"/>
      <c r="AF91" s="449"/>
      <c r="AG91" s="449"/>
      <c r="AH91" s="449"/>
      <c r="AI91" s="449"/>
      <c r="AK91" s="58" t="s">
        <v>34</v>
      </c>
      <c r="AL91" s="58" t="s">
        <v>28</v>
      </c>
      <c r="AM91" s="58" t="s">
        <v>29</v>
      </c>
      <c r="AN91" s="58" t="s">
        <v>35</v>
      </c>
      <c r="AO91" s="58" t="s">
        <v>36</v>
      </c>
      <c r="AP91" s="58" t="s">
        <v>37</v>
      </c>
      <c r="AQ91" s="58" t="s">
        <v>301</v>
      </c>
    </row>
    <row r="92" spans="3:43" ht="33.75" x14ac:dyDescent="0.2">
      <c r="C92" s="83" t="s">
        <v>734</v>
      </c>
      <c r="D92" s="84"/>
      <c r="E92" s="84"/>
      <c r="F92" s="84"/>
      <c r="G92" s="85"/>
      <c r="H92" s="535" t="s">
        <v>45</v>
      </c>
      <c r="I92" s="536"/>
      <c r="J92" s="536"/>
      <c r="K92" s="537"/>
      <c r="L92" s="536" t="s">
        <v>45</v>
      </c>
      <c r="M92" s="536"/>
      <c r="N92" s="536"/>
      <c r="O92" s="537"/>
      <c r="P92" s="535" t="s">
        <v>45</v>
      </c>
      <c r="Q92" s="536"/>
      <c r="R92" s="536"/>
      <c r="S92" s="537"/>
      <c r="T92" s="538" t="s">
        <v>302</v>
      </c>
      <c r="U92" s="539"/>
      <c r="V92" s="538" t="s">
        <v>968</v>
      </c>
      <c r="W92" s="540"/>
      <c r="X92" s="540"/>
      <c r="Y92" s="539"/>
      <c r="Z92" s="450" t="s">
        <v>980</v>
      </c>
      <c r="AA92" s="450" t="s">
        <v>329</v>
      </c>
      <c r="AB92" s="451" t="s">
        <v>45</v>
      </c>
      <c r="AC92" s="450" t="s">
        <v>45</v>
      </c>
      <c r="AD92" s="450" t="s">
        <v>45</v>
      </c>
      <c r="AE92" s="450"/>
      <c r="AF92" s="452" t="s">
        <v>748</v>
      </c>
      <c r="AG92" s="450" t="s">
        <v>45</v>
      </c>
      <c r="AH92" s="450" t="s">
        <v>330</v>
      </c>
      <c r="AI92" s="450" t="s">
        <v>1032</v>
      </c>
      <c r="AK92" s="285" t="s">
        <v>303</v>
      </c>
      <c r="AL92" s="285" t="s">
        <v>304</v>
      </c>
      <c r="AM92" s="285" t="s">
        <v>42</v>
      </c>
      <c r="AN92" s="285" t="s">
        <v>305</v>
      </c>
      <c r="AO92" s="285" t="s">
        <v>306</v>
      </c>
      <c r="AP92" s="285" t="s">
        <v>307</v>
      </c>
      <c r="AQ92" s="285" t="s">
        <v>308</v>
      </c>
    </row>
    <row r="93" spans="3:43" ht="15" x14ac:dyDescent="0.25">
      <c r="C93" s="65" t="str">
        <f>"R-SH_Det"&amp;"_"&amp;RIGHT(E93,3)&amp;"_N1"</f>
        <v>R-SH_Det_KER_N1</v>
      </c>
      <c r="D93" s="66" t="s">
        <v>332</v>
      </c>
      <c r="E93" s="135" t="s">
        <v>721</v>
      </c>
      <c r="F93" s="135"/>
      <c r="G93" s="102" t="s">
        <v>400</v>
      </c>
      <c r="H93" s="65">
        <v>1</v>
      </c>
      <c r="I93" s="66">
        <v>1</v>
      </c>
      <c r="J93" s="66">
        <v>1</v>
      </c>
      <c r="K93" s="102">
        <v>1</v>
      </c>
      <c r="L93" s="92"/>
      <c r="M93" s="93"/>
      <c r="N93" s="93"/>
      <c r="O93" s="94"/>
      <c r="P93" s="65"/>
      <c r="Q93" s="66"/>
      <c r="R93" s="66"/>
      <c r="S93" s="102"/>
      <c r="T93" s="100">
        <v>20</v>
      </c>
      <c r="U93" s="87"/>
      <c r="V93" s="456">
        <f>V97*1.3</f>
        <v>4.5825000000000005</v>
      </c>
      <c r="W93" s="456">
        <f t="shared" ref="W93:Y93" si="56">W97*1.3</f>
        <v>4.5825000000000005</v>
      </c>
      <c r="X93" s="456">
        <f t="shared" si="56"/>
        <v>4.5825000000000005</v>
      </c>
      <c r="Y93" s="456">
        <f t="shared" si="56"/>
        <v>4.5825000000000005</v>
      </c>
      <c r="Z93" s="456">
        <v>0.12</v>
      </c>
      <c r="AA93" s="111"/>
      <c r="AB93" s="88"/>
      <c r="AC93" s="118"/>
      <c r="AD93" s="118"/>
      <c r="AE93" s="118"/>
      <c r="AF93" s="108">
        <f t="shared" ref="AF93:AF131" si="57">31.536*(AI93/1000)</f>
        <v>0.94608000000000003</v>
      </c>
      <c r="AG93" s="111"/>
      <c r="AH93" s="111">
        <v>2019</v>
      </c>
      <c r="AI93" s="111">
        <v>30</v>
      </c>
      <c r="AK93" s="152" t="s">
        <v>38</v>
      </c>
      <c r="AL93" s="151" t="str">
        <f>C93</f>
        <v>R-SH_Det_KER_N1</v>
      </c>
      <c r="AM93" s="151" t="str">
        <f>D93</f>
        <v>Residential Kerosene Heating Oil - New 1 SH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"R-SW_Det"&amp;"_"&amp;RIGHT(E94,3)&amp;"_N1"</f>
        <v>R-SW_Det_KER_N1</v>
      </c>
      <c r="D94" s="69" t="s">
        <v>333</v>
      </c>
      <c r="E94" s="70" t="s">
        <v>721</v>
      </c>
      <c r="F94" s="70"/>
      <c r="G94" s="103" t="s">
        <v>718</v>
      </c>
      <c r="H94" s="68">
        <v>1</v>
      </c>
      <c r="I94" s="69">
        <v>1</v>
      </c>
      <c r="J94" s="69">
        <v>1</v>
      </c>
      <c r="K94" s="103">
        <v>1</v>
      </c>
      <c r="L94" s="90"/>
      <c r="M94" s="78"/>
      <c r="N94" s="78"/>
      <c r="O94" s="91"/>
      <c r="P94" s="68">
        <f>H94*0.7</f>
        <v>0.7</v>
      </c>
      <c r="Q94" s="69">
        <f t="shared" ref="Q94:Q96" si="58">I94*0.7</f>
        <v>0.7</v>
      </c>
      <c r="R94" s="69">
        <f t="shared" ref="R94:R96" si="59">J94*0.7</f>
        <v>0.7</v>
      </c>
      <c r="S94" s="103">
        <f t="shared" ref="S94:S96" si="60">K94*0.7</f>
        <v>0.7</v>
      </c>
      <c r="T94" s="99">
        <v>20</v>
      </c>
      <c r="U94" s="71"/>
      <c r="V94" s="457">
        <f>V98*1.3</f>
        <v>4.9452075289575284</v>
      </c>
      <c r="W94" s="457">
        <f t="shared" ref="W94:Y94" si="61">W98*1.3</f>
        <v>4.9452075289575284</v>
      </c>
      <c r="X94" s="457">
        <f t="shared" si="61"/>
        <v>4.9452075289575284</v>
      </c>
      <c r="Y94" s="457">
        <f t="shared" si="61"/>
        <v>4.9452075289575284</v>
      </c>
      <c r="Z94" s="457">
        <v>0.12</v>
      </c>
      <c r="AA94" s="112"/>
      <c r="AB94" s="90"/>
      <c r="AC94" s="119"/>
      <c r="AD94" s="119"/>
      <c r="AE94" s="119"/>
      <c r="AF94" s="109">
        <f t="shared" si="57"/>
        <v>1.1983680000000001</v>
      </c>
      <c r="AG94" s="112"/>
      <c r="AH94" s="112">
        <v>2019</v>
      </c>
      <c r="AI94" s="112">
        <v>38</v>
      </c>
      <c r="AK94" s="152"/>
      <c r="AL94" s="151" t="str">
        <f t="shared" ref="AL94:AL108" si="62">C94</f>
        <v>R-SW_Det_KER_N1</v>
      </c>
      <c r="AM94" s="151" t="str">
        <f t="shared" ref="AM94:AM108" si="63">D94</f>
        <v>Residential Kerosene Heating Oil - New 2 SH + WH</v>
      </c>
      <c r="AN94" s="152" t="s">
        <v>16</v>
      </c>
      <c r="AO94" s="152" t="s">
        <v>433</v>
      </c>
      <c r="AP94" s="152"/>
      <c r="AQ94" s="152" t="s">
        <v>309</v>
      </c>
    </row>
    <row r="95" spans="3:43" ht="15" x14ac:dyDescent="0.25">
      <c r="C95" s="86" t="str">
        <f>"R-SW_Det"&amp;"_"&amp;RIGHT(E95,3)&amp;"_N2"</f>
        <v>R-SW_Det_KER_N2</v>
      </c>
      <c r="D95" s="75" t="s">
        <v>334</v>
      </c>
      <c r="E95" s="76" t="s">
        <v>723</v>
      </c>
      <c r="F95" s="76"/>
      <c r="G95" s="104" t="s">
        <v>718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>
        <f>H95*0.7</f>
        <v>0.7</v>
      </c>
      <c r="Q95" s="75">
        <f t="shared" si="58"/>
        <v>0.7</v>
      </c>
      <c r="R95" s="75">
        <f t="shared" si="59"/>
        <v>0.7</v>
      </c>
      <c r="S95" s="104">
        <f t="shared" si="60"/>
        <v>0.7</v>
      </c>
      <c r="T95" s="100">
        <v>20</v>
      </c>
      <c r="U95" s="87"/>
      <c r="V95" s="108">
        <f>((JRC_Data!BB7+JRC_Data!BB45)*0.8/1000)*$U$154</f>
        <v>10.359845559845558</v>
      </c>
      <c r="W95" s="108">
        <f>((JRC_Data!BC7+JRC_Data!BC45)*0.8/1000)*$U$154</f>
        <v>10.10084942084942</v>
      </c>
      <c r="X95" s="108">
        <f>((JRC_Data!BD7+JRC_Data!BD45)*0.8/1000)*$U$154</f>
        <v>9.6691891891891899</v>
      </c>
      <c r="Y95" s="108">
        <f>((JRC_Data!BE7+JRC_Data!BE45)*0.8/1000)*$U$154</f>
        <v>8.8922007722007717</v>
      </c>
      <c r="Z95" s="104">
        <f>((JRC_Data!BL7+JRC_Data!BL45)*0.8)/1000</f>
        <v>0.2656</v>
      </c>
      <c r="AA95" s="111"/>
      <c r="AB95" s="88">
        <v>0.1</v>
      </c>
      <c r="AC95" s="118"/>
      <c r="AD95" s="118"/>
      <c r="AE95" s="290">
        <v>5</v>
      </c>
      <c r="AF95" s="108">
        <f t="shared" si="57"/>
        <v>1.1983680000000001</v>
      </c>
      <c r="AG95" s="111"/>
      <c r="AH95" s="111">
        <v>2019</v>
      </c>
      <c r="AI95" s="111">
        <v>38</v>
      </c>
      <c r="AK95" s="152"/>
      <c r="AL95" s="151" t="str">
        <f t="shared" si="62"/>
        <v>R-SW_Det_KER_N2</v>
      </c>
      <c r="AM95" s="151" t="str">
        <f t="shared" si="63"/>
        <v>Residential Kerosene Heating Oil - New 3 SH+WH + Solar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"R-SW_Det"&amp;"_"&amp;RIGHT(E96,3)&amp;"_N3"</f>
        <v>R-SW_Det_KER_N3</v>
      </c>
      <c r="D96" s="69" t="s">
        <v>338</v>
      </c>
      <c r="E96" s="70" t="s">
        <v>724</v>
      </c>
      <c r="F96" s="70"/>
      <c r="G96" s="103" t="s">
        <v>718</v>
      </c>
      <c r="H96" s="68">
        <v>1</v>
      </c>
      <c r="I96" s="69">
        <v>1.0249999999999999</v>
      </c>
      <c r="J96" s="69">
        <v>1.0249999999999999</v>
      </c>
      <c r="K96" s="103">
        <v>1.0249999999999999</v>
      </c>
      <c r="L96" s="90"/>
      <c r="M96" s="78"/>
      <c r="N96" s="78"/>
      <c r="O96" s="91"/>
      <c r="P96" s="68">
        <f>H96*0.7</f>
        <v>0.7</v>
      </c>
      <c r="Q96" s="69">
        <f t="shared" si="58"/>
        <v>0.71749999999999992</v>
      </c>
      <c r="R96" s="69">
        <f t="shared" si="59"/>
        <v>0.71749999999999992</v>
      </c>
      <c r="S96" s="103">
        <f t="shared" si="60"/>
        <v>0.71749999999999992</v>
      </c>
      <c r="T96" s="99">
        <v>20</v>
      </c>
      <c r="U96" s="71"/>
      <c r="V96" s="109">
        <f>((JRC_Data!BB7+JRC_Data!BB11)*0.8/1000)*$U$154</f>
        <v>11.525328185328185</v>
      </c>
      <c r="W96" s="109">
        <f>((JRC_Data!BC7+JRC_Data!BC11)*0.8/1000)*$U$154</f>
        <v>11.525328185328185</v>
      </c>
      <c r="X96" s="109">
        <f>((JRC_Data!BD7+JRC_Data!BD11)*0.8/1000)*$U$154</f>
        <v>12.172818532818532</v>
      </c>
      <c r="Y96" s="109">
        <f>((JRC_Data!BE7+JRC_Data!BE11)*0.8/1000)*$U$154</f>
        <v>12.172818532818532</v>
      </c>
      <c r="Z96" s="104">
        <f>((JRC_Data!BL7+JRC_Data!BL11)*0.8)/1000</f>
        <v>0.23680000000000001</v>
      </c>
      <c r="AA96" s="112"/>
      <c r="AB96" s="90"/>
      <c r="AC96" s="119">
        <v>0.47</v>
      </c>
      <c r="AD96" s="119"/>
      <c r="AE96" s="112">
        <v>5</v>
      </c>
      <c r="AF96" s="109">
        <f t="shared" si="57"/>
        <v>1.1983680000000001</v>
      </c>
      <c r="AG96" s="112"/>
      <c r="AH96" s="112">
        <v>2019</v>
      </c>
      <c r="AI96" s="112">
        <v>38</v>
      </c>
      <c r="AK96" s="152"/>
      <c r="AL96" s="151" t="str">
        <f t="shared" si="62"/>
        <v>R-SW_Det_KER_N3</v>
      </c>
      <c r="AM96" s="151" t="str">
        <f t="shared" si="63"/>
        <v>Residential Kerosene Heating Oil - New 3 SH+WH + Wood Stove</v>
      </c>
      <c r="AN96" s="153" t="s">
        <v>16</v>
      </c>
      <c r="AO96" s="153" t="s">
        <v>433</v>
      </c>
      <c r="AP96" s="152"/>
      <c r="AQ96" s="152"/>
    </row>
    <row r="97" spans="3:43" ht="15" x14ac:dyDescent="0.25">
      <c r="C97" s="86" t="str">
        <f>"R-SH_Det"&amp;"_"&amp;RIGHT(E97,3)&amp;"_N1"</f>
        <v>R-SH_Det_GAS_N1</v>
      </c>
      <c r="D97" s="75" t="s">
        <v>331</v>
      </c>
      <c r="E97" s="76" t="s">
        <v>726</v>
      </c>
      <c r="F97" s="76"/>
      <c r="G97" s="104" t="s">
        <v>400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/>
      <c r="Q97" s="75"/>
      <c r="R97" s="75"/>
      <c r="S97" s="104"/>
      <c r="T97" s="100">
        <v>20</v>
      </c>
      <c r="U97" s="87"/>
      <c r="V97" s="456">
        <f>3.525</f>
        <v>3.5249999999999999</v>
      </c>
      <c r="W97" s="456">
        <f t="shared" ref="W97:Y97" si="64">3.525</f>
        <v>3.5249999999999999</v>
      </c>
      <c r="X97" s="456">
        <f t="shared" si="64"/>
        <v>3.5249999999999999</v>
      </c>
      <c r="Y97" s="456">
        <f t="shared" si="64"/>
        <v>3.5249999999999999</v>
      </c>
      <c r="Z97" s="456">
        <v>0.12</v>
      </c>
      <c r="AA97" s="111"/>
      <c r="AB97" s="88"/>
      <c r="AC97" s="118"/>
      <c r="AD97" s="118"/>
      <c r="AE97" s="118"/>
      <c r="AF97" s="108">
        <f t="shared" si="57"/>
        <v>0.94608000000000003</v>
      </c>
      <c r="AG97" s="111"/>
      <c r="AH97" s="111">
        <v>2019</v>
      </c>
      <c r="AI97" s="111">
        <v>30</v>
      </c>
      <c r="AK97" s="152"/>
      <c r="AL97" s="151" t="str">
        <f t="shared" si="62"/>
        <v>R-SH_Det_GAS_N1</v>
      </c>
      <c r="AM97" s="151" t="str">
        <f t="shared" si="63"/>
        <v>Residential Natural Gas Heating - New 1 SH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"R-SW_Det"&amp;"_"&amp;RIGHT(E98,3)&amp;"_N1"</f>
        <v>R-SW_Det_GAS_N1</v>
      </c>
      <c r="D98" s="69" t="s">
        <v>335</v>
      </c>
      <c r="E98" s="70" t="s">
        <v>726</v>
      </c>
      <c r="F98" s="70"/>
      <c r="G98" s="103" t="s">
        <v>718</v>
      </c>
      <c r="H98" s="68">
        <v>1</v>
      </c>
      <c r="I98" s="69">
        <v>1</v>
      </c>
      <c r="J98" s="69">
        <v>1</v>
      </c>
      <c r="K98" s="103">
        <v>1</v>
      </c>
      <c r="L98" s="90"/>
      <c r="M98" s="78"/>
      <c r="N98" s="78"/>
      <c r="O98" s="91"/>
      <c r="P98" s="68">
        <f>H98*0.7</f>
        <v>0.7</v>
      </c>
      <c r="Q98" s="69">
        <f t="shared" ref="Q98:Q100" si="65">I98*0.7</f>
        <v>0.7</v>
      </c>
      <c r="R98" s="69">
        <f t="shared" ref="R98:R100" si="66">J98*0.7</f>
        <v>0.7</v>
      </c>
      <c r="S98" s="103">
        <f t="shared" ref="S98:S100" si="67">K98*0.7</f>
        <v>0.7</v>
      </c>
      <c r="T98" s="99">
        <v>20</v>
      </c>
      <c r="U98" s="71"/>
      <c r="V98" s="457">
        <f>V97*($U$154/$U$153)</f>
        <v>3.8040057915057912</v>
      </c>
      <c r="W98" s="457">
        <f>W97*($U$154/$U$153)</f>
        <v>3.8040057915057912</v>
      </c>
      <c r="X98" s="457">
        <f>X97*($U$154/$U$153)</f>
        <v>3.8040057915057912</v>
      </c>
      <c r="Y98" s="457">
        <f>Y97*($U$154/$U$153)</f>
        <v>3.8040057915057912</v>
      </c>
      <c r="Z98" s="457">
        <v>0.12</v>
      </c>
      <c r="AA98" s="112"/>
      <c r="AB98" s="90"/>
      <c r="AC98" s="119"/>
      <c r="AD98" s="119"/>
      <c r="AE98" s="119"/>
      <c r="AF98" s="109">
        <f t="shared" si="57"/>
        <v>1.1983680000000001</v>
      </c>
      <c r="AG98" s="112"/>
      <c r="AH98" s="112">
        <v>2019</v>
      </c>
      <c r="AI98" s="112">
        <v>38</v>
      </c>
      <c r="AK98" s="152"/>
      <c r="AL98" s="151" t="str">
        <f t="shared" si="62"/>
        <v>R-SW_Det_GAS_N1</v>
      </c>
      <c r="AM98" s="151" t="str">
        <f t="shared" si="63"/>
        <v>Residential Natural Gas Heating - New 2 SH + WH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"R-SW_Det"&amp;"_"&amp;RIGHT(E99,3)&amp;"_N2"</f>
        <v>R-SW_Det_GAS_N2</v>
      </c>
      <c r="D99" s="75" t="s">
        <v>336</v>
      </c>
      <c r="E99" s="76" t="s">
        <v>727</v>
      </c>
      <c r="F99" s="76"/>
      <c r="G99" s="104" t="s">
        <v>718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>
        <f>H99*0.7</f>
        <v>0.7</v>
      </c>
      <c r="Q99" s="75">
        <f t="shared" si="65"/>
        <v>0.7</v>
      </c>
      <c r="R99" s="75">
        <f t="shared" si="66"/>
        <v>0.7</v>
      </c>
      <c r="S99" s="104">
        <f t="shared" si="67"/>
        <v>0.7</v>
      </c>
      <c r="T99" s="100">
        <v>20</v>
      </c>
      <c r="U99" s="87"/>
      <c r="V99" s="108">
        <v>13.025</v>
      </c>
      <c r="W99" s="456">
        <f>V99*0.9685</f>
        <v>12.614712500000001</v>
      </c>
      <c r="X99" s="456">
        <f>V99*0.916</f>
        <v>11.930900000000001</v>
      </c>
      <c r="Y99" s="456">
        <f>V99*0.812</f>
        <v>10.576300000000002</v>
      </c>
      <c r="Z99" s="104">
        <v>0.19</v>
      </c>
      <c r="AA99" s="111"/>
      <c r="AB99" s="88">
        <v>0.1</v>
      </c>
      <c r="AC99" s="118"/>
      <c r="AD99" s="118"/>
      <c r="AE99" s="290">
        <v>5</v>
      </c>
      <c r="AF99" s="108">
        <f t="shared" si="57"/>
        <v>1.1983680000000001</v>
      </c>
      <c r="AG99" s="111"/>
      <c r="AH99" s="111">
        <v>2019</v>
      </c>
      <c r="AI99" s="111">
        <v>38</v>
      </c>
      <c r="AK99" s="152"/>
      <c r="AL99" s="151" t="str">
        <f t="shared" si="62"/>
        <v>R-SW_Det_GAS_N2</v>
      </c>
      <c r="AM99" s="151" t="str">
        <f t="shared" si="63"/>
        <v>Residential Natural Gas Heating - New 3 SH + WH + Solar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"R-SW_Det"&amp;"_"&amp;RIGHT(E100,3)&amp;"_N3"</f>
        <v>R-SW_Det_GAS_N3</v>
      </c>
      <c r="D100" s="69" t="s">
        <v>337</v>
      </c>
      <c r="E100" s="70" t="s">
        <v>728</v>
      </c>
      <c r="F100" s="70"/>
      <c r="G100" s="103" t="s">
        <v>718</v>
      </c>
      <c r="H100" s="68">
        <v>1</v>
      </c>
      <c r="I100" s="69">
        <v>1.0249999999999999</v>
      </c>
      <c r="J100" s="69">
        <v>1.0249999999999999</v>
      </c>
      <c r="K100" s="103">
        <v>1.0249999999999999</v>
      </c>
      <c r="L100" s="90"/>
      <c r="M100" s="78"/>
      <c r="N100" s="78"/>
      <c r="O100" s="91"/>
      <c r="P100" s="68">
        <f>H100*0.7</f>
        <v>0.7</v>
      </c>
      <c r="Q100" s="69">
        <f t="shared" si="65"/>
        <v>0.71749999999999992</v>
      </c>
      <c r="R100" s="69">
        <f t="shared" si="66"/>
        <v>0.71749999999999992</v>
      </c>
      <c r="S100" s="103">
        <f t="shared" si="67"/>
        <v>0.71749999999999992</v>
      </c>
      <c r="T100" s="99">
        <v>20</v>
      </c>
      <c r="U100" s="71"/>
      <c r="V100" s="109">
        <f>((JRC_Data!BB9+JRC_Data!BB11)*0.8/1000)*($U$154/$U$151)</f>
        <v>9.9326446280991725</v>
      </c>
      <c r="W100" s="109">
        <f>((JRC_Data!BC9+JRC_Data!BC11)*0.8/1000)*($U$154/$U$151)</f>
        <v>9.9326446280991725</v>
      </c>
      <c r="X100" s="109">
        <f>((JRC_Data!BD9+JRC_Data!BD11)*0.8/1000)*($U$154/$U$151)</f>
        <v>10.625619834710744</v>
      </c>
      <c r="Y100" s="109">
        <f>((JRC_Data!BE9+JRC_Data!BE11)*0.8/1000)*($U$154/$U$151)</f>
        <v>10.625619834710744</v>
      </c>
      <c r="Z100" s="104">
        <f>((JRC_Data!BL9+JRC_Data!BL11)*0.8)/1000</f>
        <v>0.20880000000000001</v>
      </c>
      <c r="AA100" s="112"/>
      <c r="AB100" s="90"/>
      <c r="AC100" s="119">
        <v>0.47</v>
      </c>
      <c r="AD100" s="119"/>
      <c r="AE100" s="112">
        <v>5</v>
      </c>
      <c r="AF100" s="109">
        <f t="shared" si="57"/>
        <v>1.1983680000000001</v>
      </c>
      <c r="AG100" s="112"/>
      <c r="AH100" s="112">
        <v>2019</v>
      </c>
      <c r="AI100" s="112">
        <v>38</v>
      </c>
      <c r="AK100" s="152"/>
      <c r="AL100" s="151" t="str">
        <f t="shared" si="62"/>
        <v>R-SW_Det_GAS_N3</v>
      </c>
      <c r="AM100" s="151" t="str">
        <f t="shared" si="63"/>
        <v>Residential Natural Gas Heating - New 4 SH + WH + Wood Stove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R-SH_Det_LPG_N1</v>
      </c>
      <c r="D101" s="75" t="s">
        <v>339</v>
      </c>
      <c r="E101" s="76" t="s">
        <v>722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f>V97+0.25</f>
        <v>3.7749999999999999</v>
      </c>
      <c r="W101" s="456">
        <f t="shared" ref="W101:Y101" si="68">W97+0.25</f>
        <v>3.7749999999999999</v>
      </c>
      <c r="X101" s="456">
        <f t="shared" si="68"/>
        <v>3.7749999999999999</v>
      </c>
      <c r="Y101" s="456">
        <f t="shared" si="68"/>
        <v>3.7749999999999999</v>
      </c>
      <c r="Z101" s="456">
        <f>SUM(0.12+0.15)</f>
        <v>0.27</v>
      </c>
      <c r="AA101" s="111"/>
      <c r="AB101" s="88"/>
      <c r="AC101" s="118"/>
      <c r="AD101" s="118"/>
      <c r="AE101" s="118"/>
      <c r="AF101" s="108">
        <f t="shared" si="57"/>
        <v>0.94608000000000003</v>
      </c>
      <c r="AG101" s="111"/>
      <c r="AH101" s="111">
        <v>2019</v>
      </c>
      <c r="AI101" s="111">
        <v>30</v>
      </c>
      <c r="AK101" s="152"/>
      <c r="AL101" s="151" t="str">
        <f t="shared" si="62"/>
        <v>R-SH_Det_LPG_N1</v>
      </c>
      <c r="AM101" s="151" t="str">
        <f t="shared" si="63"/>
        <v>Residential Liquid Petroleum Gas-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" x14ac:dyDescent="0.25">
      <c r="C102" s="68" t="str">
        <f>"R-SW_Det"&amp;"_"&amp;RIGHT(E102,3)&amp;"_N1"</f>
        <v>R-SW_Det_LPG_N1</v>
      </c>
      <c r="D102" s="69" t="s">
        <v>340</v>
      </c>
      <c r="E102" s="70" t="s">
        <v>722</v>
      </c>
      <c r="F102" s="70"/>
      <c r="G102" s="103" t="s">
        <v>718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>H102*0.7</f>
        <v>0.7</v>
      </c>
      <c r="Q102" s="69">
        <f t="shared" ref="Q102" si="69">I102*0.7</f>
        <v>0.7</v>
      </c>
      <c r="R102" s="69">
        <f t="shared" ref="R102" si="70">J102*0.7</f>
        <v>0.7</v>
      </c>
      <c r="S102" s="103">
        <f t="shared" ref="S102" si="71">K102*0.7</f>
        <v>0.7</v>
      </c>
      <c r="T102" s="99">
        <v>20</v>
      </c>
      <c r="U102" s="71"/>
      <c r="V102" s="457">
        <f>V98</f>
        <v>3.8040057915057912</v>
      </c>
      <c r="W102" s="457">
        <f t="shared" ref="W102:Y102" si="72">W98</f>
        <v>3.8040057915057912</v>
      </c>
      <c r="X102" s="457">
        <f t="shared" si="72"/>
        <v>3.8040057915057912</v>
      </c>
      <c r="Y102" s="457">
        <f t="shared" si="72"/>
        <v>3.8040057915057912</v>
      </c>
      <c r="Z102" s="456">
        <f>SUM(0.12+0.15)</f>
        <v>0.27</v>
      </c>
      <c r="AA102" s="112"/>
      <c r="AB102" s="90"/>
      <c r="AC102" s="119"/>
      <c r="AD102" s="119"/>
      <c r="AE102" s="119"/>
      <c r="AF102" s="109">
        <f t="shared" si="57"/>
        <v>1.1983680000000001</v>
      </c>
      <c r="AG102" s="112"/>
      <c r="AH102" s="112">
        <v>2019</v>
      </c>
      <c r="AI102" s="112">
        <v>38</v>
      </c>
      <c r="AK102" s="152"/>
      <c r="AL102" s="151" t="str">
        <f t="shared" si="62"/>
        <v>R-SW_Det_LPG_N1</v>
      </c>
      <c r="AM102" s="151" t="str">
        <f t="shared" si="63"/>
        <v>Residential Liquid Petroleum Gas- New 2 SH + WH</v>
      </c>
      <c r="AN102" s="152" t="s">
        <v>16</v>
      </c>
      <c r="AO102" s="152" t="s">
        <v>433</v>
      </c>
      <c r="AP102" s="152"/>
      <c r="AQ102" s="152" t="s">
        <v>309</v>
      </c>
    </row>
    <row r="103" spans="3:43" ht="15" x14ac:dyDescent="0.25">
      <c r="C103" s="86" t="str">
        <f>"R-SH_Det"&amp;"_"&amp;RIGHT(E103,3)&amp;"_N1"</f>
        <v>R-SH_Det_WOO_N1</v>
      </c>
      <c r="D103" s="75" t="s">
        <v>341</v>
      </c>
      <c r="E103" s="76" t="s">
        <v>725</v>
      </c>
      <c r="F103" s="76"/>
      <c r="G103" s="104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/>
      <c r="Q103" s="75"/>
      <c r="R103" s="75"/>
      <c r="S103" s="104"/>
      <c r="T103" s="100">
        <v>20</v>
      </c>
      <c r="U103" s="87"/>
      <c r="V103" s="456">
        <v>22.5</v>
      </c>
      <c r="W103" s="456">
        <f>V103*0.96777</f>
        <v>21.774825</v>
      </c>
      <c r="X103" s="456">
        <f>V103*0.914844</f>
        <v>20.58399</v>
      </c>
      <c r="Y103" s="456">
        <f>V103*0.8181</f>
        <v>18.407250000000001</v>
      </c>
      <c r="Z103" s="456">
        <v>0.25</v>
      </c>
      <c r="AA103" s="111"/>
      <c r="AB103" s="88"/>
      <c r="AC103" s="118"/>
      <c r="AD103" s="118"/>
      <c r="AE103" s="118"/>
      <c r="AF103" s="108">
        <f t="shared" si="57"/>
        <v>0.94608000000000003</v>
      </c>
      <c r="AG103" s="111"/>
      <c r="AH103" s="111">
        <v>2019</v>
      </c>
      <c r="AI103" s="111">
        <v>30</v>
      </c>
      <c r="AK103" s="152"/>
      <c r="AL103" s="151" t="str">
        <f t="shared" si="62"/>
        <v>R-SH_Det_WOO_N1</v>
      </c>
      <c r="AM103" s="151" t="str">
        <f t="shared" si="63"/>
        <v>Residential Biomass Boiler - New 1 SH</v>
      </c>
      <c r="AN103" s="152" t="s">
        <v>16</v>
      </c>
      <c r="AO103" s="152" t="s">
        <v>433</v>
      </c>
      <c r="AP103" s="152"/>
      <c r="AQ103" s="152" t="s">
        <v>309</v>
      </c>
    </row>
    <row r="104" spans="3:43" ht="15.75" thickBot="1" x14ac:dyDescent="0.3">
      <c r="C104" s="68" t="str">
        <f>"R-SW_Det"&amp;"_"&amp;RIGHT(E104,3)&amp;"_N1"</f>
        <v>R-SW_Det_WOO_N1</v>
      </c>
      <c r="D104" s="69" t="s">
        <v>342</v>
      </c>
      <c r="E104" s="70" t="s">
        <v>725</v>
      </c>
      <c r="F104" s="70"/>
      <c r="G104" s="103" t="s">
        <v>718</v>
      </c>
      <c r="H104" s="68">
        <v>1</v>
      </c>
      <c r="I104" s="69">
        <v>1</v>
      </c>
      <c r="J104" s="69">
        <v>1</v>
      </c>
      <c r="K104" s="103">
        <v>1</v>
      </c>
      <c r="L104" s="90"/>
      <c r="M104" s="78"/>
      <c r="N104" s="78"/>
      <c r="O104" s="91"/>
      <c r="P104" s="68">
        <f t="shared" ref="P104:S108" si="73">H104*0.7</f>
        <v>0.7</v>
      </c>
      <c r="Q104" s="69">
        <f t="shared" si="73"/>
        <v>0.7</v>
      </c>
      <c r="R104" s="69">
        <f t="shared" si="73"/>
        <v>0.7</v>
      </c>
      <c r="S104" s="103">
        <f t="shared" si="73"/>
        <v>0.7</v>
      </c>
      <c r="T104" s="99">
        <v>20</v>
      </c>
      <c r="U104" s="71"/>
      <c r="V104" s="457">
        <f>V103*($U$152/$U$151)</f>
        <v>22.778925619834713</v>
      </c>
      <c r="W104" s="457">
        <f t="shared" ref="W104" si="74">W103*($U$152/$U$151)</f>
        <v>22.04476084710744</v>
      </c>
      <c r="X104" s="457">
        <f t="shared" ref="X104" si="75">X103*($U$152/$U$151)</f>
        <v>20.839163429752066</v>
      </c>
      <c r="Y104" s="457">
        <f t="shared" ref="Y104" si="76">Y103*($U$152/$U$151)</f>
        <v>18.635439049586779</v>
      </c>
      <c r="Z104" s="457">
        <v>0.25</v>
      </c>
      <c r="AA104" s="112"/>
      <c r="AB104" s="90"/>
      <c r="AC104" s="119"/>
      <c r="AD104" s="119"/>
      <c r="AE104" s="119"/>
      <c r="AF104" s="109">
        <f t="shared" si="57"/>
        <v>1.1983680000000001</v>
      </c>
      <c r="AG104" s="112"/>
      <c r="AH104" s="112">
        <v>2019</v>
      </c>
      <c r="AI104" s="112">
        <v>38</v>
      </c>
      <c r="AK104" s="155"/>
      <c r="AL104" s="154" t="str">
        <f t="shared" si="62"/>
        <v>R-SW_Det_WOO_N1</v>
      </c>
      <c r="AM104" s="154" t="str">
        <f t="shared" si="63"/>
        <v>Residential Biomass Boiler - New 2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68" t="str">
        <f>"*R-SH_Det"&amp;"_"&amp;"FPL"&amp;"_N1"</f>
        <v>*R-SH_Det_FPL_N1</v>
      </c>
      <c r="D105" s="66" t="s">
        <v>1039</v>
      </c>
      <c r="E105" s="70" t="s">
        <v>1037</v>
      </c>
      <c r="F105" s="70"/>
      <c r="G105" s="103" t="s">
        <v>400</v>
      </c>
      <c r="H105" s="68"/>
      <c r="I105" s="69"/>
      <c r="J105" s="69"/>
      <c r="K105" s="103"/>
      <c r="L105" s="90"/>
      <c r="M105" s="78"/>
      <c r="N105" s="78"/>
      <c r="O105" s="91"/>
      <c r="P105" s="68"/>
      <c r="Q105" s="69"/>
      <c r="R105" s="69"/>
      <c r="S105" s="103"/>
      <c r="T105" s="99"/>
      <c r="U105" s="71"/>
      <c r="V105" s="457"/>
      <c r="W105" s="457"/>
      <c r="X105" s="457"/>
      <c r="Y105" s="457"/>
      <c r="Z105" s="519"/>
      <c r="AA105" s="112"/>
      <c r="AB105" s="90"/>
      <c r="AC105" s="119"/>
      <c r="AD105" s="119"/>
      <c r="AE105" s="119"/>
      <c r="AF105" s="109">
        <f t="shared" si="57"/>
        <v>0.94608000000000003</v>
      </c>
      <c r="AG105" s="112"/>
      <c r="AH105" s="111">
        <v>2019</v>
      </c>
      <c r="AI105" s="112">
        <v>30</v>
      </c>
      <c r="AK105" s="155"/>
      <c r="AL105" s="154" t="s">
        <v>1042</v>
      </c>
      <c r="AM105" s="154" t="str">
        <f t="shared" si="63"/>
        <v>Residential  Fireplace New 1 - SH</v>
      </c>
      <c r="AN105" s="152" t="s">
        <v>16</v>
      </c>
      <c r="AO105" s="152" t="s">
        <v>433</v>
      </c>
      <c r="AP105" s="155"/>
      <c r="AQ105" s="155"/>
    </row>
    <row r="106" spans="3:43" ht="15.75" thickBot="1" x14ac:dyDescent="0.3">
      <c r="C106" s="68" t="str">
        <f>"*R-SW_Det"&amp;"_"&amp;"FPL"&amp;"_N1"</f>
        <v>*R-SW_Det_FPL_N1</v>
      </c>
      <c r="D106" s="66" t="s">
        <v>1041</v>
      </c>
      <c r="E106" s="70" t="s">
        <v>1037</v>
      </c>
      <c r="F106" s="70"/>
      <c r="G106" s="103" t="s">
        <v>718</v>
      </c>
      <c r="H106" s="68"/>
      <c r="I106" s="69"/>
      <c r="J106" s="69"/>
      <c r="K106" s="103"/>
      <c r="L106" s="90"/>
      <c r="M106" s="78"/>
      <c r="N106" s="78"/>
      <c r="O106" s="91"/>
      <c r="P106" s="68"/>
      <c r="Q106" s="69"/>
      <c r="R106" s="69"/>
      <c r="S106" s="103"/>
      <c r="T106" s="99"/>
      <c r="U106" s="71"/>
      <c r="V106" s="457"/>
      <c r="W106" s="457"/>
      <c r="X106" s="457"/>
      <c r="Y106" s="457"/>
      <c r="Z106" s="519"/>
      <c r="AA106" s="112"/>
      <c r="AB106" s="90"/>
      <c r="AC106" s="119"/>
      <c r="AD106" s="119"/>
      <c r="AE106" s="119"/>
      <c r="AF106" s="109">
        <f t="shared" si="57"/>
        <v>1.1983680000000001</v>
      </c>
      <c r="AG106" s="112"/>
      <c r="AH106" s="112">
        <v>2019</v>
      </c>
      <c r="AI106" s="112">
        <v>38</v>
      </c>
      <c r="AK106" s="155"/>
      <c r="AL106" s="154" t="s">
        <v>1043</v>
      </c>
      <c r="AM106" s="154" t="str">
        <f t="shared" si="63"/>
        <v>Residential  Fireplace with back boiler New 1 - SH +WH</v>
      </c>
      <c r="AN106" s="155" t="s">
        <v>16</v>
      </c>
      <c r="AO106" s="155" t="s">
        <v>433</v>
      </c>
      <c r="AP106" s="155"/>
      <c r="AQ106" s="155"/>
    </row>
    <row r="107" spans="3:43" ht="15.75" thickBot="1" x14ac:dyDescent="0.3">
      <c r="C107" s="65" t="s">
        <v>698</v>
      </c>
      <c r="D107" s="66" t="s">
        <v>699</v>
      </c>
      <c r="E107" s="135" t="s">
        <v>729</v>
      </c>
      <c r="F107" s="135"/>
      <c r="G107" s="102" t="s">
        <v>400</v>
      </c>
      <c r="H107" s="86">
        <v>1</v>
      </c>
      <c r="I107" s="75">
        <v>1</v>
      </c>
      <c r="J107" s="75">
        <v>1</v>
      </c>
      <c r="K107" s="104">
        <v>1</v>
      </c>
      <c r="L107" s="88"/>
      <c r="M107" s="77"/>
      <c r="N107" s="77"/>
      <c r="O107" s="89"/>
      <c r="P107" s="86">
        <f t="shared" si="73"/>
        <v>0.7</v>
      </c>
      <c r="Q107" s="75">
        <f t="shared" si="73"/>
        <v>0.7</v>
      </c>
      <c r="R107" s="75">
        <f t="shared" si="73"/>
        <v>0.7</v>
      </c>
      <c r="S107" s="104">
        <f t="shared" si="73"/>
        <v>0.7</v>
      </c>
      <c r="T107" s="100">
        <v>20</v>
      </c>
      <c r="U107" s="87"/>
      <c r="V107" s="108">
        <f>(JRC_Data!BB7/1000)*$U$153</f>
        <v>6.6</v>
      </c>
      <c r="W107" s="108">
        <f>(JRC_Data!BC7/1000)*$U$153</f>
        <v>6.6</v>
      </c>
      <c r="X107" s="108">
        <f>(JRC_Data!BD7/1000)*$U$153</f>
        <v>6.6</v>
      </c>
      <c r="Y107" s="108">
        <f>(JRC_Data!BE7/1000)*$U$153</f>
        <v>6.6</v>
      </c>
      <c r="Z107" s="104">
        <f>JRC_Data!BL7/1000</f>
        <v>0.27</v>
      </c>
      <c r="AA107" s="111"/>
      <c r="AB107" s="88"/>
      <c r="AC107" s="118"/>
      <c r="AD107" s="118"/>
      <c r="AE107" s="118"/>
      <c r="AF107" s="108">
        <f t="shared" si="57"/>
        <v>0.94608000000000003</v>
      </c>
      <c r="AG107" s="111"/>
      <c r="AH107" s="111">
        <v>2019</v>
      </c>
      <c r="AI107" s="111">
        <v>30</v>
      </c>
      <c r="AK107" s="155"/>
      <c r="AL107" s="154" t="str">
        <f t="shared" si="62"/>
        <v>*R-H_Apt_HVO_N1</v>
      </c>
      <c r="AM107" s="154" t="str">
        <f t="shared" si="63"/>
        <v>Residential  Hydrotreated vegetable oil - New 1 SH</v>
      </c>
      <c r="AN107" s="155" t="s">
        <v>16</v>
      </c>
      <c r="AO107" s="155" t="s">
        <v>433</v>
      </c>
      <c r="AP107" s="155"/>
      <c r="AQ107" s="155" t="s">
        <v>309</v>
      </c>
    </row>
    <row r="108" spans="3:43" ht="15.75" thickBot="1" x14ac:dyDescent="0.3">
      <c r="C108" s="68" t="s">
        <v>991</v>
      </c>
      <c r="D108" s="69" t="s">
        <v>992</v>
      </c>
      <c r="E108" s="70" t="s">
        <v>729</v>
      </c>
      <c r="F108" s="70"/>
      <c r="G108" s="103" t="s">
        <v>718</v>
      </c>
      <c r="H108" s="329">
        <v>1</v>
      </c>
      <c r="I108" s="72">
        <v>1</v>
      </c>
      <c r="J108" s="72">
        <v>1</v>
      </c>
      <c r="K108" s="105">
        <v>1</v>
      </c>
      <c r="L108" s="95"/>
      <c r="M108" s="96"/>
      <c r="N108" s="96"/>
      <c r="O108" s="97"/>
      <c r="P108" s="329">
        <f t="shared" si="73"/>
        <v>0.7</v>
      </c>
      <c r="Q108" s="72">
        <f t="shared" si="73"/>
        <v>0.7</v>
      </c>
      <c r="R108" s="72">
        <f t="shared" si="73"/>
        <v>0.7</v>
      </c>
      <c r="S108" s="105">
        <f t="shared" si="73"/>
        <v>0.7</v>
      </c>
      <c r="T108" s="101">
        <v>20</v>
      </c>
      <c r="U108" s="74"/>
      <c r="V108" s="110">
        <f>(JRC_Data!BB7/1000)*$U$154</f>
        <v>7.1223938223938221</v>
      </c>
      <c r="W108" s="110">
        <f>(JRC_Data!BC7/1000)*$U$154</f>
        <v>7.1223938223938221</v>
      </c>
      <c r="X108" s="110">
        <f>(JRC_Data!BD7/1000)*$U$154</f>
        <v>7.1223938223938221</v>
      </c>
      <c r="Y108" s="110">
        <f>(JRC_Data!BE7/1000)*$U$154</f>
        <v>7.1223938223938221</v>
      </c>
      <c r="Z108" s="103">
        <f>JRC_Data!BL7/1000</f>
        <v>0.27</v>
      </c>
      <c r="AA108" s="112"/>
      <c r="AB108" s="90"/>
      <c r="AC108" s="119"/>
      <c r="AD108" s="119"/>
      <c r="AE108" s="119"/>
      <c r="AF108" s="109">
        <f t="shared" si="57"/>
        <v>1.1983680000000001</v>
      </c>
      <c r="AG108" s="113"/>
      <c r="AH108" s="113">
        <v>2019</v>
      </c>
      <c r="AI108" s="113">
        <v>38</v>
      </c>
      <c r="AK108" s="155"/>
      <c r="AL108" s="154" t="str">
        <f t="shared" si="62"/>
        <v>*R-H_Apt_HVO_N2</v>
      </c>
      <c r="AM108" s="154" t="str">
        <f t="shared" si="63"/>
        <v>Residential  Hydrotreated vegetable oil - New 1 SH + WH</v>
      </c>
      <c r="AN108" s="155" t="s">
        <v>16</v>
      </c>
      <c r="AO108" s="155" t="s">
        <v>433</v>
      </c>
      <c r="AP108" s="155"/>
      <c r="AQ108" s="155" t="s">
        <v>309</v>
      </c>
    </row>
    <row r="109" spans="3:43" ht="15.75" thickBot="1" x14ac:dyDescent="0.3">
      <c r="C109" s="79" t="s">
        <v>735</v>
      </c>
      <c r="D109" s="79"/>
      <c r="E109" s="80"/>
      <c r="F109" s="80"/>
      <c r="G109" s="80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0"/>
      <c r="U109" s="80"/>
      <c r="V109" s="79"/>
      <c r="W109" s="79"/>
      <c r="X109" s="79"/>
      <c r="Y109" s="79"/>
      <c r="Z109" s="79"/>
      <c r="AA109" s="80"/>
      <c r="AB109" s="82"/>
      <c r="AC109" s="82"/>
      <c r="AD109" s="82"/>
      <c r="AE109" s="82"/>
      <c r="AF109" s="79"/>
      <c r="AG109" s="80"/>
      <c r="AH109" s="80"/>
      <c r="AI109" s="80"/>
      <c r="AK109" s="156"/>
      <c r="AL109" s="157" t="str">
        <f>C110</f>
        <v>R-SH_Det_ELC_N1</v>
      </c>
      <c r="AM109" s="157" t="str">
        <f>D110</f>
        <v>Residential Electric Heater - New 1 SH</v>
      </c>
      <c r="AN109" s="156" t="s">
        <v>16</v>
      </c>
      <c r="AO109" s="156" t="s">
        <v>433</v>
      </c>
      <c r="AP109" s="156"/>
      <c r="AQ109" s="156" t="s">
        <v>309</v>
      </c>
    </row>
    <row r="110" spans="3:43" ht="15" x14ac:dyDescent="0.25">
      <c r="C110" s="142" t="str">
        <f>"R-SH_Det"&amp;"_"&amp;RIGHT(E110,3)&amp;"_N1"</f>
        <v>R-SH_Det_ELC_N1</v>
      </c>
      <c r="D110" s="126" t="s">
        <v>343</v>
      </c>
      <c r="E110" s="167" t="s">
        <v>406</v>
      </c>
      <c r="F110" s="167"/>
      <c r="G110" s="127" t="s">
        <v>400</v>
      </c>
      <c r="H110" s="326">
        <v>1</v>
      </c>
      <c r="I110" s="327">
        <v>1</v>
      </c>
      <c r="J110" s="327">
        <v>1</v>
      </c>
      <c r="K110" s="328">
        <v>1</v>
      </c>
      <c r="L110" s="120"/>
      <c r="M110" s="121"/>
      <c r="N110" s="121"/>
      <c r="O110" s="122"/>
      <c r="P110" s="120"/>
      <c r="Q110" s="121"/>
      <c r="R110" s="121"/>
      <c r="S110" s="122"/>
      <c r="T110" s="123">
        <v>20</v>
      </c>
      <c r="U110" s="124"/>
      <c r="V110" s="125">
        <f>(JRC_Data!BB48/1000)*($U$153/$U$151)</f>
        <v>4.2809917355371896</v>
      </c>
      <c r="W110" s="125">
        <f>(JRC_Data!BC48/1000)*($U$153/$U$151)</f>
        <v>4.2809917355371896</v>
      </c>
      <c r="X110" s="125">
        <f>(JRC_Data!BD48/1000)*($U$153/$U$151)</f>
        <v>4.2809917355371896</v>
      </c>
      <c r="Y110" s="125">
        <f>(JRC_Data!BE48/1000)*($U$153/$U$151)</f>
        <v>4.2809917355371896</v>
      </c>
      <c r="Z110" s="128">
        <f>JRC_Data!BL48/1000</f>
        <v>0.05</v>
      </c>
      <c r="AA110" s="129"/>
      <c r="AB110" s="130"/>
      <c r="AC110" s="130"/>
      <c r="AD110" s="130"/>
      <c r="AE110" s="130"/>
      <c r="AF110" s="128">
        <f t="shared" si="57"/>
        <v>0.94608000000000003</v>
      </c>
      <c r="AG110" s="129"/>
      <c r="AH110" s="129">
        <v>2019</v>
      </c>
      <c r="AI110" s="129">
        <v>30</v>
      </c>
      <c r="AK110" s="150"/>
      <c r="AL110" s="149" t="str">
        <f t="shared" ref="AL110:AL116" si="77">C112</f>
        <v>R-SH_Det_ELC_HPN1</v>
      </c>
      <c r="AM110" s="149" t="str">
        <f t="shared" ref="AM110:AM116" si="78">D112</f>
        <v>Residential Electric Heat Pump - Air to Air - SH</v>
      </c>
      <c r="AN110" s="150" t="s">
        <v>16</v>
      </c>
      <c r="AO110" s="150" t="s">
        <v>433</v>
      </c>
      <c r="AP110" s="150"/>
      <c r="AQ110" s="150" t="s">
        <v>309</v>
      </c>
    </row>
    <row r="111" spans="3:43" ht="15" x14ac:dyDescent="0.25">
      <c r="C111" s="79" t="s">
        <v>736</v>
      </c>
      <c r="D111" s="79"/>
      <c r="E111" s="80"/>
      <c r="F111" s="80"/>
      <c r="G111" s="80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0"/>
      <c r="U111" s="80"/>
      <c r="V111" s="79"/>
      <c r="W111" s="79"/>
      <c r="X111" s="79"/>
      <c r="Y111" s="79"/>
      <c r="Z111" s="79"/>
      <c r="AA111" s="80"/>
      <c r="AB111" s="82"/>
      <c r="AC111" s="82"/>
      <c r="AD111" s="82"/>
      <c r="AE111" s="82"/>
      <c r="AF111" s="79"/>
      <c r="AG111" s="80"/>
      <c r="AH111" s="80"/>
      <c r="AI111" s="80"/>
      <c r="AK111" s="152"/>
      <c r="AL111" s="151" t="str">
        <f t="shared" si="77"/>
        <v>R-HC_Det_ELC_HPN1</v>
      </c>
      <c r="AM111" s="151" t="str">
        <f t="shared" si="78"/>
        <v>Residential Electric Heat Pump - Air to Air - SH + SC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" x14ac:dyDescent="0.25">
      <c r="C112" s="65" t="str">
        <f>"R-SH_Det"&amp;"_"&amp;RIGHT(E112,3)&amp;"_HPN1"</f>
        <v>R-SH_Det_ELC_HPN1</v>
      </c>
      <c r="D112" s="66" t="s">
        <v>345</v>
      </c>
      <c r="E112" s="135" t="s">
        <v>406</v>
      </c>
      <c r="F112" s="135" t="s">
        <v>1035</v>
      </c>
      <c r="G112" s="102" t="s">
        <v>400</v>
      </c>
      <c r="H112" s="65">
        <v>1</v>
      </c>
      <c r="I112" s="66">
        <v>1.0666666666666667</v>
      </c>
      <c r="J112" s="66">
        <v>1.2333333333333334</v>
      </c>
      <c r="K112" s="102">
        <v>1.3333333333333333</v>
      </c>
      <c r="L112" s="65"/>
      <c r="M112" s="66"/>
      <c r="N112" s="66"/>
      <c r="O112" s="102"/>
      <c r="P112" s="65"/>
      <c r="Q112" s="66"/>
      <c r="R112" s="66"/>
      <c r="S112" s="102"/>
      <c r="T112" s="98">
        <v>20</v>
      </c>
      <c r="U112" s="94"/>
      <c r="V112" s="65">
        <f>(JRC_Data!BB16/1000)*($U$153/$U$152)</f>
        <v>2.3257142857142861</v>
      </c>
      <c r="W112" s="65">
        <f>(JRC_Data!BC16/1000)*($U$153/$U$152)</f>
        <v>2.2200000000000002</v>
      </c>
      <c r="X112" s="65">
        <f>(JRC_Data!BD16/1000)*($U$153/$U$152)</f>
        <v>2.0085714285714285</v>
      </c>
      <c r="Y112" s="65">
        <f>(JRC_Data!BE16/1000)*($U$153/$U$152)</f>
        <v>1.902857142857143</v>
      </c>
      <c r="Z112" s="131">
        <f>JRC_Data!BL16/1000</f>
        <v>3.4000000000000002E-2</v>
      </c>
      <c r="AA112" s="131"/>
      <c r="AB112" s="131"/>
      <c r="AC112" s="131"/>
      <c r="AD112" s="131"/>
      <c r="AE112" s="131"/>
      <c r="AF112" s="131">
        <f t="shared" si="57"/>
        <v>0.31536000000000003</v>
      </c>
      <c r="AG112" s="134"/>
      <c r="AH112" s="134">
        <v>2100</v>
      </c>
      <c r="AI112" s="134">
        <v>10</v>
      </c>
      <c r="AK112" s="152"/>
      <c r="AL112" s="151" t="str">
        <f t="shared" si="77"/>
        <v>R-SH_Det_ELC_HPN2</v>
      </c>
      <c r="AM112" s="151" t="str">
        <f t="shared" si="78"/>
        <v>Residential Electric Heat Pump - Air to Water - SH</v>
      </c>
      <c r="AN112" s="152" t="s">
        <v>16</v>
      </c>
      <c r="AO112" s="152" t="s">
        <v>433</v>
      </c>
      <c r="AP112" s="152"/>
      <c r="AQ112" s="152" t="s">
        <v>309</v>
      </c>
    </row>
    <row r="113" spans="3:43" ht="15" x14ac:dyDescent="0.25">
      <c r="C113" s="68" t="str">
        <f>"R-HC_Det"&amp;"_"&amp;RIGHT(E113,3)&amp;"_HPN1"</f>
        <v>R-HC_Det_ELC_HPN1</v>
      </c>
      <c r="D113" s="69" t="s">
        <v>346</v>
      </c>
      <c r="E113" s="70" t="s">
        <v>406</v>
      </c>
      <c r="F113" s="70" t="s">
        <v>1035</v>
      </c>
      <c r="G113" s="103" t="s">
        <v>719</v>
      </c>
      <c r="H113" s="68">
        <v>1</v>
      </c>
      <c r="I113" s="69">
        <v>1.0666666666666667</v>
      </c>
      <c r="J113" s="69">
        <v>1.2333333333333334</v>
      </c>
      <c r="K113" s="103">
        <v>1.3333333333333333</v>
      </c>
      <c r="L113" s="68">
        <v>1</v>
      </c>
      <c r="M113" s="69">
        <v>1.0666666666666667</v>
      </c>
      <c r="N113" s="69">
        <v>1.2333333333333334</v>
      </c>
      <c r="O113" s="103">
        <v>1.3333333333333333</v>
      </c>
      <c r="P113" s="68"/>
      <c r="Q113" s="69"/>
      <c r="R113" s="69"/>
      <c r="S113" s="103"/>
      <c r="T113" s="99">
        <v>20</v>
      </c>
      <c r="U113" s="91"/>
      <c r="V113" s="68">
        <f>(JRC_Data!BB16/1000)*($U$154/$U$152)</f>
        <v>2.5097959183673471</v>
      </c>
      <c r="W113" s="68">
        <f>(JRC_Data!BC16/1000)*($U$154/$U$152)</f>
        <v>2.3957142857142855</v>
      </c>
      <c r="X113" s="68">
        <f>(JRC_Data!BD16/1000)*($U$154/$U$152)</f>
        <v>2.1675510204081632</v>
      </c>
      <c r="Y113" s="68">
        <f>(JRC_Data!BE16/1000)*($U$154/$U$152)</f>
        <v>2.053469387755102</v>
      </c>
      <c r="Z113" s="109">
        <f>JRC_Data!BL16/1000</f>
        <v>3.4000000000000002E-2</v>
      </c>
      <c r="AA113" s="109"/>
      <c r="AB113" s="109"/>
      <c r="AC113" s="109"/>
      <c r="AD113" s="109"/>
      <c r="AE113" s="109"/>
      <c r="AF113" s="109">
        <f t="shared" si="57"/>
        <v>0.37843200000000005</v>
      </c>
      <c r="AG113" s="112"/>
      <c r="AH113" s="112">
        <v>2100</v>
      </c>
      <c r="AI113" s="112">
        <v>12</v>
      </c>
      <c r="AK113" s="152"/>
      <c r="AL113" s="151" t="str">
        <f t="shared" si="77"/>
        <v>R-SW_Det_ELC_HPN1</v>
      </c>
      <c r="AM113" s="151" t="str">
        <f t="shared" si="78"/>
        <v>Residential Electric Heat Pump - Air to Water - SH + WH</v>
      </c>
      <c r="AN113" s="152" t="s">
        <v>16</v>
      </c>
      <c r="AO113" s="152" t="s">
        <v>433</v>
      </c>
      <c r="AP113" s="152"/>
      <c r="AQ113" s="152" t="s">
        <v>309</v>
      </c>
    </row>
    <row r="114" spans="3:43" ht="15" x14ac:dyDescent="0.25">
      <c r="C114" s="86" t="str">
        <f>"R-SH_Det"&amp;"_"&amp;RIGHT(E114,3)&amp;"_HPN2"</f>
        <v>R-SH_Det_ELC_HPN2</v>
      </c>
      <c r="D114" s="75" t="s">
        <v>347</v>
      </c>
      <c r="E114" s="76" t="s">
        <v>406</v>
      </c>
      <c r="F114" s="76" t="s">
        <v>1035</v>
      </c>
      <c r="G114" s="104" t="s">
        <v>400</v>
      </c>
      <c r="H114" s="86">
        <v>1</v>
      </c>
      <c r="I114" s="75">
        <v>1.0999999999999999</v>
      </c>
      <c r="J114" s="75">
        <v>1.2333333333333334</v>
      </c>
      <c r="K114" s="104">
        <v>1.3333333333333333</v>
      </c>
      <c r="L114" s="86"/>
      <c r="M114" s="75"/>
      <c r="N114" s="75"/>
      <c r="O114" s="104"/>
      <c r="P114" s="86"/>
      <c r="Q114" s="75"/>
      <c r="R114" s="75"/>
      <c r="S114" s="104"/>
      <c r="T114" s="100">
        <v>20</v>
      </c>
      <c r="U114" s="89"/>
      <c r="V114" s="456">
        <v>9.8469999999999995</v>
      </c>
      <c r="W114" s="456">
        <f>V114*0.91</f>
        <v>8.9607700000000001</v>
      </c>
      <c r="X114" s="456">
        <f>W114*0.91</f>
        <v>8.1543007000000003</v>
      </c>
      <c r="Y114" s="456">
        <f>V114*0.82</f>
        <v>8.0745399999999989</v>
      </c>
      <c r="Z114" s="456">
        <v>0.1</v>
      </c>
      <c r="AA114" s="108"/>
      <c r="AB114" s="108"/>
      <c r="AC114" s="108"/>
      <c r="AD114" s="108"/>
      <c r="AE114" s="108"/>
      <c r="AF114" s="108">
        <f t="shared" si="57"/>
        <v>0.31536000000000003</v>
      </c>
      <c r="AG114" s="111"/>
      <c r="AH114" s="111">
        <v>2019</v>
      </c>
      <c r="AI114" s="111">
        <v>10</v>
      </c>
      <c r="AK114" s="286"/>
      <c r="AL114" s="151" t="str">
        <f t="shared" si="77"/>
        <v>R-SW_Det_ELC_HPN2</v>
      </c>
      <c r="AM114" s="151" t="str">
        <f t="shared" si="78"/>
        <v>Residential Electric Heat Pump - Air to Water - SH + WH + Solar</v>
      </c>
      <c r="AN114" s="152" t="s">
        <v>16</v>
      </c>
      <c r="AO114" s="152" t="s">
        <v>433</v>
      </c>
      <c r="AP114" s="152"/>
      <c r="AQ114" s="152" t="s">
        <v>309</v>
      </c>
    </row>
    <row r="115" spans="3:43" ht="15" x14ac:dyDescent="0.25">
      <c r="C115" s="68" t="str">
        <f>"R-SW_Det"&amp;"_"&amp;RIGHT(E115,3)&amp;"_HPN1"</f>
        <v>R-SW_Det_ELC_HPN1</v>
      </c>
      <c r="D115" s="69" t="s">
        <v>348</v>
      </c>
      <c r="E115" s="70" t="s">
        <v>406</v>
      </c>
      <c r="F115" s="70" t="s">
        <v>1035</v>
      </c>
      <c r="G115" s="103" t="s">
        <v>718</v>
      </c>
      <c r="H115" s="68">
        <v>1</v>
      </c>
      <c r="I115" s="69">
        <v>1.0999999999999999</v>
      </c>
      <c r="J115" s="69">
        <v>1.2333333333333334</v>
      </c>
      <c r="K115" s="103">
        <v>1.3333333333333333</v>
      </c>
      <c r="L115" s="68"/>
      <c r="M115" s="69"/>
      <c r="N115" s="69"/>
      <c r="O115" s="103"/>
      <c r="P115" s="68">
        <f>H115*0.7</f>
        <v>0.7</v>
      </c>
      <c r="Q115" s="69">
        <f t="shared" ref="Q115:Q116" si="79">I115*0.7</f>
        <v>0.76999999999999991</v>
      </c>
      <c r="R115" s="69">
        <f t="shared" ref="R115:R116" si="80">J115*0.7</f>
        <v>0.86333333333333329</v>
      </c>
      <c r="S115" s="103">
        <f t="shared" ref="S115:S116" si="81">K115*0.7</f>
        <v>0.93333333333333324</v>
      </c>
      <c r="T115" s="99">
        <v>20</v>
      </c>
      <c r="U115" s="91"/>
      <c r="V115" s="457">
        <f>V114*($U$150/$U$149)</f>
        <v>9.9300970464135023</v>
      </c>
      <c r="W115" s="457">
        <f t="shared" ref="W115" si="82">W114*($U$150/$U$149)</f>
        <v>9.0363883122362889</v>
      </c>
      <c r="X115" s="457">
        <f t="shared" ref="X115" si="83">X114*($U$150/$U$149)</f>
        <v>8.2231133641350223</v>
      </c>
      <c r="Y115" s="457">
        <f t="shared" ref="Y115" si="84">Y114*($U$150/$U$149)</f>
        <v>8.1426795780590719</v>
      </c>
      <c r="Z115" s="457">
        <v>0.1</v>
      </c>
      <c r="AA115" s="109"/>
      <c r="AB115" s="109"/>
      <c r="AC115" s="109"/>
      <c r="AD115" s="109"/>
      <c r="AE115" s="109"/>
      <c r="AF115" s="109">
        <f t="shared" si="57"/>
        <v>0.37843200000000005</v>
      </c>
      <c r="AG115" s="112"/>
      <c r="AH115" s="112">
        <v>2019</v>
      </c>
      <c r="AI115" s="112">
        <v>12</v>
      </c>
      <c r="AK115" s="286"/>
      <c r="AL115" s="151" t="str">
        <f t="shared" si="77"/>
        <v>R-SH_Det_ELC_HPN3</v>
      </c>
      <c r="AM115" s="151" t="str">
        <f t="shared" si="78"/>
        <v>Residential Electric Heat Pump - Ground to Water - SH</v>
      </c>
      <c r="AN115" s="152" t="s">
        <v>16</v>
      </c>
      <c r="AO115" s="152" t="s">
        <v>433</v>
      </c>
      <c r="AP115" s="152"/>
      <c r="AQ115" s="152" t="s">
        <v>309</v>
      </c>
    </row>
    <row r="116" spans="3:43" ht="15.75" thickBot="1" x14ac:dyDescent="0.3">
      <c r="C116" s="86" t="str">
        <f>"R-SW_Det"&amp;"_"&amp;RIGHT(E116,3)&amp;"_HPN2"</f>
        <v>R-SW_Det_ELC_HPN2</v>
      </c>
      <c r="D116" s="75" t="s">
        <v>349</v>
      </c>
      <c r="E116" s="76" t="s">
        <v>1025</v>
      </c>
      <c r="F116" s="76" t="s">
        <v>1035</v>
      </c>
      <c r="G116" s="104" t="s">
        <v>718</v>
      </c>
      <c r="H116" s="86">
        <v>1</v>
      </c>
      <c r="I116" s="75">
        <v>1.1100000000000001</v>
      </c>
      <c r="J116" s="75">
        <v>1.19</v>
      </c>
      <c r="K116" s="104">
        <v>1.19</v>
      </c>
      <c r="L116" s="86"/>
      <c r="M116" s="75"/>
      <c r="N116" s="75"/>
      <c r="O116" s="104"/>
      <c r="P116" s="86">
        <f>H116*0.7</f>
        <v>0.7</v>
      </c>
      <c r="Q116" s="75">
        <f t="shared" si="79"/>
        <v>0.77700000000000002</v>
      </c>
      <c r="R116" s="75">
        <f t="shared" si="80"/>
        <v>0.83299999999999996</v>
      </c>
      <c r="S116" s="104">
        <f t="shared" si="81"/>
        <v>0.83299999999999996</v>
      </c>
      <c r="T116" s="100">
        <v>20</v>
      </c>
      <c r="U116" s="89"/>
      <c r="V116" s="86">
        <f>((JRC_Data!BB18+JRC_Data!BB45)*0.8/1000)*($U$154/$U$151)</f>
        <v>15.153057851239668</v>
      </c>
      <c r="W116" s="86">
        <f>((JRC_Data!BC18+JRC_Data!BC45)*0.8/1000)*($U$154/$U$151)</f>
        <v>13.95190082644628</v>
      </c>
      <c r="X116" s="86">
        <f>((JRC_Data!BD18+JRC_Data!BD45)*0.8/1000)*($U$154/$U$151)</f>
        <v>13.489917355371901</v>
      </c>
      <c r="Y116" s="86">
        <f>((JRC_Data!BE18+JRC_Data!BE45)*0.8/1000)*($U$154/$U$151)</f>
        <v>11.734380165289256</v>
      </c>
      <c r="Z116" s="108">
        <f>((JRC_Data!BL18+JRC_Data!BL45)*0.8)/1000</f>
        <v>0.16960000000000003</v>
      </c>
      <c r="AA116" s="108"/>
      <c r="AB116" s="118">
        <v>0.1</v>
      </c>
      <c r="AC116" s="108"/>
      <c r="AD116" s="108"/>
      <c r="AE116" s="290">
        <v>5</v>
      </c>
      <c r="AF116" s="108">
        <f t="shared" si="57"/>
        <v>0.37843200000000005</v>
      </c>
      <c r="AG116" s="111"/>
      <c r="AH116" s="111">
        <v>2019</v>
      </c>
      <c r="AI116" s="111">
        <v>12</v>
      </c>
      <c r="AK116" s="158"/>
      <c r="AL116" s="154" t="str">
        <f t="shared" si="77"/>
        <v>R-HC_Det_ELC_HPN2</v>
      </c>
      <c r="AM116" s="154" t="str">
        <f t="shared" si="78"/>
        <v>Residential Electric Heat Pump - Ground to Water - SH + SC</v>
      </c>
      <c r="AN116" s="155" t="s">
        <v>16</v>
      </c>
      <c r="AO116" s="155" t="s">
        <v>433</v>
      </c>
      <c r="AP116" s="155"/>
      <c r="AQ116" s="155" t="s">
        <v>309</v>
      </c>
    </row>
    <row r="117" spans="3:43" ht="15" x14ac:dyDescent="0.25">
      <c r="C117" s="68" t="str">
        <f>"R-SH_Det"&amp;"_"&amp;RIGHT(E117,3)&amp;"_HPN3"</f>
        <v>R-SH_Det_ELC_HPN3</v>
      </c>
      <c r="D117" s="69" t="s">
        <v>350</v>
      </c>
      <c r="E117" s="70" t="s">
        <v>406</v>
      </c>
      <c r="F117" s="70" t="s">
        <v>1035</v>
      </c>
      <c r="G117" s="103" t="s">
        <v>400</v>
      </c>
      <c r="H117" s="68">
        <v>1.0999999999999999</v>
      </c>
      <c r="I117" s="69">
        <v>1.1666666666666667</v>
      </c>
      <c r="J117" s="69">
        <v>1.3333333333333333</v>
      </c>
      <c r="K117" s="103">
        <v>1.5</v>
      </c>
      <c r="L117" s="68"/>
      <c r="M117" s="69"/>
      <c r="N117" s="69"/>
      <c r="O117" s="103"/>
      <c r="P117" s="68"/>
      <c r="Q117" s="69"/>
      <c r="R117" s="69"/>
      <c r="S117" s="103"/>
      <c r="T117" s="99">
        <v>20</v>
      </c>
      <c r="U117" s="91"/>
      <c r="V117" s="68">
        <f>(JRC_Data!BB20/1000)*($U$153/$U$152)</f>
        <v>14.8</v>
      </c>
      <c r="W117" s="68">
        <f>(JRC_Data!BC20/1000)*($U$153/$U$152)</f>
        <v>13.742857142857144</v>
      </c>
      <c r="X117" s="68">
        <f>(JRC_Data!BD20/1000)*($U$153/$U$152)</f>
        <v>12.685714285714287</v>
      </c>
      <c r="Y117" s="68">
        <f>(JRC_Data!BE20/1000)*($U$153/$U$152)</f>
        <v>11.628571428571428</v>
      </c>
      <c r="Z117" s="109">
        <f>JRC_Data!BL20/1000</f>
        <v>0.2</v>
      </c>
      <c r="AA117" s="109"/>
      <c r="AB117" s="109"/>
      <c r="AC117" s="109"/>
      <c r="AD117" s="109"/>
      <c r="AE117" s="109"/>
      <c r="AF117" s="109">
        <f t="shared" si="57"/>
        <v>0.31536000000000003</v>
      </c>
      <c r="AG117" s="112"/>
      <c r="AH117" s="112">
        <v>2019</v>
      </c>
      <c r="AI117" s="112">
        <v>10</v>
      </c>
      <c r="AK117" s="159"/>
      <c r="AL117" s="149" t="str">
        <f>C120</f>
        <v>R-SW_Det_GAS_HPN1</v>
      </c>
      <c r="AM117" s="149" t="str">
        <f>D120</f>
        <v>Residential Gas Absorption Heat Pump - Air to Water - SH + WH</v>
      </c>
      <c r="AN117" s="150" t="s">
        <v>16</v>
      </c>
      <c r="AO117" s="150" t="s">
        <v>433</v>
      </c>
      <c r="AP117" s="150"/>
      <c r="AQ117" s="150" t="s">
        <v>309</v>
      </c>
    </row>
    <row r="118" spans="3:43" ht="15.75" thickBot="1" x14ac:dyDescent="0.3">
      <c r="C118" s="140" t="str">
        <f>"R-HC_Det"&amp;"_"&amp;RIGHT(E118,3)&amp;"_HPN2"</f>
        <v>R-HC_Det_ELC_HPN2</v>
      </c>
      <c r="D118" s="136" t="s">
        <v>351</v>
      </c>
      <c r="E118" s="165" t="s">
        <v>406</v>
      </c>
      <c r="F118" s="165" t="s">
        <v>1035</v>
      </c>
      <c r="G118" s="141" t="s">
        <v>719</v>
      </c>
      <c r="H118" s="140">
        <v>1.0999999999999999</v>
      </c>
      <c r="I118" s="136">
        <v>1.1666666666666667</v>
      </c>
      <c r="J118" s="136">
        <v>1.3333333333333333</v>
      </c>
      <c r="K118" s="141">
        <v>1.5</v>
      </c>
      <c r="L118" s="140">
        <v>1.0999999999999999</v>
      </c>
      <c r="M118" s="136">
        <v>1.1666666666666667</v>
      </c>
      <c r="N118" s="136">
        <v>1.3333333333333333</v>
      </c>
      <c r="O118" s="141">
        <v>1.5</v>
      </c>
      <c r="P118" s="140"/>
      <c r="Q118" s="136"/>
      <c r="R118" s="136"/>
      <c r="S118" s="141"/>
      <c r="T118" s="147">
        <v>20</v>
      </c>
      <c r="U118" s="148"/>
      <c r="V118" s="140">
        <f>(JRC_Data!BB20/1000)*($U$154/$U$152)</f>
        <v>15.97142857142857</v>
      </c>
      <c r="W118" s="140">
        <f>(JRC_Data!BC20/1000)*($U$154/$U$152)</f>
        <v>14.830612244897958</v>
      </c>
      <c r="X118" s="140">
        <f>(JRC_Data!BD20/1000)*($U$154/$U$152)</f>
        <v>13.689795918367345</v>
      </c>
      <c r="Y118" s="140">
        <f>(JRC_Data!BE20/1000)*($U$154/$U$152)</f>
        <v>12.548979591836734</v>
      </c>
      <c r="Z118" s="132">
        <f>JRC_Data!BL20/1000</f>
        <v>0.2</v>
      </c>
      <c r="AA118" s="132"/>
      <c r="AB118" s="132"/>
      <c r="AC118" s="132"/>
      <c r="AD118" s="132"/>
      <c r="AE118" s="132"/>
      <c r="AF118" s="132">
        <f t="shared" si="57"/>
        <v>0.37843200000000005</v>
      </c>
      <c r="AG118" s="137"/>
      <c r="AH118" s="137">
        <v>2019</v>
      </c>
      <c r="AI118" s="137">
        <v>12</v>
      </c>
      <c r="AK118" s="287"/>
      <c r="AL118" s="154" t="str">
        <f>C121</f>
        <v>R-SW_Det_GAS_HPN2</v>
      </c>
      <c r="AM118" s="154" t="str">
        <f>D121</f>
        <v>Residential Gas Engine Heat Pump - Air to Water - SH + WH</v>
      </c>
      <c r="AN118" s="155" t="s">
        <v>16</v>
      </c>
      <c r="AO118" s="155" t="s">
        <v>433</v>
      </c>
      <c r="AP118" s="155"/>
      <c r="AQ118" s="155" t="s">
        <v>309</v>
      </c>
    </row>
    <row r="119" spans="3:43" ht="15.75" thickBot="1" x14ac:dyDescent="0.3">
      <c r="C119" s="79" t="s">
        <v>737</v>
      </c>
      <c r="D119" s="79"/>
      <c r="E119" s="80"/>
      <c r="F119" s="80"/>
      <c r="G119" s="80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0"/>
      <c r="U119" s="80"/>
      <c r="V119" s="79"/>
      <c r="W119" s="79"/>
      <c r="X119" s="79"/>
      <c r="Y119" s="79"/>
      <c r="Z119" s="79"/>
      <c r="AA119" s="133"/>
      <c r="AB119" s="82"/>
      <c r="AC119" s="82"/>
      <c r="AD119" s="82"/>
      <c r="AE119" s="82"/>
      <c r="AF119" s="79"/>
      <c r="AG119" s="80"/>
      <c r="AH119" s="80"/>
      <c r="AI119" s="80"/>
      <c r="AK119" s="288"/>
      <c r="AL119" s="157" t="str">
        <f>C123</f>
        <v>R-SW_Det_GAS_HHPN1</v>
      </c>
      <c r="AM119" s="157" t="str">
        <f>D123</f>
        <v>Residential Gas Hybrid Heat Pump - Air to Water - SH + WH</v>
      </c>
      <c r="AN119" s="156" t="s">
        <v>16</v>
      </c>
      <c r="AO119" s="156" t="s">
        <v>433</v>
      </c>
      <c r="AP119" s="156"/>
      <c r="AQ119" s="156" t="s">
        <v>309</v>
      </c>
    </row>
    <row r="120" spans="3:43" ht="15" x14ac:dyDescent="0.25">
      <c r="C120" s="65" t="str">
        <f>"R-SW_Det"&amp;"_"&amp;RIGHT(E120,3)&amp;"_HPN1"</f>
        <v>R-SW_Det_GAS_HPN1</v>
      </c>
      <c r="D120" s="66" t="s">
        <v>352</v>
      </c>
      <c r="E120" s="135" t="s">
        <v>726</v>
      </c>
      <c r="F120" s="135" t="s">
        <v>1035</v>
      </c>
      <c r="G120" s="135" t="s">
        <v>718</v>
      </c>
      <c r="H120" s="456">
        <f>JRC_Data!AC28/0.81</f>
        <v>1.6666666666666667</v>
      </c>
      <c r="I120" s="456">
        <f>JRC_Data!AD28/0.81</f>
        <v>1.7901234567901232</v>
      </c>
      <c r="J120" s="456">
        <f>JRC_Data!AE28/0.81</f>
        <v>2.0987654320987654</v>
      </c>
      <c r="K120" s="456">
        <f>JRC_Data!AF28/0.81</f>
        <v>2.0987654320987654</v>
      </c>
      <c r="L120" s="92"/>
      <c r="M120" s="93"/>
      <c r="N120" s="93"/>
      <c r="O120" s="94"/>
      <c r="P120" s="65">
        <f>H120*0.7</f>
        <v>1.1666666666666667</v>
      </c>
      <c r="Q120" s="66">
        <f t="shared" ref="Q120:Q121" si="85">I120*0.7</f>
        <v>1.2530864197530862</v>
      </c>
      <c r="R120" s="66">
        <f t="shared" ref="R120:R121" si="86">J120*0.7</f>
        <v>1.4691358024691357</v>
      </c>
      <c r="S120" s="102">
        <f t="shared" ref="S120:S121" si="87">K120*0.7</f>
        <v>1.4691358024691357</v>
      </c>
      <c r="T120" s="135">
        <v>22</v>
      </c>
      <c r="U120" s="94"/>
      <c r="V120" s="65">
        <f>(JRC_Data!BB28/1000)*($U$154/$U$153)</f>
        <v>16.834749034749034</v>
      </c>
      <c r="W120" s="65">
        <f>(JRC_Data!BC28/1000)*($U$154/$U$153)</f>
        <v>15.755598455598454</v>
      </c>
      <c r="X120" s="65">
        <f>(JRC_Data!BD28/1000)*($U$154/$U$153)</f>
        <v>13.597297297297297</v>
      </c>
      <c r="Y120" s="65">
        <f>(JRC_Data!BE28/1000)*($U$154/$U$153)</f>
        <v>13.597297297297297</v>
      </c>
      <c r="Z120" s="131">
        <f>JRC_Data!BL28/1000</f>
        <v>0.23499999999999999</v>
      </c>
      <c r="AA120" s="131"/>
      <c r="AB120" s="102"/>
      <c r="AC120" s="131"/>
      <c r="AD120" s="131"/>
      <c r="AE120" s="131"/>
      <c r="AF120" s="131">
        <f t="shared" si="57"/>
        <v>1.1983680000000001</v>
      </c>
      <c r="AG120" s="134"/>
      <c r="AH120" s="111">
        <v>2019</v>
      </c>
      <c r="AI120" s="134">
        <v>38</v>
      </c>
      <c r="AK120" s="289"/>
      <c r="AL120" s="149" t="str">
        <f>C125</f>
        <v>R-SW_Det_HET_N1</v>
      </c>
      <c r="AM120" s="149" t="str">
        <f>D125</f>
        <v>Residential District Heating Centralized - SH + WH</v>
      </c>
      <c r="AN120" s="150" t="s">
        <v>16</v>
      </c>
      <c r="AO120" s="150" t="s">
        <v>433</v>
      </c>
      <c r="AP120" s="150"/>
      <c r="AQ120" s="150" t="s">
        <v>309</v>
      </c>
    </row>
    <row r="121" spans="3:43" ht="15.75" thickBot="1" x14ac:dyDescent="0.3">
      <c r="C121" s="329" t="str">
        <f>"R-SW_Det"&amp;"_"&amp;RIGHT(E121,3)&amp;"_HPN2"</f>
        <v>R-SW_Det_GAS_HPN2</v>
      </c>
      <c r="D121" s="72" t="s">
        <v>353</v>
      </c>
      <c r="E121" s="73" t="s">
        <v>726</v>
      </c>
      <c r="F121" s="73" t="s">
        <v>1035</v>
      </c>
      <c r="G121" s="73" t="s">
        <v>718</v>
      </c>
      <c r="H121" s="457">
        <f>JRC_Data!AC30/0.9</f>
        <v>1.6666666666666665</v>
      </c>
      <c r="I121" s="457">
        <f>JRC_Data!AD30/0.9</f>
        <v>1.7222222222222223</v>
      </c>
      <c r="J121" s="457">
        <f>JRC_Data!AE30/0.9</f>
        <v>1.7222222222222223</v>
      </c>
      <c r="K121" s="457">
        <f>JRC_Data!AF30/0.9</f>
        <v>1.7777777777777779</v>
      </c>
      <c r="L121" s="95"/>
      <c r="M121" s="96"/>
      <c r="N121" s="96"/>
      <c r="O121" s="97"/>
      <c r="P121" s="329">
        <f>H121*0.7</f>
        <v>1.1666666666666665</v>
      </c>
      <c r="Q121" s="72">
        <f t="shared" si="85"/>
        <v>1.2055555555555555</v>
      </c>
      <c r="R121" s="72">
        <f t="shared" si="86"/>
        <v>1.2055555555555555</v>
      </c>
      <c r="S121" s="105">
        <f t="shared" si="87"/>
        <v>1.2444444444444445</v>
      </c>
      <c r="T121" s="73">
        <v>15</v>
      </c>
      <c r="U121" s="97"/>
      <c r="V121" s="329">
        <f>(JRC_Data!BB30/1000)*($U$154/$U$153)</f>
        <v>51.259652509652504</v>
      </c>
      <c r="W121" s="329">
        <f>(JRC_Data!BC30/1000)*($U$154/$U$153)</f>
        <v>51.259652509652504</v>
      </c>
      <c r="X121" s="329">
        <f>(JRC_Data!BD30/1000)*($U$154/$U$153)</f>
        <v>51.259652509652504</v>
      </c>
      <c r="Y121" s="329">
        <f>(JRC_Data!BE30/1000)*($U$154/$U$153)</f>
        <v>51.259652509652504</v>
      </c>
      <c r="Z121" s="110">
        <f>JRC_Data!BL28/1000</f>
        <v>0.23499999999999999</v>
      </c>
      <c r="AA121" s="110"/>
      <c r="AB121" s="105"/>
      <c r="AC121" s="110"/>
      <c r="AD121" s="110"/>
      <c r="AE121" s="110"/>
      <c r="AF121" s="110">
        <f t="shared" si="57"/>
        <v>1.1983680000000001</v>
      </c>
      <c r="AG121" s="113"/>
      <c r="AH121" s="112">
        <v>2019</v>
      </c>
      <c r="AI121" s="113">
        <v>38</v>
      </c>
      <c r="AK121" s="160"/>
      <c r="AL121" s="154" t="str">
        <f>C126</f>
        <v>R-SW_Det_HET_N2</v>
      </c>
      <c r="AM121" s="154" t="str">
        <f>D126</f>
        <v>Residential District Heating Decentralized - SH + WH</v>
      </c>
      <c r="AN121" s="155" t="s">
        <v>16</v>
      </c>
      <c r="AO121" s="155" t="s">
        <v>433</v>
      </c>
      <c r="AP121" s="155"/>
      <c r="AQ121" s="155" t="s">
        <v>309</v>
      </c>
    </row>
    <row r="122" spans="3:43" ht="15" x14ac:dyDescent="0.25">
      <c r="C122" s="79" t="s">
        <v>344</v>
      </c>
      <c r="D122" s="79"/>
      <c r="E122" s="80"/>
      <c r="F122" s="80"/>
      <c r="G122" s="80"/>
      <c r="H122" s="80"/>
      <c r="I122" s="80"/>
      <c r="J122" s="80"/>
      <c r="K122" s="80"/>
      <c r="L122" s="81"/>
      <c r="M122" s="81"/>
      <c r="N122" s="81"/>
      <c r="O122" s="81"/>
      <c r="P122" s="79"/>
      <c r="Q122" s="79"/>
      <c r="R122" s="79"/>
      <c r="S122" s="79"/>
      <c r="T122" s="80"/>
      <c r="U122" s="80"/>
      <c r="V122" s="79"/>
      <c r="W122" s="79"/>
      <c r="X122" s="79"/>
      <c r="Y122" s="79"/>
      <c r="Z122" s="79"/>
      <c r="AA122" s="80"/>
      <c r="AB122" s="82"/>
      <c r="AC122" s="82"/>
      <c r="AD122" s="82"/>
      <c r="AE122" s="82"/>
      <c r="AF122" s="79"/>
      <c r="AG122" s="80"/>
      <c r="AH122" s="80"/>
      <c r="AI122" s="80"/>
      <c r="AK122" s="289"/>
      <c r="AL122" s="149" t="str">
        <f t="shared" ref="AL122:AL123" si="88">C128</f>
        <v>R-WH_Det_ELC_N1</v>
      </c>
      <c r="AM122" s="149" t="str">
        <f t="shared" ref="AM122:AM123" si="89">D128</f>
        <v xml:space="preserve">Residential Electric Water Heater </v>
      </c>
      <c r="AN122" s="150" t="s">
        <v>16</v>
      </c>
      <c r="AO122" s="150" t="s">
        <v>433</v>
      </c>
      <c r="AP122" s="150"/>
      <c r="AQ122" s="150" t="s">
        <v>309</v>
      </c>
    </row>
    <row r="123" spans="3:43" ht="15.75" thickBot="1" x14ac:dyDescent="0.3">
      <c r="C123" s="142" t="str">
        <f>"R-SW_Det"&amp;"_"&amp;RIGHT(E123,3)&amp;"_HHPN1"</f>
        <v>R-SW_Det_GAS_HHPN1</v>
      </c>
      <c r="D123" s="126" t="s">
        <v>361</v>
      </c>
      <c r="E123" s="167" t="s">
        <v>730</v>
      </c>
      <c r="F123" s="167" t="s">
        <v>1035</v>
      </c>
      <c r="G123" s="144" t="s">
        <v>718</v>
      </c>
      <c r="H123" s="456">
        <f>1*$AD$28+JRC_Data!AD18*(1.2-$AD$28)</f>
        <v>3.2699999999999996</v>
      </c>
      <c r="I123" s="456">
        <f>1*$AD$28+JRC_Data!AE18*(1.2-$AD$28)</f>
        <v>3.6299999999999994</v>
      </c>
      <c r="J123" s="456">
        <f>1*$AD$28+JRC_Data!AF18*(1.2-$AD$28)</f>
        <v>3.8999999999999995</v>
      </c>
      <c r="K123" s="456">
        <f>1*$AD$28+JRC_Data!AG18*(1.2-$AD$28)</f>
        <v>3.8999999999999995</v>
      </c>
      <c r="L123" s="95"/>
      <c r="M123" s="96"/>
      <c r="N123" s="96"/>
      <c r="O123" s="97"/>
      <c r="P123" s="329">
        <f>H123*0.7</f>
        <v>2.2889999999999997</v>
      </c>
      <c r="Q123" s="72">
        <f t="shared" ref="Q123" si="90">I123*0.7</f>
        <v>2.5409999999999995</v>
      </c>
      <c r="R123" s="72">
        <f t="shared" ref="R123" si="91">J123*0.7</f>
        <v>2.7299999999999995</v>
      </c>
      <c r="S123" s="105">
        <f t="shared" ref="S123" si="92">K123*0.7</f>
        <v>2.7299999999999995</v>
      </c>
      <c r="T123" s="5">
        <v>20</v>
      </c>
      <c r="V123" s="125">
        <f>(V115+V98)*0.8</f>
        <v>10.987282270335434</v>
      </c>
      <c r="W123" s="125">
        <f t="shared" ref="W123:Y123" si="93">(W115+W98)*0.8</f>
        <v>10.272315282993665</v>
      </c>
      <c r="X123" s="125">
        <f t="shared" si="93"/>
        <v>9.6216953245126504</v>
      </c>
      <c r="Y123" s="125">
        <f t="shared" si="93"/>
        <v>9.5573482956518898</v>
      </c>
      <c r="Z123" s="448">
        <f>(JRC_Data!BL9+JRC_Data!BL18)*0.8/1000</f>
        <v>0.308</v>
      </c>
      <c r="AA123" s="129"/>
      <c r="AB123" s="130"/>
      <c r="AC123" s="130"/>
      <c r="AD123" s="130">
        <v>0.3</v>
      </c>
      <c r="AE123" s="129">
        <v>5</v>
      </c>
      <c r="AF123" s="128">
        <f t="shared" si="57"/>
        <v>0.62441279999999999</v>
      </c>
      <c r="AG123" s="129"/>
      <c r="AH123" s="129">
        <v>2019</v>
      </c>
      <c r="AI123" s="129">
        <f>AI98*AD123+AI116*(1-AD123)</f>
        <v>19.799999999999997</v>
      </c>
      <c r="AK123" s="4"/>
      <c r="AL123" s="151" t="str">
        <f t="shared" si="88"/>
        <v>R-WH_Det_SOL_N1</v>
      </c>
      <c r="AM123" s="151" t="str">
        <f t="shared" si="89"/>
        <v xml:space="preserve">Residential Solar Water Heater </v>
      </c>
      <c r="AN123" s="152" t="s">
        <v>16</v>
      </c>
      <c r="AO123" s="152" t="s">
        <v>433</v>
      </c>
      <c r="AP123" s="152"/>
      <c r="AQ123" s="152" t="s">
        <v>309</v>
      </c>
    </row>
    <row r="124" spans="3:43" ht="15" x14ac:dyDescent="0.25">
      <c r="C124" s="79" t="s">
        <v>354</v>
      </c>
      <c r="D124" s="79"/>
      <c r="E124" s="80"/>
      <c r="F124" s="80"/>
      <c r="G124" s="80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0"/>
      <c r="U124" s="80"/>
      <c r="V124" s="79"/>
      <c r="W124" s="79"/>
      <c r="X124" s="79"/>
      <c r="Y124" s="79"/>
      <c r="Z124" s="79"/>
      <c r="AA124" s="80"/>
      <c r="AB124" s="82"/>
      <c r="AC124" s="82"/>
      <c r="AD124" s="82"/>
      <c r="AE124" s="82"/>
      <c r="AF124" s="79"/>
      <c r="AG124" s="80"/>
      <c r="AH124" s="80"/>
      <c r="AI124" s="80"/>
      <c r="AK124" s="4"/>
      <c r="AL124" s="151" t="str">
        <f>C131</f>
        <v>R-SC_Det_ELC_N1</v>
      </c>
      <c r="AM124" s="151" t="str">
        <f>D131</f>
        <v>Residential Electric Air Conditioning</v>
      </c>
      <c r="AN124" s="150" t="s">
        <v>16</v>
      </c>
      <c r="AO124" s="150" t="s">
        <v>433</v>
      </c>
      <c r="AP124" s="150"/>
      <c r="AQ124" s="150" t="s">
        <v>309</v>
      </c>
    </row>
    <row r="125" spans="3:43" x14ac:dyDescent="0.2">
      <c r="C125" s="65" t="str">
        <f>"R-SW_Det"&amp;"_"&amp;RIGHT(E125,3)&amp;"_N1"</f>
        <v>R-SW_Det_HET_N1</v>
      </c>
      <c r="D125" s="66" t="s">
        <v>355</v>
      </c>
      <c r="E125" s="135" t="s">
        <v>713</v>
      </c>
      <c r="F125" s="135"/>
      <c r="G125" s="135" t="s">
        <v>718</v>
      </c>
      <c r="H125" s="65">
        <v>1</v>
      </c>
      <c r="I125" s="66">
        <v>1</v>
      </c>
      <c r="J125" s="66">
        <v>1</v>
      </c>
      <c r="K125" s="102">
        <v>1</v>
      </c>
      <c r="L125" s="92"/>
      <c r="M125" s="93"/>
      <c r="N125" s="93"/>
      <c r="O125" s="94"/>
      <c r="P125" s="323">
        <v>1</v>
      </c>
      <c r="Q125" s="324">
        <v>1</v>
      </c>
      <c r="R125" s="324">
        <v>1</v>
      </c>
      <c r="S125" s="325">
        <v>1</v>
      </c>
      <c r="T125" s="98">
        <v>20</v>
      </c>
      <c r="U125" s="94"/>
      <c r="V125" s="65">
        <f>(JRC_Data!BB62/1000)*($U$154/$U$148)*1.5</f>
        <v>4.6583333333333332</v>
      </c>
      <c r="W125" s="65">
        <f>(JRC_Data!BC62/1000)*($U$154/$U$148)*1.5</f>
        <v>4.6583333333333332</v>
      </c>
      <c r="X125" s="65">
        <f>(JRC_Data!BD62/1000)*($U$154/$U$148)*1.5</f>
        <v>4.6583333333333332</v>
      </c>
      <c r="Y125" s="65">
        <f>(JRC_Data!BE62/1000)*($U$154/$U$148)*1.5</f>
        <v>4.6583333333333332</v>
      </c>
      <c r="Z125" s="131">
        <f>JRC_Data!BL62/1000</f>
        <v>0.15</v>
      </c>
      <c r="AA125" s="131"/>
      <c r="AB125" s="131"/>
      <c r="AC125" s="131"/>
      <c r="AD125" s="131"/>
      <c r="AE125" s="131"/>
      <c r="AF125" s="131">
        <f t="shared" si="57"/>
        <v>1.1983680000000001</v>
      </c>
      <c r="AG125" s="134"/>
      <c r="AH125" s="111">
        <v>2035</v>
      </c>
      <c r="AI125" s="134">
        <v>38</v>
      </c>
    </row>
    <row r="126" spans="3:43" x14ac:dyDescent="0.2">
      <c r="C126" s="329" t="str">
        <f>"R-SW_Det"&amp;"_"&amp;RIGHT(E126,3)&amp;"_N2"</f>
        <v>R-SW_Det_HET_N2</v>
      </c>
      <c r="D126" s="72" t="s">
        <v>356</v>
      </c>
      <c r="E126" s="73" t="s">
        <v>713</v>
      </c>
      <c r="F126" s="73"/>
      <c r="G126" s="73" t="s">
        <v>718</v>
      </c>
      <c r="H126" s="329">
        <v>1</v>
      </c>
      <c r="I126" s="72">
        <v>1</v>
      </c>
      <c r="J126" s="72">
        <v>1</v>
      </c>
      <c r="K126" s="105">
        <v>1</v>
      </c>
      <c r="L126" s="95"/>
      <c r="M126" s="96"/>
      <c r="N126" s="96"/>
      <c r="O126" s="97"/>
      <c r="P126" s="330">
        <v>1</v>
      </c>
      <c r="Q126" s="331">
        <v>1</v>
      </c>
      <c r="R126" s="331">
        <v>1</v>
      </c>
      <c r="S126" s="332">
        <v>1</v>
      </c>
      <c r="T126" s="101">
        <v>20</v>
      </c>
      <c r="U126" s="97"/>
      <c r="V126" s="329">
        <f>(JRC_Data!BB62/1000)*($U$154/$U$148)*1.5</f>
        <v>4.6583333333333332</v>
      </c>
      <c r="W126" s="329">
        <f>(JRC_Data!BC62/1000)*($U$154/$U$148)*1.5</f>
        <v>4.6583333333333332</v>
      </c>
      <c r="X126" s="329">
        <f>(JRC_Data!BD62/1000)*($U$154/$U$148)*1.5</f>
        <v>4.6583333333333332</v>
      </c>
      <c r="Y126" s="329">
        <f>(JRC_Data!BE62/1000)*($U$154/$U$148)*1.5</f>
        <v>4.6583333333333332</v>
      </c>
      <c r="Z126" s="110">
        <f>JRC_Data!BL62/1000</f>
        <v>0.15</v>
      </c>
      <c r="AA126" s="110"/>
      <c r="AB126" s="110"/>
      <c r="AC126" s="110"/>
      <c r="AD126" s="110"/>
      <c r="AE126" s="110"/>
      <c r="AF126" s="110">
        <f t="shared" si="57"/>
        <v>1.1983680000000001</v>
      </c>
      <c r="AG126" s="113"/>
      <c r="AH126" s="112">
        <v>2035</v>
      </c>
      <c r="AI126" s="113">
        <v>38</v>
      </c>
    </row>
    <row r="127" spans="3:43" x14ac:dyDescent="0.2">
      <c r="C127" s="79" t="s">
        <v>357</v>
      </c>
      <c r="D127" s="79"/>
      <c r="E127" s="80"/>
      <c r="F127" s="80"/>
      <c r="G127" s="80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0"/>
      <c r="U127" s="80"/>
      <c r="V127" s="79"/>
      <c r="W127" s="79"/>
      <c r="X127" s="79"/>
      <c r="Y127" s="79"/>
      <c r="Z127" s="79"/>
      <c r="AA127" s="80"/>
      <c r="AB127" s="82"/>
      <c r="AC127" s="82"/>
      <c r="AD127" s="82"/>
      <c r="AE127" s="82"/>
      <c r="AF127" s="79"/>
      <c r="AG127" s="80"/>
      <c r="AH127" s="80"/>
      <c r="AI127" s="80"/>
    </row>
    <row r="128" spans="3:43" x14ac:dyDescent="0.2">
      <c r="C128" s="65" t="str">
        <f>"R-WH_Det"&amp;"_"&amp;RIGHT(E128,3)&amp;"_N1"</f>
        <v>R-WH_Det_ELC_N1</v>
      </c>
      <c r="D128" s="66" t="s">
        <v>358</v>
      </c>
      <c r="E128" s="135" t="s">
        <v>406</v>
      </c>
      <c r="F128" s="135"/>
      <c r="G128" s="102" t="s">
        <v>403</v>
      </c>
      <c r="H128" s="92"/>
      <c r="I128" s="93"/>
      <c r="J128" s="93"/>
      <c r="K128" s="94"/>
      <c r="L128" s="92"/>
      <c r="M128" s="93"/>
      <c r="N128" s="93"/>
      <c r="O128" s="94"/>
      <c r="P128" s="323">
        <v>1</v>
      </c>
      <c r="Q128" s="324">
        <v>1</v>
      </c>
      <c r="R128" s="324">
        <v>1</v>
      </c>
      <c r="S128" s="325">
        <v>1</v>
      </c>
      <c r="T128" s="98">
        <v>20</v>
      </c>
      <c r="U128" s="94"/>
      <c r="V128" s="65">
        <f>(JRC_Data!BB48/1000)*($U$147/$U$146)</f>
        <v>4.3022222222222215</v>
      </c>
      <c r="W128" s="65">
        <f>(JRC_Data!BC48/1000)*($U$147/$U$146)</f>
        <v>4.3022222222222215</v>
      </c>
      <c r="X128" s="65">
        <f>(JRC_Data!BD48/1000)*($U$147/$U$146)</f>
        <v>4.3022222222222215</v>
      </c>
      <c r="Y128" s="65">
        <f>(JRC_Data!BE48/1000)*($U$147/$U$146)</f>
        <v>4.3022222222222215</v>
      </c>
      <c r="Z128" s="131">
        <f>JRC_Data!BL48/1000</f>
        <v>0.05</v>
      </c>
      <c r="AA128" s="131"/>
      <c r="AB128" s="131"/>
      <c r="AC128" s="131"/>
      <c r="AD128" s="131"/>
      <c r="AE128" s="131"/>
      <c r="AF128" s="131">
        <f t="shared" si="57"/>
        <v>0.25228800000000001</v>
      </c>
      <c r="AG128" s="134"/>
      <c r="AH128" s="134">
        <v>2019</v>
      </c>
      <c r="AI128" s="134">
        <v>8</v>
      </c>
    </row>
    <row r="129" spans="3:35" x14ac:dyDescent="0.2">
      <c r="C129" s="329" t="str">
        <f>"R-WH_Det"&amp;"_"&amp;RIGHT(E129,3)&amp;"_N1"</f>
        <v>R-WH_Det_SOL_N1</v>
      </c>
      <c r="D129" s="72" t="s">
        <v>359</v>
      </c>
      <c r="E129" s="73" t="s">
        <v>731</v>
      </c>
      <c r="F129" s="73"/>
      <c r="G129" s="105" t="s">
        <v>403</v>
      </c>
      <c r="H129" s="95"/>
      <c r="I129" s="96"/>
      <c r="J129" s="96"/>
      <c r="K129" s="97"/>
      <c r="L129" s="95"/>
      <c r="M129" s="96"/>
      <c r="N129" s="96"/>
      <c r="O129" s="97"/>
      <c r="P129" s="320">
        <v>1</v>
      </c>
      <c r="Q129" s="321">
        <v>1</v>
      </c>
      <c r="R129" s="321">
        <v>1</v>
      </c>
      <c r="S129" s="322">
        <v>1</v>
      </c>
      <c r="T129" s="99">
        <v>25</v>
      </c>
      <c r="U129" s="68">
        <v>30</v>
      </c>
      <c r="V129" s="68">
        <f>(JRC_Data!BB45/1000)*($U$147/$U$146)</f>
        <v>5.8079999999999998</v>
      </c>
      <c r="W129" s="68">
        <f>(JRC_Data!BC45/1000)*($U$147/$U$146)</f>
        <v>5.4853333333333323</v>
      </c>
      <c r="X129" s="68">
        <f>(JRC_Data!BD45/1000)*($U$147/$U$146)</f>
        <v>4.9475555555555539</v>
      </c>
      <c r="Y129" s="68">
        <f>(JRC_Data!BE45/1000)*($U$147/$U$146)</f>
        <v>3.9795555555555553</v>
      </c>
      <c r="Z129" s="109">
        <f>JRC_Data!BL45/1000</f>
        <v>6.2E-2</v>
      </c>
      <c r="AA129" s="109"/>
      <c r="AB129" s="109"/>
      <c r="AC129" s="109"/>
      <c r="AD129" s="109"/>
      <c r="AE129" s="109"/>
      <c r="AF129" s="109">
        <f t="shared" si="57"/>
        <v>0.25228800000000001</v>
      </c>
      <c r="AG129" s="113"/>
      <c r="AH129" s="112">
        <v>2019</v>
      </c>
      <c r="AI129" s="112">
        <v>8</v>
      </c>
    </row>
    <row r="130" spans="3:35" x14ac:dyDescent="0.2">
      <c r="C130" s="79" t="s">
        <v>741</v>
      </c>
      <c r="D130" s="79"/>
      <c r="E130" s="80"/>
      <c r="F130" s="80"/>
      <c r="G130" s="80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0"/>
      <c r="U130" s="80"/>
      <c r="V130" s="79"/>
      <c r="W130" s="79"/>
      <c r="X130" s="79"/>
      <c r="Y130" s="79"/>
      <c r="Z130" s="79"/>
      <c r="AA130" s="80"/>
      <c r="AB130" s="82"/>
      <c r="AC130" s="82"/>
      <c r="AD130" s="82"/>
      <c r="AE130" s="82"/>
      <c r="AF130" s="79"/>
      <c r="AG130" s="80"/>
      <c r="AH130" s="80"/>
      <c r="AI130" s="80"/>
    </row>
    <row r="131" spans="3:35" x14ac:dyDescent="0.2">
      <c r="C131" s="75" t="str">
        <f>"R-SC_Det"&amp;"_"&amp;RIGHT(E131,3)&amp;"_N1"</f>
        <v>R-SC_Det_ELC_N1</v>
      </c>
      <c r="D131" s="143" t="s">
        <v>360</v>
      </c>
      <c r="E131" s="163" t="s">
        <v>406</v>
      </c>
      <c r="F131" s="163"/>
      <c r="G131" s="164" t="s">
        <v>402</v>
      </c>
      <c r="H131" s="161"/>
      <c r="I131" s="162"/>
      <c r="J131" s="162"/>
      <c r="K131" s="162"/>
      <c r="L131" s="335">
        <v>1</v>
      </c>
      <c r="M131" s="336">
        <v>1.0666666666666667</v>
      </c>
      <c r="N131" s="336">
        <v>1.2333333333333334</v>
      </c>
      <c r="O131" s="336">
        <v>1.3333333333333333</v>
      </c>
      <c r="P131" s="162"/>
      <c r="Q131" s="162"/>
      <c r="R131" s="162"/>
      <c r="S131" s="146"/>
      <c r="T131" s="145">
        <v>20</v>
      </c>
      <c r="U131" s="146"/>
      <c r="V131" s="142">
        <f>(JRC_Data!BB16/1000)*($U$148/$U$152)</f>
        <v>2.0204081632653064</v>
      </c>
      <c r="W131" s="142">
        <f>(JRC_Data!BC16/1000)*($U$148/$U$152)</f>
        <v>1.9285714285714286</v>
      </c>
      <c r="X131" s="142">
        <f>(JRC_Data!BD16/1000)*($U$148/$U$152)</f>
        <v>1.7448979591836735</v>
      </c>
      <c r="Y131" s="142">
        <f>(JRC_Data!BE16/1000)*($U$148/$U$152)</f>
        <v>1.653061224489796</v>
      </c>
      <c r="Z131" s="139">
        <f>JRC_Data!BL16/1000</f>
        <v>3.4000000000000002E-2</v>
      </c>
      <c r="AA131" s="139"/>
      <c r="AB131" s="139"/>
      <c r="AC131" s="139"/>
      <c r="AD131" s="139"/>
      <c r="AE131" s="139"/>
      <c r="AF131" s="139">
        <f t="shared" si="57"/>
        <v>0.25228800000000001</v>
      </c>
      <c r="AG131" s="138"/>
      <c r="AH131" s="138">
        <v>2019</v>
      </c>
      <c r="AI131" s="138">
        <v>8</v>
      </c>
    </row>
    <row r="133" spans="3:35" ht="15" x14ac:dyDescent="0.25">
      <c r="C133" s="8"/>
      <c r="I133" s="52"/>
      <c r="J133" s="52"/>
      <c r="K133" s="52"/>
      <c r="L133" s="52"/>
      <c r="M133" s="1"/>
      <c r="N133" s="1"/>
      <c r="O133" s="55"/>
      <c r="P133" s="54"/>
      <c r="Q133" s="55"/>
      <c r="R133" s="55"/>
      <c r="S133" s="53"/>
      <c r="T133" s="55"/>
      <c r="U133" s="55"/>
      <c r="V133" s="53"/>
      <c r="W133" s="53"/>
      <c r="Z133" s="52"/>
    </row>
    <row r="134" spans="3:35" ht="15" x14ac:dyDescent="0.25">
      <c r="I134" s="52"/>
      <c r="J134" s="52"/>
      <c r="K134" s="52"/>
      <c r="L134" s="52"/>
      <c r="M134" s="1"/>
      <c r="N134" s="1"/>
      <c r="O134" s="55"/>
      <c r="P134" s="54"/>
      <c r="Q134" s="55"/>
      <c r="R134" s="55"/>
      <c r="S134" s="53"/>
      <c r="T134" s="55"/>
      <c r="U134" s="55"/>
      <c r="V134" s="53"/>
      <c r="W134" s="53"/>
      <c r="Z134" s="52"/>
    </row>
    <row r="136" spans="3:35" ht="30" customHeight="1" x14ac:dyDescent="0.2">
      <c r="J136" s="57"/>
    </row>
    <row r="139" spans="3:35" x14ac:dyDescent="0.2">
      <c r="J139" s="57"/>
    </row>
    <row r="142" spans="3:35" x14ac:dyDescent="0.2">
      <c r="J142" s="57"/>
    </row>
    <row r="143" spans="3:35" x14ac:dyDescent="0.2">
      <c r="J143" s="57"/>
      <c r="T143" s="5" t="s">
        <v>984</v>
      </c>
    </row>
    <row r="144" spans="3:35" x14ac:dyDescent="0.2">
      <c r="J144" s="57"/>
      <c r="T144" s="5" t="s">
        <v>626</v>
      </c>
      <c r="U144" s="5" t="s">
        <v>986</v>
      </c>
      <c r="V144" s="5" t="s">
        <v>981</v>
      </c>
    </row>
    <row r="145" spans="1:22" x14ac:dyDescent="0.2">
      <c r="J145" s="57"/>
      <c r="T145" s="453">
        <v>3</v>
      </c>
      <c r="U145" s="454">
        <f t="shared" ref="U145:U154" si="94">V145/$V$153</f>
        <v>0.72929037751472525</v>
      </c>
      <c r="V145" s="455">
        <f>(V146/V150)*V147</f>
        <v>1888.8620777631384</v>
      </c>
    </row>
    <row r="146" spans="1:22" x14ac:dyDescent="0.2">
      <c r="J146" s="57"/>
      <c r="T146" s="453">
        <v>5</v>
      </c>
      <c r="U146" s="454">
        <f t="shared" si="94"/>
        <v>0.79101166159768732</v>
      </c>
      <c r="V146" s="455">
        <f>(V147/V151)*V148</f>
        <v>2048.7202035380101</v>
      </c>
    </row>
    <row r="147" spans="1:22" x14ac:dyDescent="0.2">
      <c r="T147" s="453">
        <v>8</v>
      </c>
      <c r="U147" s="454">
        <f t="shared" si="94"/>
        <v>0.85077698714062355</v>
      </c>
      <c r="V147" s="455">
        <f>(V148/V151)*V149</f>
        <v>2203.5123966942151</v>
      </c>
    </row>
    <row r="148" spans="1:22" x14ac:dyDescent="0.2">
      <c r="A148" s="4"/>
      <c r="T148" s="453">
        <v>10</v>
      </c>
      <c r="U148" s="454">
        <f t="shared" si="94"/>
        <v>0.86872586872586877</v>
      </c>
      <c r="V148" s="453">
        <f>V151-(V153-V151)</f>
        <v>2250</v>
      </c>
    </row>
    <row r="149" spans="1:22" x14ac:dyDescent="0.2">
      <c r="A149" s="4"/>
      <c r="M149" s="80" t="s">
        <v>969</v>
      </c>
      <c r="N149" s="80"/>
      <c r="O149" s="80"/>
      <c r="P149" s="80"/>
      <c r="Q149" s="80"/>
      <c r="T149" s="5">
        <v>15</v>
      </c>
      <c r="U149" s="444">
        <f t="shared" si="94"/>
        <v>0.91505791505791501</v>
      </c>
      <c r="V149" s="5">
        <v>2370</v>
      </c>
    </row>
    <row r="150" spans="1:22" x14ac:dyDescent="0.2">
      <c r="M150" s="5" t="s">
        <v>977</v>
      </c>
      <c r="N150" s="5" t="s">
        <v>978</v>
      </c>
      <c r="O150" s="8" t="s">
        <v>975</v>
      </c>
      <c r="P150" s="443" t="s">
        <v>979</v>
      </c>
      <c r="Q150" s="8" t="s">
        <v>974</v>
      </c>
      <c r="T150" s="5">
        <v>18</v>
      </c>
      <c r="U150" s="444">
        <f t="shared" si="94"/>
        <v>0.92277992277992282</v>
      </c>
      <c r="V150" s="5">
        <v>2390</v>
      </c>
    </row>
    <row r="151" spans="1:22" x14ac:dyDescent="0.2">
      <c r="M151" s="8">
        <v>111</v>
      </c>
      <c r="N151" s="8" t="s">
        <v>686</v>
      </c>
      <c r="O151" s="8">
        <v>24</v>
      </c>
      <c r="P151" s="8">
        <f>O151/M151</f>
        <v>0.21621621621621623</v>
      </c>
      <c r="Q151" s="8">
        <f>O151*1.25</f>
        <v>30</v>
      </c>
      <c r="T151" s="453">
        <v>20</v>
      </c>
      <c r="U151" s="454">
        <f t="shared" si="94"/>
        <v>0.93436293436293438</v>
      </c>
      <c r="V151" s="453">
        <f>AVERAGE(V150,V152)</f>
        <v>2420</v>
      </c>
    </row>
    <row r="152" spans="1:22" x14ac:dyDescent="0.2">
      <c r="M152" s="8">
        <v>70</v>
      </c>
      <c r="N152" s="8" t="s">
        <v>970</v>
      </c>
      <c r="O152" s="8">
        <v>15</v>
      </c>
      <c r="P152" s="8">
        <f>O152/M152</f>
        <v>0.21428571428571427</v>
      </c>
      <c r="Q152" s="8">
        <f>O152*1.25</f>
        <v>18.75</v>
      </c>
      <c r="T152" s="5">
        <v>24</v>
      </c>
      <c r="U152" s="444">
        <f t="shared" si="94"/>
        <v>0.94594594594594594</v>
      </c>
      <c r="V152" s="5">
        <v>2450</v>
      </c>
    </row>
    <row r="153" spans="1:22" x14ac:dyDescent="0.2">
      <c r="M153" s="8">
        <v>99</v>
      </c>
      <c r="N153" s="8" t="s">
        <v>971</v>
      </c>
      <c r="O153" s="8">
        <v>20</v>
      </c>
      <c r="P153" s="8">
        <f>O153/M153</f>
        <v>0.20202020202020202</v>
      </c>
      <c r="Q153" s="8">
        <f>O153*1.25</f>
        <v>25</v>
      </c>
      <c r="T153" s="5">
        <v>30</v>
      </c>
      <c r="U153" s="444">
        <f t="shared" si="94"/>
        <v>1</v>
      </c>
      <c r="V153" s="5">
        <v>2590</v>
      </c>
    </row>
    <row r="154" spans="1:22" x14ac:dyDescent="0.2">
      <c r="M154" s="8">
        <v>150</v>
      </c>
      <c r="N154" s="8" t="s">
        <v>972</v>
      </c>
      <c r="O154" s="8">
        <v>30</v>
      </c>
      <c r="P154" s="8">
        <f>O154/M154</f>
        <v>0.2</v>
      </c>
      <c r="Q154" s="8">
        <f>O154*1.25</f>
        <v>37.5</v>
      </c>
      <c r="T154" s="5">
        <v>35</v>
      </c>
      <c r="U154" s="444">
        <f t="shared" si="94"/>
        <v>1.0791505791505791</v>
      </c>
      <c r="V154" s="5">
        <v>2795</v>
      </c>
    </row>
    <row r="155" spans="1:22" x14ac:dyDescent="0.2">
      <c r="M155" s="8"/>
      <c r="N155" s="8"/>
      <c r="O155" s="8"/>
      <c r="P155" s="8"/>
      <c r="Q155" s="8"/>
    </row>
    <row r="156" spans="1:22" x14ac:dyDescent="0.2">
      <c r="M156" s="8" t="s">
        <v>973</v>
      </c>
      <c r="N156" s="8"/>
      <c r="O156" s="8"/>
      <c r="P156" s="8"/>
      <c r="Q156" s="8"/>
    </row>
    <row r="157" spans="1:22" x14ac:dyDescent="0.2">
      <c r="M157" s="8" t="s">
        <v>976</v>
      </c>
      <c r="N157" s="8"/>
      <c r="O157" s="8"/>
      <c r="P157" s="8"/>
      <c r="Q157" s="8"/>
    </row>
    <row r="158" spans="1:22" x14ac:dyDescent="0.2">
      <c r="M158" s="281" t="s">
        <v>982</v>
      </c>
    </row>
    <row r="159" spans="1:22" x14ac:dyDescent="0.2">
      <c r="M159" s="5" t="s">
        <v>983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B4" workbookViewId="0">
      <selection activeCell="O23" sqref="O2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1027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732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44" t="s">
        <v>322</v>
      </c>
      <c r="M5" s="545"/>
      <c r="N5" s="545"/>
      <c r="O5" s="546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38" t="s">
        <v>968</v>
      </c>
      <c r="M6" s="540"/>
      <c r="N6" s="540"/>
      <c r="O6" s="539"/>
      <c r="P6" s="450" t="s">
        <v>980</v>
      </c>
      <c r="Q6" s="107" t="s">
        <v>45</v>
      </c>
      <c r="R6" s="450" t="s">
        <v>756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726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722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7" t="s">
        <v>662</v>
      </c>
      <c r="S18" s="547"/>
      <c r="U18" s="5" t="s">
        <v>861</v>
      </c>
      <c r="V18" s="5" t="s">
        <v>1022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7"/>
      <c r="S19" s="547"/>
      <c r="V19" s="5" t="s">
        <v>1023</v>
      </c>
    </row>
    <row r="20" spans="3:22" x14ac:dyDescent="0.2">
      <c r="C20" s="168" t="s">
        <v>38</v>
      </c>
      <c r="D20" s="169" t="s">
        <v>749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1028</v>
      </c>
      <c r="R20" s="547"/>
      <c r="S20" s="547"/>
      <c r="V20" s="5" t="s">
        <v>1024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993</v>
      </c>
      <c r="F21" s="169" t="s">
        <v>16</v>
      </c>
      <c r="G21" s="169" t="s">
        <v>362</v>
      </c>
      <c r="H21" s="169"/>
      <c r="I21" s="169"/>
      <c r="J21" s="170" t="s">
        <v>1028</v>
      </c>
      <c r="R21" s="547"/>
      <c r="S21" s="547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994</v>
      </c>
      <c r="F22" s="169" t="s">
        <v>16</v>
      </c>
      <c r="G22" s="169" t="s">
        <v>362</v>
      </c>
      <c r="H22" s="169"/>
      <c r="I22" s="169"/>
      <c r="J22" s="170" t="s">
        <v>1028</v>
      </c>
      <c r="R22" s="547"/>
      <c r="S22" s="547"/>
    </row>
    <row r="23" spans="3:22" x14ac:dyDescent="0.2">
      <c r="C23" s="168" t="s">
        <v>38</v>
      </c>
      <c r="D23" s="169" t="str">
        <f t="shared" si="5"/>
        <v>R-RSDCK_LPG_N1</v>
      </c>
      <c r="E23" s="169" t="s">
        <v>995</v>
      </c>
      <c r="F23" s="169" t="s">
        <v>16</v>
      </c>
      <c r="G23" s="169" t="s">
        <v>362</v>
      </c>
      <c r="H23" s="169"/>
      <c r="I23" s="169"/>
      <c r="J23" s="170" t="s">
        <v>1028</v>
      </c>
    </row>
    <row r="24" spans="3:22" x14ac:dyDescent="0.2">
      <c r="C24" s="168" t="s">
        <v>38</v>
      </c>
      <c r="D24" s="169" t="s">
        <v>751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1028</v>
      </c>
    </row>
    <row r="25" spans="3:22" x14ac:dyDescent="0.2">
      <c r="C25" s="168" t="s">
        <v>38</v>
      </c>
      <c r="D25" s="169" t="s">
        <v>752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1028</v>
      </c>
    </row>
    <row r="26" spans="3:22" x14ac:dyDescent="0.2">
      <c r="C26" s="168" t="s">
        <v>38</v>
      </c>
      <c r="D26" s="169" t="s">
        <v>753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1028</v>
      </c>
      <c r="Q26" s="189"/>
    </row>
    <row r="27" spans="3:22" x14ac:dyDescent="0.2">
      <c r="C27" s="168" t="s">
        <v>38</v>
      </c>
      <c r="D27" s="169" t="s">
        <v>754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1028</v>
      </c>
    </row>
    <row r="28" spans="3:22" x14ac:dyDescent="0.2">
      <c r="C28" s="168" t="s">
        <v>38</v>
      </c>
      <c r="D28" s="171" t="s">
        <v>755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1028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44" t="s">
        <v>322</v>
      </c>
      <c r="M33" s="545"/>
      <c r="N33" s="545"/>
      <c r="O33" s="546"/>
    </row>
    <row r="34" spans="8:15" x14ac:dyDescent="0.2">
      <c r="H34" s="5" t="s">
        <v>375</v>
      </c>
      <c r="L34" s="538" t="s">
        <v>327</v>
      </c>
      <c r="M34" s="540"/>
      <c r="N34" s="540"/>
      <c r="O34" s="539"/>
    </row>
    <row r="35" spans="8:15" ht="14.25" customHeight="1" x14ac:dyDescent="0.2">
      <c r="H35" s="5" t="s">
        <v>749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750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726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722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751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752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753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754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755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O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1027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732</v>
      </c>
      <c r="P3" s="63" t="s">
        <v>313</v>
      </c>
      <c r="Q3" s="63" t="s">
        <v>314</v>
      </c>
      <c r="AA3" s="281" t="s">
        <v>1011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41" t="s">
        <v>110</v>
      </c>
      <c r="I4" s="542"/>
      <c r="J4" s="543"/>
      <c r="K4" s="544" t="s">
        <v>322</v>
      </c>
      <c r="L4" s="545"/>
      <c r="M4" s="546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1012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51" t="s">
        <v>45</v>
      </c>
      <c r="I5" s="552"/>
      <c r="J5" s="553"/>
      <c r="K5" s="551" t="s">
        <v>757</v>
      </c>
      <c r="L5" s="552"/>
      <c r="M5" s="553"/>
      <c r="N5" s="459" t="s">
        <v>328</v>
      </c>
      <c r="O5" s="459" t="s">
        <v>45</v>
      </c>
      <c r="P5" s="460" t="s">
        <v>756</v>
      </c>
      <c r="Q5" s="459" t="s">
        <v>330</v>
      </c>
      <c r="X5" s="107" t="s">
        <v>626</v>
      </c>
      <c r="AA5" s="281"/>
      <c r="AB5" s="548" t="s">
        <v>1013</v>
      </c>
      <c r="AC5" s="548"/>
      <c r="AD5" s="461"/>
      <c r="AE5" s="549" t="s">
        <v>110</v>
      </c>
      <c r="AF5" s="549"/>
      <c r="AG5" s="549" t="s">
        <v>1014</v>
      </c>
      <c r="AH5" s="549"/>
      <c r="AI5" s="550" t="s">
        <v>1015</v>
      </c>
      <c r="AJ5" s="550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1016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1017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1018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1019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1020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1021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1015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1028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1028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1028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1028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1028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1028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44" t="s">
        <v>322</v>
      </c>
      <c r="M27" s="545"/>
      <c r="N27" s="545"/>
      <c r="O27" s="546"/>
      <c r="T27" s="283"/>
      <c r="U27" s="283"/>
    </row>
    <row r="28" spans="3:21" x14ac:dyDescent="0.2">
      <c r="J28" s="5" t="s">
        <v>375</v>
      </c>
      <c r="L28" s="535" t="s">
        <v>327</v>
      </c>
      <c r="M28" s="536"/>
      <c r="N28" s="536"/>
      <c r="O28" s="537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700</v>
      </c>
      <c r="I1" s="9"/>
      <c r="J1" s="10"/>
      <c r="K1" s="10"/>
      <c r="L1" s="9" t="s">
        <v>701</v>
      </c>
      <c r="M1" s="9" t="s">
        <v>702</v>
      </c>
      <c r="N1" s="9" t="s">
        <v>703</v>
      </c>
      <c r="O1" s="9" t="s">
        <v>704</v>
      </c>
      <c r="P1" s="9" t="s">
        <v>705</v>
      </c>
      <c r="Q1" s="9" t="s">
        <v>706</v>
      </c>
      <c r="R1" s="10"/>
      <c r="S1" s="10"/>
      <c r="T1" s="10"/>
      <c r="U1" s="9" t="s">
        <v>707</v>
      </c>
      <c r="V1" s="9" t="s">
        <v>708</v>
      </c>
      <c r="W1" s="9" t="s">
        <v>709</v>
      </c>
      <c r="X1" s="9" t="s">
        <v>710</v>
      </c>
      <c r="Y1" s="9" t="s">
        <v>711</v>
      </c>
      <c r="Z1" s="9" t="s">
        <v>712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A30" sqref="A30:XFD30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758</v>
      </c>
      <c r="AC1" s="347">
        <v>100</v>
      </c>
      <c r="BB1" s="348" t="s">
        <v>759</v>
      </c>
      <c r="BC1" s="349"/>
      <c r="BD1" s="349" t="s">
        <v>760</v>
      </c>
      <c r="BE1" s="349" t="s">
        <v>761</v>
      </c>
      <c r="BF1" s="349" t="s">
        <v>762</v>
      </c>
    </row>
    <row r="2" spans="1:89" x14ac:dyDescent="0.2">
      <c r="A2" s="346" t="s">
        <v>1036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763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967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764</v>
      </c>
      <c r="B4" s="355" t="s">
        <v>765</v>
      </c>
      <c r="C4" s="356" t="s">
        <v>766</v>
      </c>
      <c r="D4" s="555" t="s">
        <v>767</v>
      </c>
      <c r="E4" s="554"/>
      <c r="F4" s="554"/>
      <c r="G4" s="554"/>
      <c r="H4" s="556"/>
      <c r="I4" s="554" t="s">
        <v>768</v>
      </c>
      <c r="J4" s="554"/>
      <c r="K4" s="554"/>
      <c r="L4" s="554"/>
      <c r="M4" s="556"/>
      <c r="N4" s="554" t="s">
        <v>769</v>
      </c>
      <c r="O4" s="554"/>
      <c r="P4" s="554"/>
      <c r="Q4" s="554"/>
      <c r="R4" s="556"/>
      <c r="S4" s="554" t="s">
        <v>770</v>
      </c>
      <c r="T4" s="554"/>
      <c r="U4" s="554"/>
      <c r="V4" s="554"/>
      <c r="W4" s="556"/>
      <c r="X4" s="554" t="s">
        <v>771</v>
      </c>
      <c r="Y4" s="554"/>
      <c r="Z4" s="554"/>
      <c r="AA4" s="554"/>
      <c r="AB4" s="556"/>
      <c r="AC4" s="554" t="s">
        <v>772</v>
      </c>
      <c r="AD4" s="554"/>
      <c r="AE4" s="554"/>
      <c r="AF4" s="554"/>
      <c r="AG4" s="556"/>
      <c r="AH4" s="554" t="s">
        <v>773</v>
      </c>
      <c r="AI4" s="554"/>
      <c r="AJ4" s="554"/>
      <c r="AK4" s="554"/>
      <c r="AL4" s="556"/>
      <c r="AM4" s="554" t="s">
        <v>774</v>
      </c>
      <c r="AN4" s="554"/>
      <c r="AO4" s="554"/>
      <c r="AP4" s="554"/>
      <c r="AQ4" s="556"/>
      <c r="AR4" s="554" t="s">
        <v>775</v>
      </c>
      <c r="AS4" s="554"/>
      <c r="AT4" s="554"/>
      <c r="AU4" s="554"/>
      <c r="AV4" s="556"/>
      <c r="AW4" s="554" t="s">
        <v>776</v>
      </c>
      <c r="AX4" s="554"/>
      <c r="AY4" s="554"/>
      <c r="AZ4" s="554"/>
      <c r="BA4" s="554"/>
      <c r="BB4" s="555" t="s">
        <v>777</v>
      </c>
      <c r="BC4" s="554"/>
      <c r="BD4" s="554"/>
      <c r="BE4" s="554"/>
      <c r="BF4" s="556"/>
      <c r="BG4" s="554" t="s">
        <v>778</v>
      </c>
      <c r="BH4" s="554"/>
      <c r="BI4" s="554"/>
      <c r="BJ4" s="554"/>
      <c r="BK4" s="554"/>
      <c r="BL4" s="555" t="s">
        <v>779</v>
      </c>
      <c r="BM4" s="554"/>
      <c r="BN4" s="554"/>
      <c r="BO4" s="554"/>
      <c r="BP4" s="554"/>
      <c r="BQ4" s="555" t="s">
        <v>780</v>
      </c>
      <c r="BR4" s="554"/>
      <c r="BS4" s="554"/>
      <c r="BT4" s="554"/>
      <c r="BU4" s="556"/>
      <c r="BV4" s="357" t="s">
        <v>781</v>
      </c>
      <c r="BW4" s="557" t="s">
        <v>782</v>
      </c>
      <c r="BX4" s="558"/>
      <c r="BY4" s="558"/>
      <c r="BZ4" s="558"/>
      <c r="CA4" s="559"/>
      <c r="CB4" s="557" t="s">
        <v>783</v>
      </c>
      <c r="CC4" s="558"/>
      <c r="CD4" s="558"/>
      <c r="CE4" s="558"/>
      <c r="CF4" s="559"/>
      <c r="CG4" s="557" t="s">
        <v>784</v>
      </c>
      <c r="CH4" s="558"/>
      <c r="CI4" s="558"/>
      <c r="CJ4" s="558"/>
      <c r="CK4" s="559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785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786</v>
      </c>
      <c r="B7" s="378" t="s">
        <v>888</v>
      </c>
      <c r="C7" s="379" t="s">
        <v>787</v>
      </c>
      <c r="D7" s="380" t="s">
        <v>889</v>
      </c>
      <c r="E7" s="381" t="s">
        <v>889</v>
      </c>
      <c r="F7" s="381" t="s">
        <v>889</v>
      </c>
      <c r="G7" s="381" t="s">
        <v>889</v>
      </c>
      <c r="H7" s="382" t="s">
        <v>889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788</v>
      </c>
      <c r="B8" s="378" t="s">
        <v>787</v>
      </c>
      <c r="C8" s="379" t="s">
        <v>789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790</v>
      </c>
      <c r="B9" s="378" t="s">
        <v>791</v>
      </c>
      <c r="C9" s="379" t="s">
        <v>791</v>
      </c>
      <c r="D9" s="380" t="s">
        <v>890</v>
      </c>
      <c r="E9" s="381" t="s">
        <v>891</v>
      </c>
      <c r="F9" s="381" t="s">
        <v>892</v>
      </c>
      <c r="G9" s="381" t="s">
        <v>892</v>
      </c>
      <c r="H9" s="382" t="s">
        <v>893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894</v>
      </c>
      <c r="AS9" s="381" t="s">
        <v>895</v>
      </c>
      <c r="AT9" s="381" t="s">
        <v>896</v>
      </c>
      <c r="AU9" s="381" t="s">
        <v>897</v>
      </c>
      <c r="AV9" s="382" t="s">
        <v>897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792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793</v>
      </c>
      <c r="B10" s="378" t="s">
        <v>898</v>
      </c>
      <c r="C10" s="379" t="s">
        <v>794</v>
      </c>
      <c r="D10" s="380" t="s">
        <v>899</v>
      </c>
      <c r="E10" s="381" t="s">
        <v>899</v>
      </c>
      <c r="F10" s="381" t="s">
        <v>899</v>
      </c>
      <c r="G10" s="381" t="s">
        <v>899</v>
      </c>
      <c r="H10" s="382" t="s">
        <v>899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792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795</v>
      </c>
      <c r="B11" s="378" t="s">
        <v>900</v>
      </c>
      <c r="C11" s="379" t="s">
        <v>796</v>
      </c>
      <c r="D11" s="380" t="s">
        <v>901</v>
      </c>
      <c r="E11" s="381" t="s">
        <v>890</v>
      </c>
      <c r="F11" s="381" t="s">
        <v>902</v>
      </c>
      <c r="G11" s="381" t="s">
        <v>902</v>
      </c>
      <c r="H11" s="382" t="s">
        <v>902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797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798</v>
      </c>
      <c r="B12" s="378" t="s">
        <v>903</v>
      </c>
      <c r="C12" s="379" t="s">
        <v>799</v>
      </c>
      <c r="D12" s="380" t="s">
        <v>904</v>
      </c>
      <c r="E12" s="381" t="s">
        <v>904</v>
      </c>
      <c r="F12" s="381" t="s">
        <v>904</v>
      </c>
      <c r="G12" s="381" t="s">
        <v>904</v>
      </c>
      <c r="H12" s="382" t="s">
        <v>904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800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801</v>
      </c>
      <c r="B13" s="378" t="s">
        <v>905</v>
      </c>
      <c r="C13" s="379" t="s">
        <v>802</v>
      </c>
      <c r="D13" s="380" t="s">
        <v>906</v>
      </c>
      <c r="E13" s="381" t="s">
        <v>907</v>
      </c>
      <c r="F13" s="381" t="s">
        <v>908</v>
      </c>
      <c r="G13" s="381" t="s">
        <v>909</v>
      </c>
      <c r="H13" s="382" t="s">
        <v>909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803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804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805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806</v>
      </c>
      <c r="B16" s="378" t="s">
        <v>910</v>
      </c>
      <c r="C16" s="379" t="s">
        <v>807</v>
      </c>
      <c r="D16" s="380" t="s">
        <v>911</v>
      </c>
      <c r="E16" s="381" t="s">
        <v>911</v>
      </c>
      <c r="F16" s="381" t="s">
        <v>911</v>
      </c>
      <c r="G16" s="381" t="s">
        <v>911</v>
      </c>
      <c r="H16" s="382" t="s">
        <v>911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808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809</v>
      </c>
      <c r="B18" s="378" t="s">
        <v>912</v>
      </c>
      <c r="C18" s="379" t="s">
        <v>810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811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812</v>
      </c>
      <c r="B19" s="378" t="s">
        <v>913</v>
      </c>
      <c r="C19" s="379" t="s">
        <v>813</v>
      </c>
      <c r="D19" s="380" t="s">
        <v>914</v>
      </c>
      <c r="E19" s="381" t="s">
        <v>914</v>
      </c>
      <c r="F19" s="381" t="s">
        <v>914</v>
      </c>
      <c r="G19" s="381" t="s">
        <v>914</v>
      </c>
      <c r="H19" s="382" t="s">
        <v>914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915</v>
      </c>
      <c r="CC19" s="385" t="s">
        <v>915</v>
      </c>
      <c r="CD19" s="385" t="s">
        <v>915</v>
      </c>
      <c r="CE19" s="385" t="s">
        <v>915</v>
      </c>
      <c r="CF19" s="386" t="s">
        <v>915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814</v>
      </c>
      <c r="B20" s="378" t="s">
        <v>916</v>
      </c>
      <c r="C20" s="379" t="s">
        <v>815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816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817</v>
      </c>
      <c r="B21" s="378" t="s">
        <v>917</v>
      </c>
      <c r="C21" s="379" t="s">
        <v>818</v>
      </c>
      <c r="D21" s="380" t="s">
        <v>914</v>
      </c>
      <c r="E21" s="381" t="s">
        <v>914</v>
      </c>
      <c r="F21" s="381" t="s">
        <v>914</v>
      </c>
      <c r="G21" s="381" t="s">
        <v>914</v>
      </c>
      <c r="H21" s="382" t="s">
        <v>914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816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819</v>
      </c>
      <c r="B22" s="378" t="s">
        <v>918</v>
      </c>
      <c r="C22" s="379" t="s">
        <v>819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820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821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822</v>
      </c>
      <c r="B24" s="378" t="s">
        <v>919</v>
      </c>
      <c r="C24" s="379" t="s">
        <v>823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824</v>
      </c>
      <c r="B25" s="378" t="s">
        <v>920</v>
      </c>
      <c r="C25" s="379" t="s">
        <v>825</v>
      </c>
      <c r="D25" s="380" t="s">
        <v>921</v>
      </c>
      <c r="E25" s="381" t="s">
        <v>921</v>
      </c>
      <c r="F25" s="381" t="s">
        <v>921</v>
      </c>
      <c r="G25" s="381" t="s">
        <v>921</v>
      </c>
      <c r="H25" s="382" t="s">
        <v>921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915</v>
      </c>
      <c r="CC25" s="385" t="s">
        <v>915</v>
      </c>
      <c r="CD25" s="385" t="s">
        <v>915</v>
      </c>
      <c r="CE25" s="385" t="s">
        <v>915</v>
      </c>
      <c r="CF25" s="386" t="s">
        <v>915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989</v>
      </c>
      <c r="B26" s="378" t="s">
        <v>990</v>
      </c>
      <c r="C26" s="378" t="s">
        <v>823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826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827</v>
      </c>
      <c r="B28" s="378" t="s">
        <v>922</v>
      </c>
      <c r="C28" s="379" t="s">
        <v>828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829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830</v>
      </c>
      <c r="B29" s="378" t="s">
        <v>923</v>
      </c>
      <c r="C29" s="379" t="s">
        <v>831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829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832</v>
      </c>
      <c r="B30" s="378" t="s">
        <v>924</v>
      </c>
      <c r="C30" s="379" t="s">
        <v>833</v>
      </c>
      <c r="D30" s="380" t="s">
        <v>896</v>
      </c>
      <c r="E30" s="381" t="s">
        <v>896</v>
      </c>
      <c r="F30" s="381" t="s">
        <v>896</v>
      </c>
      <c r="G30" s="381" t="s">
        <v>896</v>
      </c>
      <c r="H30" s="382" t="s">
        <v>896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925</v>
      </c>
      <c r="AX30" s="381" t="s">
        <v>926</v>
      </c>
      <c r="AY30" s="381" t="s">
        <v>926</v>
      </c>
      <c r="AZ30" s="381" t="s">
        <v>926</v>
      </c>
      <c r="BA30" s="382" t="s">
        <v>926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834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835</v>
      </c>
      <c r="B31" s="378" t="s">
        <v>927</v>
      </c>
      <c r="C31" s="405" t="s">
        <v>836</v>
      </c>
      <c r="D31" s="380" t="s">
        <v>928</v>
      </c>
      <c r="E31" s="381" t="s">
        <v>928</v>
      </c>
      <c r="F31" s="381" t="s">
        <v>928</v>
      </c>
      <c r="G31" s="381" t="s">
        <v>928</v>
      </c>
      <c r="H31" s="382" t="s">
        <v>928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837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838</v>
      </c>
      <c r="B32" s="378" t="s">
        <v>918</v>
      </c>
      <c r="C32" s="379" t="s">
        <v>839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915</v>
      </c>
      <c r="BX32" s="385" t="s">
        <v>915</v>
      </c>
      <c r="BY32" s="385" t="s">
        <v>915</v>
      </c>
      <c r="BZ32" s="385" t="s">
        <v>915</v>
      </c>
      <c r="CA32" s="386" t="s">
        <v>915</v>
      </c>
      <c r="CB32" s="385" t="s">
        <v>915</v>
      </c>
      <c r="CC32" s="385" t="s">
        <v>915</v>
      </c>
      <c r="CD32" s="385" t="s">
        <v>915</v>
      </c>
      <c r="CE32" s="385" t="s">
        <v>915</v>
      </c>
      <c r="CF32" s="386" t="s">
        <v>915</v>
      </c>
      <c r="CG32" s="387" t="s">
        <v>915</v>
      </c>
      <c r="CH32" s="385" t="s">
        <v>915</v>
      </c>
      <c r="CI32" s="385" t="s">
        <v>915</v>
      </c>
      <c r="CJ32" s="385" t="s">
        <v>915</v>
      </c>
      <c r="CK32" s="386" t="s">
        <v>915</v>
      </c>
    </row>
    <row r="33" spans="1:89" s="376" customFormat="1" x14ac:dyDescent="0.2">
      <c r="A33" s="369" t="s">
        <v>840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841</v>
      </c>
      <c r="B34" s="378" t="s">
        <v>918</v>
      </c>
      <c r="C34" s="379" t="s">
        <v>842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820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843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844</v>
      </c>
      <c r="B36" s="378" t="s">
        <v>929</v>
      </c>
      <c r="C36" s="379" t="s">
        <v>845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930</v>
      </c>
      <c r="O36" s="381" t="s">
        <v>931</v>
      </c>
      <c r="P36" s="381" t="s">
        <v>931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932</v>
      </c>
      <c r="Y36" s="381" t="s">
        <v>932</v>
      </c>
      <c r="Z36" s="381" t="s">
        <v>933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934</v>
      </c>
      <c r="AY36" s="381" t="s">
        <v>934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846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915</v>
      </c>
      <c r="CF36" s="413" t="s">
        <v>915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847</v>
      </c>
      <c r="B37" s="378" t="s">
        <v>935</v>
      </c>
      <c r="C37" s="379" t="s">
        <v>848</v>
      </c>
      <c r="D37" s="380" t="s">
        <v>936</v>
      </c>
      <c r="E37" s="381" t="s">
        <v>936</v>
      </c>
      <c r="F37" s="381" t="s">
        <v>936</v>
      </c>
      <c r="G37" s="381">
        <v>0</v>
      </c>
      <c r="H37" s="382">
        <v>0</v>
      </c>
      <c r="I37" s="381" t="s">
        <v>937</v>
      </c>
      <c r="J37" s="381" t="s">
        <v>938</v>
      </c>
      <c r="K37" s="381" t="s">
        <v>939</v>
      </c>
      <c r="L37" s="381">
        <v>0</v>
      </c>
      <c r="M37" s="382">
        <v>0</v>
      </c>
      <c r="N37" s="381" t="s">
        <v>940</v>
      </c>
      <c r="O37" s="381" t="s">
        <v>940</v>
      </c>
      <c r="P37" s="381" t="s">
        <v>940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941</v>
      </c>
      <c r="Y37" s="381" t="s">
        <v>941</v>
      </c>
      <c r="Z37" s="381" t="s">
        <v>941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925</v>
      </c>
      <c r="AX37" s="381" t="s">
        <v>925</v>
      </c>
      <c r="AY37" s="381" t="s">
        <v>925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846</v>
      </c>
      <c r="BW37" s="389">
        <v>446.15384615384613</v>
      </c>
      <c r="BX37" s="389">
        <v>446.15384615384613</v>
      </c>
      <c r="BY37" s="389">
        <v>446.15384615384613</v>
      </c>
      <c r="BZ37" s="389" t="s">
        <v>915</v>
      </c>
      <c r="CA37" s="390" t="s">
        <v>915</v>
      </c>
      <c r="CB37" s="403">
        <v>1.2307692307692308</v>
      </c>
      <c r="CC37" s="414">
        <v>1.2307692307692308</v>
      </c>
      <c r="CD37" s="414">
        <v>1.2307692307692308</v>
      </c>
      <c r="CE37" s="414" t="s">
        <v>915</v>
      </c>
      <c r="CF37" s="415" t="s">
        <v>915</v>
      </c>
      <c r="CG37" s="387">
        <v>0</v>
      </c>
      <c r="CH37" s="385">
        <v>0</v>
      </c>
      <c r="CI37" s="385">
        <v>0</v>
      </c>
      <c r="CJ37" s="385" t="s">
        <v>915</v>
      </c>
      <c r="CK37" s="386" t="s">
        <v>915</v>
      </c>
    </row>
    <row r="38" spans="1:89" s="376" customFormat="1" x14ac:dyDescent="0.2">
      <c r="A38" s="377" t="s">
        <v>849</v>
      </c>
      <c r="B38" s="378" t="s">
        <v>918</v>
      </c>
      <c r="C38" s="379" t="s">
        <v>850</v>
      </c>
      <c r="D38" s="400" t="s">
        <v>851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820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852</v>
      </c>
      <c r="B39" s="378" t="s">
        <v>942</v>
      </c>
      <c r="C39" s="379" t="s">
        <v>853</v>
      </c>
      <c r="D39" s="380" t="s">
        <v>943</v>
      </c>
      <c r="E39" s="381" t="s">
        <v>944</v>
      </c>
      <c r="F39" s="381" t="s">
        <v>945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946</v>
      </c>
      <c r="O39" s="381" t="s">
        <v>946</v>
      </c>
      <c r="P39" s="381" t="s">
        <v>946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941</v>
      </c>
      <c r="Y39" s="381" t="s">
        <v>941</v>
      </c>
      <c r="Z39" s="381" t="s">
        <v>941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934</v>
      </c>
      <c r="AY39" s="381" t="s">
        <v>934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854</v>
      </c>
      <c r="BW39" s="389">
        <v>1263.1578947368421</v>
      </c>
      <c r="BX39" s="389">
        <v>875</v>
      </c>
      <c r="BY39" s="389">
        <v>909.09090909090912</v>
      </c>
      <c r="BZ39" s="389" t="s">
        <v>915</v>
      </c>
      <c r="CA39" s="390" t="s">
        <v>915</v>
      </c>
      <c r="CB39" s="389">
        <v>263.15789473684208</v>
      </c>
      <c r="CC39" s="389">
        <v>312.5</v>
      </c>
      <c r="CD39" s="389">
        <v>454.54545454545456</v>
      </c>
      <c r="CE39" s="389" t="s">
        <v>915</v>
      </c>
      <c r="CF39" s="390" t="s">
        <v>915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855</v>
      </c>
      <c r="B40" s="378" t="s">
        <v>947</v>
      </c>
      <c r="C40" s="379" t="s">
        <v>856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946</v>
      </c>
      <c r="O40" s="381" t="s">
        <v>946</v>
      </c>
      <c r="P40" s="381" t="s">
        <v>946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948</v>
      </c>
      <c r="Y40" s="381" t="s">
        <v>948</v>
      </c>
      <c r="Z40" s="381" t="s">
        <v>948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934</v>
      </c>
      <c r="AY40" s="381" t="s">
        <v>934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854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857</v>
      </c>
      <c r="B41" s="378" t="s">
        <v>949</v>
      </c>
      <c r="C41" s="379" t="s">
        <v>858</v>
      </c>
      <c r="D41" s="380" t="s">
        <v>950</v>
      </c>
      <c r="E41" s="381" t="s">
        <v>950</v>
      </c>
      <c r="F41" s="381" t="s">
        <v>950</v>
      </c>
      <c r="G41" s="381" t="s">
        <v>915</v>
      </c>
      <c r="H41" s="382" t="s">
        <v>915</v>
      </c>
      <c r="I41" s="381" t="s">
        <v>951</v>
      </c>
      <c r="J41" s="381" t="s">
        <v>951</v>
      </c>
      <c r="K41" s="381" t="s">
        <v>951</v>
      </c>
      <c r="L41" s="381">
        <v>0</v>
      </c>
      <c r="M41" s="382">
        <v>0</v>
      </c>
      <c r="N41" s="381" t="s">
        <v>952</v>
      </c>
      <c r="O41" s="381" t="s">
        <v>952</v>
      </c>
      <c r="P41" s="381" t="s">
        <v>952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953</v>
      </c>
      <c r="Y41" s="381" t="s">
        <v>953</v>
      </c>
      <c r="Z41" s="381" t="s">
        <v>953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954</v>
      </c>
      <c r="AX41" s="381" t="s">
        <v>955</v>
      </c>
      <c r="AY41" s="381" t="s">
        <v>955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854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859</v>
      </c>
      <c r="B42" s="378" t="s">
        <v>956</v>
      </c>
      <c r="C42" s="379" t="s">
        <v>860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941</v>
      </c>
      <c r="O42" s="381" t="s">
        <v>941</v>
      </c>
      <c r="P42" s="381" t="s">
        <v>941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941</v>
      </c>
      <c r="Y42" s="381" t="s">
        <v>941</v>
      </c>
      <c r="Z42" s="381" t="s">
        <v>941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934</v>
      </c>
      <c r="AY42" s="381" t="s">
        <v>934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854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861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862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863</v>
      </c>
      <c r="B45" s="378" t="s">
        <v>957</v>
      </c>
      <c r="C45" s="379" t="s">
        <v>864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865</v>
      </c>
      <c r="B46" s="378" t="s">
        <v>958</v>
      </c>
      <c r="C46" s="379" t="s">
        <v>866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867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868</v>
      </c>
      <c r="B48" s="378" t="s">
        <v>959</v>
      </c>
      <c r="C48" s="379" t="s">
        <v>869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870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871</v>
      </c>
      <c r="B49" s="378" t="s">
        <v>960</v>
      </c>
      <c r="C49" s="379" t="s">
        <v>872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870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873</v>
      </c>
      <c r="B50" s="378" t="s">
        <v>918</v>
      </c>
      <c r="C50" s="379" t="s">
        <v>873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820</v>
      </c>
      <c r="BW50" s="385" t="s">
        <v>915</v>
      </c>
      <c r="BX50" s="385" t="s">
        <v>915</v>
      </c>
      <c r="BY50" s="385" t="s">
        <v>915</v>
      </c>
      <c r="BZ50" s="385" t="s">
        <v>915</v>
      </c>
      <c r="CA50" s="386" t="s">
        <v>915</v>
      </c>
      <c r="CB50" s="385" t="s">
        <v>915</v>
      </c>
      <c r="CC50" s="385" t="s">
        <v>915</v>
      </c>
      <c r="CD50" s="385" t="s">
        <v>915</v>
      </c>
      <c r="CE50" s="385" t="s">
        <v>915</v>
      </c>
      <c r="CF50" s="386" t="s">
        <v>915</v>
      </c>
      <c r="CG50" s="387" t="s">
        <v>915</v>
      </c>
      <c r="CH50" s="385" t="s">
        <v>915</v>
      </c>
      <c r="CI50" s="385" t="s">
        <v>915</v>
      </c>
      <c r="CJ50" s="385" t="s">
        <v>915</v>
      </c>
      <c r="CK50" s="386" t="s">
        <v>915</v>
      </c>
    </row>
    <row r="51" spans="1:89" s="376" customFormat="1" x14ac:dyDescent="0.2">
      <c r="A51" s="377"/>
      <c r="B51" s="378"/>
      <c r="C51" s="379" t="s">
        <v>874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875</v>
      </c>
      <c r="B52" s="420" t="s">
        <v>918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820</v>
      </c>
      <c r="BW52" s="428" t="s">
        <v>915</v>
      </c>
      <c r="BX52" s="428" t="s">
        <v>915</v>
      </c>
      <c r="BY52" s="428" t="s">
        <v>915</v>
      </c>
      <c r="BZ52" s="428" t="s">
        <v>915</v>
      </c>
      <c r="CA52" s="429" t="s">
        <v>915</v>
      </c>
      <c r="CB52" s="428" t="s">
        <v>915</v>
      </c>
      <c r="CC52" s="428" t="s">
        <v>915</v>
      </c>
      <c r="CD52" s="428" t="s">
        <v>915</v>
      </c>
      <c r="CE52" s="428" t="s">
        <v>915</v>
      </c>
      <c r="CF52" s="429" t="s">
        <v>915</v>
      </c>
      <c r="CG52" s="428" t="s">
        <v>915</v>
      </c>
      <c r="CH52" s="428" t="s">
        <v>915</v>
      </c>
      <c r="CI52" s="428" t="s">
        <v>915</v>
      </c>
      <c r="CJ52" s="428" t="s">
        <v>915</v>
      </c>
      <c r="CK52" s="429" t="s">
        <v>915</v>
      </c>
    </row>
    <row r="53" spans="1:89" s="376" customFormat="1" x14ac:dyDescent="0.2">
      <c r="A53" s="419" t="s">
        <v>876</v>
      </c>
      <c r="B53" s="420" t="s">
        <v>918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820</v>
      </c>
      <c r="BW53" s="428" t="s">
        <v>915</v>
      </c>
      <c r="BX53" s="428" t="s">
        <v>915</v>
      </c>
      <c r="BY53" s="428" t="s">
        <v>915</v>
      </c>
      <c r="BZ53" s="428" t="s">
        <v>915</v>
      </c>
      <c r="CA53" s="429" t="s">
        <v>915</v>
      </c>
      <c r="CB53" s="428" t="s">
        <v>915</v>
      </c>
      <c r="CC53" s="428" t="s">
        <v>915</v>
      </c>
      <c r="CD53" s="428" t="s">
        <v>915</v>
      </c>
      <c r="CE53" s="428" t="s">
        <v>915</v>
      </c>
      <c r="CF53" s="429" t="s">
        <v>915</v>
      </c>
      <c r="CG53" s="428" t="s">
        <v>915</v>
      </c>
      <c r="CH53" s="428" t="s">
        <v>915</v>
      </c>
      <c r="CI53" s="428" t="s">
        <v>915</v>
      </c>
      <c r="CJ53" s="428" t="s">
        <v>915</v>
      </c>
      <c r="CK53" s="429" t="s">
        <v>915</v>
      </c>
    </row>
    <row r="54" spans="1:89" s="376" customFormat="1" x14ac:dyDescent="0.2">
      <c r="A54" s="419" t="s">
        <v>877</v>
      </c>
      <c r="B54" s="420" t="s">
        <v>918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820</v>
      </c>
      <c r="BW54" s="428" t="s">
        <v>915</v>
      </c>
      <c r="BX54" s="428" t="s">
        <v>915</v>
      </c>
      <c r="BY54" s="428" t="s">
        <v>915</v>
      </c>
      <c r="BZ54" s="428" t="s">
        <v>915</v>
      </c>
      <c r="CA54" s="429" t="s">
        <v>915</v>
      </c>
      <c r="CB54" s="428" t="s">
        <v>915</v>
      </c>
      <c r="CC54" s="428" t="s">
        <v>915</v>
      </c>
      <c r="CD54" s="428" t="s">
        <v>915</v>
      </c>
      <c r="CE54" s="428" t="s">
        <v>915</v>
      </c>
      <c r="CF54" s="429" t="s">
        <v>915</v>
      </c>
      <c r="CG54" s="428" t="s">
        <v>915</v>
      </c>
      <c r="CH54" s="428" t="s">
        <v>915</v>
      </c>
      <c r="CI54" s="428" t="s">
        <v>915</v>
      </c>
      <c r="CJ54" s="428" t="s">
        <v>915</v>
      </c>
      <c r="CK54" s="429" t="s">
        <v>915</v>
      </c>
    </row>
    <row r="55" spans="1:89" s="376" customFormat="1" x14ac:dyDescent="0.2">
      <c r="A55" s="419" t="s">
        <v>878</v>
      </c>
      <c r="B55" s="420" t="s">
        <v>918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820</v>
      </c>
      <c r="BW55" s="428" t="s">
        <v>915</v>
      </c>
      <c r="BX55" s="428" t="s">
        <v>915</v>
      </c>
      <c r="BY55" s="428" t="s">
        <v>915</v>
      </c>
      <c r="BZ55" s="428" t="s">
        <v>915</v>
      </c>
      <c r="CA55" s="429" t="s">
        <v>915</v>
      </c>
      <c r="CB55" s="428" t="s">
        <v>915</v>
      </c>
      <c r="CC55" s="428" t="s">
        <v>915</v>
      </c>
      <c r="CD55" s="428" t="s">
        <v>915</v>
      </c>
      <c r="CE55" s="428" t="s">
        <v>915</v>
      </c>
      <c r="CF55" s="429" t="s">
        <v>915</v>
      </c>
      <c r="CG55" s="428" t="s">
        <v>915</v>
      </c>
      <c r="CH55" s="428" t="s">
        <v>915</v>
      </c>
      <c r="CI55" s="428" t="s">
        <v>915</v>
      </c>
      <c r="CJ55" s="428" t="s">
        <v>915</v>
      </c>
      <c r="CK55" s="429" t="s">
        <v>915</v>
      </c>
    </row>
    <row r="56" spans="1:89" s="376" customFormat="1" x14ac:dyDescent="0.2">
      <c r="A56" s="419" t="s">
        <v>879</v>
      </c>
      <c r="B56" s="420" t="s">
        <v>918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820</v>
      </c>
      <c r="BW56" s="428" t="s">
        <v>915</v>
      </c>
      <c r="BX56" s="428" t="s">
        <v>915</v>
      </c>
      <c r="BY56" s="428" t="s">
        <v>915</v>
      </c>
      <c r="BZ56" s="428" t="s">
        <v>915</v>
      </c>
      <c r="CA56" s="429" t="s">
        <v>915</v>
      </c>
      <c r="CB56" s="428" t="s">
        <v>915</v>
      </c>
      <c r="CC56" s="428" t="s">
        <v>915</v>
      </c>
      <c r="CD56" s="428" t="s">
        <v>915</v>
      </c>
      <c r="CE56" s="428" t="s">
        <v>915</v>
      </c>
      <c r="CF56" s="429" t="s">
        <v>915</v>
      </c>
      <c r="CG56" s="428" t="s">
        <v>915</v>
      </c>
      <c r="CH56" s="428" t="s">
        <v>915</v>
      </c>
      <c r="CI56" s="428" t="s">
        <v>915</v>
      </c>
      <c r="CJ56" s="428" t="s">
        <v>915</v>
      </c>
      <c r="CK56" s="429" t="s">
        <v>915</v>
      </c>
    </row>
    <row r="57" spans="1:89" s="376" customFormat="1" x14ac:dyDescent="0.2">
      <c r="A57" s="419" t="s">
        <v>880</v>
      </c>
      <c r="B57" s="420" t="s">
        <v>918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820</v>
      </c>
      <c r="BW57" s="428" t="s">
        <v>915</v>
      </c>
      <c r="BX57" s="428" t="s">
        <v>915</v>
      </c>
      <c r="BY57" s="428" t="s">
        <v>915</v>
      </c>
      <c r="BZ57" s="428" t="s">
        <v>915</v>
      </c>
      <c r="CA57" s="429" t="s">
        <v>915</v>
      </c>
      <c r="CB57" s="428" t="s">
        <v>915</v>
      </c>
      <c r="CC57" s="428" t="s">
        <v>915</v>
      </c>
      <c r="CD57" s="428" t="s">
        <v>915</v>
      </c>
      <c r="CE57" s="428" t="s">
        <v>915</v>
      </c>
      <c r="CF57" s="429" t="s">
        <v>915</v>
      </c>
      <c r="CG57" s="428" t="s">
        <v>915</v>
      </c>
      <c r="CH57" s="428" t="s">
        <v>915</v>
      </c>
      <c r="CI57" s="428" t="s">
        <v>915</v>
      </c>
      <c r="CJ57" s="428" t="s">
        <v>915</v>
      </c>
      <c r="CK57" s="429" t="s">
        <v>915</v>
      </c>
    </row>
    <row r="58" spans="1:89" s="376" customFormat="1" x14ac:dyDescent="0.2">
      <c r="A58" s="419" t="s">
        <v>881</v>
      </c>
      <c r="B58" s="420" t="s">
        <v>918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820</v>
      </c>
      <c r="BW58" s="428" t="s">
        <v>915</v>
      </c>
      <c r="BX58" s="428" t="s">
        <v>915</v>
      </c>
      <c r="BY58" s="428" t="s">
        <v>915</v>
      </c>
      <c r="BZ58" s="428" t="s">
        <v>915</v>
      </c>
      <c r="CA58" s="429" t="s">
        <v>915</v>
      </c>
      <c r="CB58" s="428" t="s">
        <v>915</v>
      </c>
      <c r="CC58" s="428" t="s">
        <v>915</v>
      </c>
      <c r="CD58" s="428" t="s">
        <v>915</v>
      </c>
      <c r="CE58" s="428" t="s">
        <v>915</v>
      </c>
      <c r="CF58" s="429" t="s">
        <v>915</v>
      </c>
      <c r="CG58" s="428" t="s">
        <v>915</v>
      </c>
      <c r="CH58" s="428" t="s">
        <v>915</v>
      </c>
      <c r="CI58" s="428" t="s">
        <v>915</v>
      </c>
      <c r="CJ58" s="428" t="s">
        <v>915</v>
      </c>
      <c r="CK58" s="429" t="s">
        <v>915</v>
      </c>
    </row>
    <row r="59" spans="1:89" s="376" customFormat="1" x14ac:dyDescent="0.2">
      <c r="A59" s="419" t="s">
        <v>882</v>
      </c>
      <c r="B59" s="420" t="s">
        <v>918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820</v>
      </c>
      <c r="BW59" s="428" t="s">
        <v>915</v>
      </c>
      <c r="BX59" s="428" t="s">
        <v>915</v>
      </c>
      <c r="BY59" s="428" t="s">
        <v>915</v>
      </c>
      <c r="BZ59" s="428" t="s">
        <v>915</v>
      </c>
      <c r="CA59" s="429" t="s">
        <v>915</v>
      </c>
      <c r="CB59" s="428" t="s">
        <v>915</v>
      </c>
      <c r="CC59" s="428" t="s">
        <v>915</v>
      </c>
      <c r="CD59" s="428" t="s">
        <v>915</v>
      </c>
      <c r="CE59" s="428" t="s">
        <v>915</v>
      </c>
      <c r="CF59" s="429" t="s">
        <v>915</v>
      </c>
      <c r="CG59" s="428" t="s">
        <v>915</v>
      </c>
      <c r="CH59" s="428" t="s">
        <v>915</v>
      </c>
      <c r="CI59" s="428" t="s">
        <v>915</v>
      </c>
      <c r="CJ59" s="428" t="s">
        <v>915</v>
      </c>
      <c r="CK59" s="429" t="s">
        <v>915</v>
      </c>
    </row>
    <row r="60" spans="1:89" s="376" customFormat="1" x14ac:dyDescent="0.2">
      <c r="A60" s="419" t="s">
        <v>883</v>
      </c>
      <c r="B60" s="420" t="s">
        <v>961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948</v>
      </c>
      <c r="AX60" s="423" t="s">
        <v>948</v>
      </c>
      <c r="AY60" s="423" t="s">
        <v>948</v>
      </c>
      <c r="AZ60" s="423" t="s">
        <v>948</v>
      </c>
      <c r="BA60" s="424" t="s">
        <v>948</v>
      </c>
      <c r="BB60" s="422" t="s">
        <v>962</v>
      </c>
      <c r="BC60" s="423" t="s">
        <v>962</v>
      </c>
      <c r="BD60" s="423" t="s">
        <v>962</v>
      </c>
      <c r="BE60" s="423" t="s">
        <v>962</v>
      </c>
      <c r="BF60" s="424" t="s">
        <v>962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915</v>
      </c>
      <c r="BX60" s="428" t="s">
        <v>915</v>
      </c>
      <c r="BY60" s="428" t="s">
        <v>915</v>
      </c>
      <c r="BZ60" s="428" t="s">
        <v>915</v>
      </c>
      <c r="CA60" s="429" t="s">
        <v>915</v>
      </c>
      <c r="CB60" s="428" t="s">
        <v>915</v>
      </c>
      <c r="CC60" s="428" t="s">
        <v>915</v>
      </c>
      <c r="CD60" s="428" t="s">
        <v>915</v>
      </c>
      <c r="CE60" s="428" t="s">
        <v>915</v>
      </c>
      <c r="CF60" s="429" t="s">
        <v>915</v>
      </c>
      <c r="CG60" s="428" t="s">
        <v>915</v>
      </c>
      <c r="CH60" s="428" t="s">
        <v>915</v>
      </c>
      <c r="CI60" s="428" t="s">
        <v>915</v>
      </c>
      <c r="CJ60" s="428" t="s">
        <v>915</v>
      </c>
      <c r="CK60" s="429" t="s">
        <v>915</v>
      </c>
    </row>
    <row r="61" spans="1:89" s="376" customFormat="1" x14ac:dyDescent="0.2">
      <c r="A61" s="419" t="s">
        <v>884</v>
      </c>
      <c r="B61" s="420" t="s">
        <v>963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948</v>
      </c>
      <c r="AX61" s="423" t="s">
        <v>948</v>
      </c>
      <c r="AY61" s="423" t="s">
        <v>948</v>
      </c>
      <c r="AZ61" s="423" t="s">
        <v>948</v>
      </c>
      <c r="BA61" s="424" t="s">
        <v>948</v>
      </c>
      <c r="BB61" s="422" t="s">
        <v>964</v>
      </c>
      <c r="BC61" s="423" t="s">
        <v>964</v>
      </c>
      <c r="BD61" s="423" t="s">
        <v>964</v>
      </c>
      <c r="BE61" s="423" t="s">
        <v>964</v>
      </c>
      <c r="BF61" s="424" t="s">
        <v>964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965</v>
      </c>
      <c r="BM61" s="423" t="s">
        <v>965</v>
      </c>
      <c r="BN61" s="423" t="s">
        <v>965</v>
      </c>
      <c r="BO61" s="423" t="s">
        <v>965</v>
      </c>
      <c r="BP61" s="424" t="s">
        <v>965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915</v>
      </c>
      <c r="BX61" s="428" t="s">
        <v>915</v>
      </c>
      <c r="BY61" s="428" t="s">
        <v>915</v>
      </c>
      <c r="BZ61" s="428" t="s">
        <v>915</v>
      </c>
      <c r="CA61" s="429" t="s">
        <v>915</v>
      </c>
      <c r="CB61" s="428" t="s">
        <v>915</v>
      </c>
      <c r="CC61" s="428" t="s">
        <v>915</v>
      </c>
      <c r="CD61" s="428" t="s">
        <v>915</v>
      </c>
      <c r="CE61" s="428" t="s">
        <v>915</v>
      </c>
      <c r="CF61" s="429" t="s">
        <v>915</v>
      </c>
      <c r="CG61" s="428" t="s">
        <v>915</v>
      </c>
      <c r="CH61" s="428" t="s">
        <v>915</v>
      </c>
      <c r="CI61" s="428" t="s">
        <v>915</v>
      </c>
      <c r="CJ61" s="428" t="s">
        <v>915</v>
      </c>
      <c r="CK61" s="429" t="s">
        <v>915</v>
      </c>
    </row>
    <row r="62" spans="1:89" s="376" customFormat="1" x14ac:dyDescent="0.2">
      <c r="A62" s="377" t="s">
        <v>885</v>
      </c>
      <c r="B62" s="378" t="s">
        <v>966</v>
      </c>
      <c r="C62" s="379" t="s">
        <v>886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887</v>
      </c>
      <c r="B63" s="432" t="s">
        <v>918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820</v>
      </c>
      <c r="BW63" s="440" t="s">
        <v>915</v>
      </c>
      <c r="BX63" s="440" t="s">
        <v>915</v>
      </c>
      <c r="BY63" s="440" t="s">
        <v>915</v>
      </c>
      <c r="BZ63" s="440" t="s">
        <v>915</v>
      </c>
      <c r="CA63" s="441" t="s">
        <v>915</v>
      </c>
      <c r="CB63" s="440" t="s">
        <v>915</v>
      </c>
      <c r="CC63" s="440" t="s">
        <v>915</v>
      </c>
      <c r="CD63" s="440" t="s">
        <v>915</v>
      </c>
      <c r="CE63" s="440" t="s">
        <v>915</v>
      </c>
      <c r="CF63" s="441" t="s">
        <v>915</v>
      </c>
      <c r="CG63" s="440" t="s">
        <v>915</v>
      </c>
      <c r="CH63" s="440" t="s">
        <v>915</v>
      </c>
      <c r="CI63" s="440" t="s">
        <v>915</v>
      </c>
      <c r="CJ63" s="440" t="s">
        <v>915</v>
      </c>
      <c r="CK63" s="441" t="s">
        <v>915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2021-04-09T09:12:56Z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640996277332305</vt:r8>
  </property>
</Properties>
</file>