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showObjects="placeholders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Olex\Documents\MANRID\ResLab\Modelling\TIMES\TIMES-IE\"/>
    </mc:Choice>
  </mc:AlternateContent>
  <xr:revisionPtr revIDLastSave="0" documentId="13_ncr:1_{9FD6907A-8881-4564-AC27-2C1E9B8F6186}" xr6:coauthVersionLast="45" xr6:coauthVersionMax="45" xr10:uidLastSave="{00000000-0000-0000-0000-000000000000}"/>
  <bookViews>
    <workbookView xWindow="-120" yWindow="-120" windowWidth="29040" windowHeight="15840" tabRatio="891" activeTab="12" xr2:uid="{00000000-000D-0000-FFFF-FFFF00000000}"/>
  </bookViews>
  <sheets>
    <sheet name="Cover" sheetId="33" r:id="rId1"/>
    <sheet name="Intro" sheetId="28" r:id="rId2"/>
    <sheet name="EB2018" sheetId="32" r:id="rId3"/>
    <sheet name="COM_Balance" sheetId="6" r:id="rId4"/>
    <sheet name="COM_Commodities" sheetId="15" r:id="rId5"/>
    <sheet name="COM_Processes" sheetId="22" r:id="rId6"/>
    <sheet name="COM_FuelTechs" sheetId="18" r:id="rId7"/>
    <sheet name="COM_EmiCoeffs" sheetId="21" r:id="rId8"/>
    <sheet name="COM_CH" sheetId="7" r:id="rId9"/>
    <sheet name="COM_CW" sheetId="9" r:id="rId10"/>
    <sheet name="COM_CC" sheetId="8" r:id="rId11"/>
    <sheet name="COM_COth" sheetId="10" r:id="rId12"/>
    <sheet name="COM_PV" sheetId="27" r:id="rId13"/>
    <sheet name="Commercial SEAI" sheetId="34" r:id="rId14"/>
    <sheet name="Public SEAI" sheetId="38" r:id="rId15"/>
    <sheet name="CSO data" sheetId="37" r:id="rId16"/>
    <sheet name="Public BOC" sheetId="39" r:id="rId17"/>
  </sheets>
  <definedNames>
    <definedName name="aa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</definedNames>
  <calcPr calcId="191029" calcMode="manual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5" i="6" l="1"/>
  <c r="C54" i="6"/>
  <c r="C62" i="6"/>
  <c r="G8" i="34" l="1"/>
  <c r="F8" i="34"/>
  <c r="E8" i="34"/>
  <c r="D8" i="34"/>
  <c r="C8" i="34"/>
  <c r="D34" i="38"/>
  <c r="I34" i="38"/>
  <c r="D38" i="38"/>
  <c r="D37" i="38"/>
  <c r="D36" i="38"/>
  <c r="D40" i="38" l="1"/>
  <c r="C32" i="15"/>
  <c r="AA61" i="32" l="1"/>
  <c r="L61" i="32"/>
  <c r="H61" i="32"/>
  <c r="C61" i="32"/>
  <c r="AA60" i="32"/>
  <c r="L60" i="32"/>
  <c r="H60" i="32"/>
  <c r="C60" i="32"/>
  <c r="AK59" i="32"/>
  <c r="AA59" i="32"/>
  <c r="AA57" i="32" s="1"/>
  <c r="Z59" i="32"/>
  <c r="T59" i="32"/>
  <c r="S59" i="32"/>
  <c r="R59" i="32"/>
  <c r="L59" i="32"/>
  <c r="H59" i="32"/>
  <c r="C59" i="32"/>
  <c r="AK58" i="32"/>
  <c r="AA58" i="32"/>
  <c r="Z58" i="32"/>
  <c r="T58" i="32"/>
  <c r="S58" i="32"/>
  <c r="L58" i="32"/>
  <c r="L57" i="32" s="1"/>
  <c r="H58" i="32"/>
  <c r="C58" i="32"/>
  <c r="C57" i="32" s="1"/>
  <c r="AL57" i="32"/>
  <c r="AJ57" i="32"/>
  <c r="AI57" i="32"/>
  <c r="AH57" i="32"/>
  <c r="AG57" i="32"/>
  <c r="AF57" i="32"/>
  <c r="AE57" i="32"/>
  <c r="AD57" i="32"/>
  <c r="AC57" i="32"/>
  <c r="AB57" i="32"/>
  <c r="Y57" i="32"/>
  <c r="X57" i="32"/>
  <c r="W57" i="32"/>
  <c r="V57" i="32"/>
  <c r="U57" i="32"/>
  <c r="U30" i="32" s="1"/>
  <c r="Q57" i="32"/>
  <c r="P57" i="32"/>
  <c r="N57" i="32"/>
  <c r="M57" i="32"/>
  <c r="K57" i="32"/>
  <c r="J57" i="32"/>
  <c r="I57" i="32"/>
  <c r="H57" i="32"/>
  <c r="G57" i="32"/>
  <c r="F57" i="32"/>
  <c r="E57" i="32"/>
  <c r="D57" i="32"/>
  <c r="AA56" i="32"/>
  <c r="L56" i="32"/>
  <c r="H56" i="32"/>
  <c r="C56" i="32"/>
  <c r="AA55" i="32"/>
  <c r="L55" i="32"/>
  <c r="H55" i="32"/>
  <c r="C55" i="32"/>
  <c r="AA54" i="32"/>
  <c r="L54" i="32"/>
  <c r="H54" i="32"/>
  <c r="C54" i="32"/>
  <c r="AA53" i="32"/>
  <c r="L53" i="32"/>
  <c r="H53" i="32"/>
  <c r="C53" i="32"/>
  <c r="AA52" i="32"/>
  <c r="L52" i="32"/>
  <c r="H52" i="32"/>
  <c r="C52" i="32"/>
  <c r="AA51" i="32"/>
  <c r="L51" i="32"/>
  <c r="H51" i="32"/>
  <c r="C51" i="32"/>
  <c r="AA50" i="32"/>
  <c r="L50" i="32"/>
  <c r="H50" i="32"/>
  <c r="C50" i="32"/>
  <c r="AA49" i="32"/>
  <c r="L49" i="32"/>
  <c r="H49" i="32"/>
  <c r="C49" i="32"/>
  <c r="AA48" i="32"/>
  <c r="L48" i="32"/>
  <c r="L45" i="32" s="1"/>
  <c r="L30" i="32" s="1"/>
  <c r="H48" i="32"/>
  <c r="H45" i="32" s="1"/>
  <c r="C48" i="32"/>
  <c r="AA47" i="32"/>
  <c r="AA45" i="32" s="1"/>
  <c r="L47" i="32"/>
  <c r="AA46" i="32"/>
  <c r="L46" i="32"/>
  <c r="H46" i="32"/>
  <c r="C46" i="32"/>
  <c r="C45" i="32" s="1"/>
  <c r="AL45" i="32"/>
  <c r="AK45" i="32"/>
  <c r="AJ45" i="32"/>
  <c r="AI45" i="32"/>
  <c r="AH45" i="32"/>
  <c r="AG45" i="32"/>
  <c r="AG30" i="32" s="1"/>
  <c r="AF45" i="32"/>
  <c r="AE45" i="32"/>
  <c r="AE30" i="32" s="1"/>
  <c r="AD45" i="32"/>
  <c r="AC45" i="32"/>
  <c r="AB45" i="32"/>
  <c r="Z45" i="32"/>
  <c r="Y45" i="32"/>
  <c r="X45" i="32"/>
  <c r="W45" i="32"/>
  <c r="W30" i="32" s="1"/>
  <c r="V45" i="32"/>
  <c r="U45" i="32"/>
  <c r="T45" i="32"/>
  <c r="S45" i="32"/>
  <c r="R45" i="32"/>
  <c r="Q45" i="32"/>
  <c r="Q30" i="32" s="1"/>
  <c r="P45" i="32"/>
  <c r="O45" i="32"/>
  <c r="O30" i="32" s="1"/>
  <c r="N45" i="32"/>
  <c r="M45" i="32"/>
  <c r="K45" i="32"/>
  <c r="J45" i="32"/>
  <c r="I45" i="32"/>
  <c r="I30" i="32" s="1"/>
  <c r="G45" i="32"/>
  <c r="G30" i="32" s="1"/>
  <c r="F45" i="32"/>
  <c r="E45" i="32"/>
  <c r="D45" i="32"/>
  <c r="AA44" i="32"/>
  <c r="L44" i="32"/>
  <c r="H44" i="32"/>
  <c r="C44" i="32"/>
  <c r="AA43" i="32"/>
  <c r="L43" i="32"/>
  <c r="H43" i="32"/>
  <c r="C43" i="32"/>
  <c r="AA42" i="32"/>
  <c r="L42" i="32"/>
  <c r="H42" i="32"/>
  <c r="C42" i="32"/>
  <c r="AA41" i="32"/>
  <c r="L41" i="32"/>
  <c r="H41" i="32"/>
  <c r="C41" i="32"/>
  <c r="AA40" i="32"/>
  <c r="L40" i="32"/>
  <c r="H40" i="32"/>
  <c r="C40" i="32"/>
  <c r="AA39" i="32"/>
  <c r="L39" i="32"/>
  <c r="H39" i="32"/>
  <c r="C39" i="32"/>
  <c r="AA38" i="32"/>
  <c r="L38" i="32"/>
  <c r="H38" i="32"/>
  <c r="C38" i="32"/>
  <c r="AA37" i="32"/>
  <c r="L37" i="32"/>
  <c r="H37" i="32"/>
  <c r="C37" i="32"/>
  <c r="AA36" i="32"/>
  <c r="L36" i="32"/>
  <c r="H36" i="32"/>
  <c r="C36" i="32"/>
  <c r="AA35" i="32"/>
  <c r="L35" i="32"/>
  <c r="H35" i="32"/>
  <c r="C35" i="32"/>
  <c r="AA34" i="32"/>
  <c r="L34" i="32"/>
  <c r="H34" i="32"/>
  <c r="C34" i="32"/>
  <c r="AA33" i="32"/>
  <c r="AA31" i="32" s="1"/>
  <c r="L33" i="32"/>
  <c r="H33" i="32"/>
  <c r="H31" i="32" s="1"/>
  <c r="H30" i="32" s="1"/>
  <c r="C33" i="32"/>
  <c r="AA32" i="32"/>
  <c r="L32" i="32"/>
  <c r="H32" i="32"/>
  <c r="C32" i="32"/>
  <c r="C31" i="32" s="1"/>
  <c r="AL31" i="32"/>
  <c r="AJ31" i="32"/>
  <c r="AI31" i="32"/>
  <c r="AH31" i="32"/>
  <c r="AG31" i="32"/>
  <c r="AF31" i="32"/>
  <c r="AD31" i="32"/>
  <c r="AC31" i="32"/>
  <c r="AC30" i="32" s="1"/>
  <c r="AB31" i="32"/>
  <c r="AB30" i="32" s="1"/>
  <c r="Y31" i="32"/>
  <c r="Y30" i="32" s="1"/>
  <c r="X31" i="32"/>
  <c r="W31" i="32"/>
  <c r="V31" i="32"/>
  <c r="Q31" i="32"/>
  <c r="N31" i="32"/>
  <c r="M31" i="32"/>
  <c r="L31" i="32"/>
  <c r="K31" i="32"/>
  <c r="J31" i="32"/>
  <c r="I31" i="32"/>
  <c r="AL30" i="32"/>
  <c r="AK30" i="32"/>
  <c r="AJ30" i="32"/>
  <c r="AI30" i="32"/>
  <c r="AH30" i="32"/>
  <c r="AF30" i="32"/>
  <c r="AD30" i="32"/>
  <c r="Z30" i="32"/>
  <c r="X30" i="32"/>
  <c r="V30" i="32"/>
  <c r="T30" i="32"/>
  <c r="S30" i="32"/>
  <c r="R30" i="32"/>
  <c r="P30" i="32"/>
  <c r="N30" i="32"/>
  <c r="M30" i="32"/>
  <c r="K30" i="32"/>
  <c r="J30" i="32"/>
  <c r="F30" i="32"/>
  <c r="E30" i="32"/>
  <c r="D30" i="32"/>
  <c r="AA29" i="32"/>
  <c r="H29" i="32"/>
  <c r="C29" i="32"/>
  <c r="C28" i="32" s="1"/>
  <c r="AL28" i="32"/>
  <c r="AK28" i="32"/>
  <c r="AJ28" i="32"/>
  <c r="AI28" i="32"/>
  <c r="AH28" i="32"/>
  <c r="AG28" i="32"/>
  <c r="AF28" i="32"/>
  <c r="AE28" i="32"/>
  <c r="AD28" i="32"/>
  <c r="AC28" i="32"/>
  <c r="AB28" i="32"/>
  <c r="AA28" i="32"/>
  <c r="Z28" i="32"/>
  <c r="U28" i="32"/>
  <c r="T28" i="32"/>
  <c r="S28" i="32"/>
  <c r="R28" i="32"/>
  <c r="Q28" i="32"/>
  <c r="P28" i="32"/>
  <c r="O28" i="32"/>
  <c r="N28" i="32"/>
  <c r="M28" i="32"/>
  <c r="K28" i="32"/>
  <c r="J28" i="32"/>
  <c r="I28" i="32"/>
  <c r="H28" i="32"/>
  <c r="G28" i="32"/>
  <c r="F28" i="32"/>
  <c r="E28" i="32"/>
  <c r="D28" i="32"/>
  <c r="AB27" i="32"/>
  <c r="T27" i="32"/>
  <c r="AA26" i="32"/>
  <c r="L26" i="32"/>
  <c r="H26" i="32"/>
  <c r="C26" i="32"/>
  <c r="AA25" i="32"/>
  <c r="L25" i="32"/>
  <c r="E25" i="32"/>
  <c r="C25" i="32" s="1"/>
  <c r="C22" i="32" s="1"/>
  <c r="AC23" i="32"/>
  <c r="AC22" i="32" s="1"/>
  <c r="AB23" i="32"/>
  <c r="AA23" i="32" s="1"/>
  <c r="AL22" i="32"/>
  <c r="AJ22" i="32"/>
  <c r="AJ27" i="32" s="1"/>
  <c r="AI22" i="32"/>
  <c r="AH22" i="32"/>
  <c r="AG22" i="32"/>
  <c r="AF22" i="32"/>
  <c r="AE22" i="32"/>
  <c r="AD22" i="32"/>
  <c r="AD27" i="32" s="1"/>
  <c r="AB22" i="32"/>
  <c r="Z22" i="32"/>
  <c r="Y22" i="32"/>
  <c r="X22" i="32"/>
  <c r="W22" i="32"/>
  <c r="V22" i="32"/>
  <c r="U22" i="32"/>
  <c r="T22" i="32"/>
  <c r="S22" i="32"/>
  <c r="R22" i="32"/>
  <c r="Q22" i="32"/>
  <c r="P22" i="32"/>
  <c r="O22" i="32"/>
  <c r="N22" i="32"/>
  <c r="M22" i="32"/>
  <c r="L22" i="32"/>
  <c r="K22" i="32"/>
  <c r="J22" i="32"/>
  <c r="I22" i="32"/>
  <c r="H22" i="32" s="1"/>
  <c r="G22" i="32"/>
  <c r="F22" i="32"/>
  <c r="D22" i="32"/>
  <c r="D27" i="32" s="1"/>
  <c r="AA21" i="32"/>
  <c r="L21" i="32"/>
  <c r="H21" i="32"/>
  <c r="AA20" i="32"/>
  <c r="L20" i="32"/>
  <c r="H20" i="32"/>
  <c r="AA18" i="32"/>
  <c r="AA17" i="32"/>
  <c r="AA15" i="32" s="1"/>
  <c r="L17" i="32"/>
  <c r="H17" i="32"/>
  <c r="H15" i="32" s="1"/>
  <c r="C17" i="32"/>
  <c r="AA16" i="32"/>
  <c r="L16" i="32"/>
  <c r="H16" i="32"/>
  <c r="C16" i="32"/>
  <c r="C15" i="32" s="1"/>
  <c r="AL15" i="32"/>
  <c r="AL27" i="32" s="1"/>
  <c r="AK15" i="32"/>
  <c r="AJ15" i="32"/>
  <c r="AI15" i="32"/>
  <c r="AH15" i="32"/>
  <c r="AG15" i="32"/>
  <c r="AF15" i="32"/>
  <c r="AE15" i="32"/>
  <c r="AD15" i="32"/>
  <c r="AC15" i="32"/>
  <c r="AB15" i="32"/>
  <c r="Z15" i="32"/>
  <c r="Y15" i="32"/>
  <c r="X15" i="32"/>
  <c r="W15" i="32"/>
  <c r="V15" i="32"/>
  <c r="V27" i="32" s="1"/>
  <c r="U15" i="32"/>
  <c r="T15" i="32"/>
  <c r="S15" i="32"/>
  <c r="R15" i="32"/>
  <c r="Q15" i="32"/>
  <c r="P15" i="32"/>
  <c r="O15" i="32"/>
  <c r="N15" i="32"/>
  <c r="N27" i="32" s="1"/>
  <c r="M15" i="32"/>
  <c r="L15" i="32"/>
  <c r="K15" i="32"/>
  <c r="J15" i="32"/>
  <c r="I15" i="32"/>
  <c r="G15" i="32"/>
  <c r="F15" i="32"/>
  <c r="F27" i="32" s="1"/>
  <c r="E15" i="32"/>
  <c r="D15" i="32"/>
  <c r="AA14" i="32"/>
  <c r="L14" i="32"/>
  <c r="H14" i="32"/>
  <c r="C14" i="32"/>
  <c r="AA13" i="32"/>
  <c r="L13" i="32"/>
  <c r="H13" i="32"/>
  <c r="C13" i="32"/>
  <c r="AA11" i="32"/>
  <c r="L11" i="32"/>
  <c r="H11" i="32"/>
  <c r="C11" i="32"/>
  <c r="C9" i="32" s="1"/>
  <c r="AA10" i="32"/>
  <c r="L10" i="32"/>
  <c r="L9" i="32" s="1"/>
  <c r="H10" i="32"/>
  <c r="C10" i="32"/>
  <c r="AL9" i="32"/>
  <c r="AK9" i="32"/>
  <c r="AJ9" i="32"/>
  <c r="AI9" i="32"/>
  <c r="AH9" i="32"/>
  <c r="AG9" i="32"/>
  <c r="AF9" i="32"/>
  <c r="AE9" i="32"/>
  <c r="AD9" i="32"/>
  <c r="AC9" i="32"/>
  <c r="AB9" i="32"/>
  <c r="AA9" i="32"/>
  <c r="Z9" i="32"/>
  <c r="Y9" i="32"/>
  <c r="X9" i="32"/>
  <c r="W9" i="32"/>
  <c r="V9" i="32"/>
  <c r="U9" i="32"/>
  <c r="T9" i="32"/>
  <c r="S9" i="32"/>
  <c r="R9" i="32"/>
  <c r="Q9" i="32"/>
  <c r="P9" i="32"/>
  <c r="O9" i="32"/>
  <c r="N9" i="32"/>
  <c r="M9" i="32"/>
  <c r="K9" i="32"/>
  <c r="J9" i="32"/>
  <c r="I9" i="32"/>
  <c r="H9" i="32"/>
  <c r="G9" i="32"/>
  <c r="F9" i="32"/>
  <c r="E9" i="32"/>
  <c r="D9" i="32"/>
  <c r="AL8" i="32"/>
  <c r="AJ8" i="32"/>
  <c r="AE8" i="32"/>
  <c r="AD8" i="32"/>
  <c r="AB8" i="32"/>
  <c r="V8" i="32"/>
  <c r="T8" i="32"/>
  <c r="O8" i="32"/>
  <c r="N8" i="32"/>
  <c r="G8" i="32"/>
  <c r="F8" i="32"/>
  <c r="D8" i="32"/>
  <c r="AL7" i="32"/>
  <c r="AK7" i="32"/>
  <c r="AK8" i="32" s="1"/>
  <c r="AJ7" i="32"/>
  <c r="AI7" i="32"/>
  <c r="AI27" i="32" s="1"/>
  <c r="AH7" i="32"/>
  <c r="AH27" i="32" s="1"/>
  <c r="AG7" i="32"/>
  <c r="AG27" i="32" s="1"/>
  <c r="AF7" i="32"/>
  <c r="AF27" i="32" s="1"/>
  <c r="AE7" i="32"/>
  <c r="AE27" i="32" s="1"/>
  <c r="AD7" i="32"/>
  <c r="AC7" i="32"/>
  <c r="AC8" i="32" s="1"/>
  <c r="AB7" i="32"/>
  <c r="AA7" i="32"/>
  <c r="Z7" i="32"/>
  <c r="Z27" i="32" s="1"/>
  <c r="Y7" i="32"/>
  <c r="Y27" i="32" s="1"/>
  <c r="Y29" i="32" s="1"/>
  <c r="Y28" i="32" s="1"/>
  <c r="X7" i="32"/>
  <c r="X27" i="32" s="1"/>
  <c r="X29" i="32" s="1"/>
  <c r="X28" i="32" s="1"/>
  <c r="W7" i="32"/>
  <c r="W27" i="32" s="1"/>
  <c r="W29" i="32" s="1"/>
  <c r="V7" i="32"/>
  <c r="U7" i="32"/>
  <c r="U8" i="32" s="1"/>
  <c r="T7" i="32"/>
  <c r="S7" i="32"/>
  <c r="S27" i="32" s="1"/>
  <c r="R7" i="32"/>
  <c r="R27" i="32" s="1"/>
  <c r="Q7" i="32"/>
  <c r="Q27" i="32" s="1"/>
  <c r="P7" i="32"/>
  <c r="P27" i="32" s="1"/>
  <c r="O7" i="32"/>
  <c r="O27" i="32" s="1"/>
  <c r="N7" i="32"/>
  <c r="M7" i="32"/>
  <c r="M8" i="32" s="1"/>
  <c r="K7" i="32"/>
  <c r="K27" i="32" s="1"/>
  <c r="J7" i="32"/>
  <c r="J27" i="32" s="1"/>
  <c r="I7" i="32"/>
  <c r="I27" i="32" s="1"/>
  <c r="G7" i="32"/>
  <c r="G27" i="32" s="1"/>
  <c r="F7" i="32"/>
  <c r="E7" i="32"/>
  <c r="E8" i="32" s="1"/>
  <c r="D7" i="32"/>
  <c r="AA6" i="32"/>
  <c r="L6" i="32"/>
  <c r="H6" i="32"/>
  <c r="C6" i="32"/>
  <c r="AA5" i="32"/>
  <c r="L5" i="32"/>
  <c r="H5" i="32"/>
  <c r="C5" i="32"/>
  <c r="AA4" i="32"/>
  <c r="L4" i="32"/>
  <c r="H4" i="32"/>
  <c r="C4" i="32"/>
  <c r="AA3" i="32"/>
  <c r="L3" i="32"/>
  <c r="H3" i="32"/>
  <c r="C3" i="32"/>
  <c r="C7" i="32" s="1"/>
  <c r="AA2" i="32"/>
  <c r="L2" i="32"/>
  <c r="L7" i="32" s="1"/>
  <c r="H2" i="32"/>
  <c r="H7" i="32" s="1"/>
  <c r="C2" i="32"/>
  <c r="H27" i="32" l="1"/>
  <c r="H8" i="32"/>
  <c r="AA27" i="32"/>
  <c r="AA22" i="32"/>
  <c r="AK23" i="32"/>
  <c r="AK22" i="32" s="1"/>
  <c r="L27" i="32"/>
  <c r="C27" i="32"/>
  <c r="C8" i="32"/>
  <c r="W28" i="32"/>
  <c r="W8" i="32" s="1"/>
  <c r="L29" i="32"/>
  <c r="L28" i="32" s="1"/>
  <c r="L8" i="32" s="1"/>
  <c r="AA30" i="32"/>
  <c r="C30" i="32"/>
  <c r="P8" i="32"/>
  <c r="X8" i="32"/>
  <c r="AF8" i="32"/>
  <c r="E22" i="32"/>
  <c r="E27" i="32"/>
  <c r="M27" i="32"/>
  <c r="U27" i="32"/>
  <c r="AC27" i="32"/>
  <c r="AK27" i="32"/>
  <c r="I8" i="32"/>
  <c r="Q8" i="32"/>
  <c r="Y8" i="32"/>
  <c r="AG8" i="32"/>
  <c r="J8" i="32"/>
  <c r="R8" i="32"/>
  <c r="Z8" i="32"/>
  <c r="AH8" i="32"/>
  <c r="K8" i="32"/>
  <c r="S8" i="32"/>
  <c r="AA8" i="32"/>
  <c r="AI8" i="32"/>
  <c r="B16" i="9" l="1"/>
  <c r="D99" i="22" l="1"/>
  <c r="E45" i="18"/>
  <c r="B45" i="18" s="1"/>
  <c r="C99" i="22" s="1"/>
  <c r="D98" i="22" l="1"/>
  <c r="E44" i="18"/>
  <c r="B44" i="18" s="1"/>
  <c r="C98" i="22" s="1"/>
  <c r="C29" i="15" l="1"/>
  <c r="E37" i="38" l="1"/>
  <c r="J25" i="38"/>
  <c r="E33" i="38"/>
  <c r="E32" i="38"/>
  <c r="J30" i="38"/>
  <c r="E31" i="38"/>
  <c r="E30" i="38"/>
  <c r="E29" i="38"/>
  <c r="E28" i="38"/>
  <c r="J26" i="38"/>
  <c r="E27" i="38"/>
  <c r="E26" i="38"/>
  <c r="E25" i="38"/>
  <c r="E24" i="38"/>
  <c r="F16" i="38"/>
  <c r="J13" i="38" s="1"/>
  <c r="E16" i="38"/>
  <c r="I7" i="38" s="1"/>
  <c r="D16" i="38"/>
  <c r="H7" i="38" s="1"/>
  <c r="J14" i="38"/>
  <c r="G9" i="34"/>
  <c r="F9" i="34"/>
  <c r="E9" i="34"/>
  <c r="D9" i="34"/>
  <c r="C9" i="34"/>
  <c r="O9" i="27"/>
  <c r="J9" i="27" s="1"/>
  <c r="N9" i="27" s="1"/>
  <c r="O69" i="10"/>
  <c r="F69" i="10"/>
  <c r="D69" i="10" s="1"/>
  <c r="D86" i="22" s="1"/>
  <c r="O61" i="10"/>
  <c r="F61" i="10"/>
  <c r="D61" i="10" s="1"/>
  <c r="D85" i="22" s="1"/>
  <c r="O53" i="10"/>
  <c r="F53" i="10"/>
  <c r="D53" i="10" s="1"/>
  <c r="D84" i="22" s="1"/>
  <c r="E53" i="10"/>
  <c r="O52" i="10"/>
  <c r="F52" i="10"/>
  <c r="D52" i="10" s="1"/>
  <c r="D83" i="22" s="1"/>
  <c r="O51" i="10"/>
  <c r="F51" i="10"/>
  <c r="D51" i="10" s="1"/>
  <c r="D82" i="22" s="1"/>
  <c r="O43" i="10"/>
  <c r="F43" i="10"/>
  <c r="D43" i="10" s="1"/>
  <c r="D81" i="22" s="1"/>
  <c r="O42" i="10"/>
  <c r="F42" i="10"/>
  <c r="D42" i="10" s="1"/>
  <c r="D80" i="22" s="1"/>
  <c r="O41" i="10"/>
  <c r="F41" i="10"/>
  <c r="D41" i="10" s="1"/>
  <c r="D79" i="22" s="1"/>
  <c r="O40" i="10"/>
  <c r="F40" i="10"/>
  <c r="D40" i="10" s="1"/>
  <c r="D78" i="22" s="1"/>
  <c r="O39" i="10"/>
  <c r="F39" i="10"/>
  <c r="D39" i="10" s="1"/>
  <c r="D77" i="22" s="1"/>
  <c r="O38" i="10"/>
  <c r="F38" i="10"/>
  <c r="D38" i="10" s="1"/>
  <c r="D76" i="22" s="1"/>
  <c r="O37" i="10"/>
  <c r="F37" i="10"/>
  <c r="D37" i="10" s="1"/>
  <c r="D75" i="22" s="1"/>
  <c r="O36" i="10"/>
  <c r="F36" i="10"/>
  <c r="D36" i="10" s="1"/>
  <c r="D74" i="22" s="1"/>
  <c r="X28" i="10"/>
  <c r="O28" i="10"/>
  <c r="F28" i="10"/>
  <c r="D28" i="10" s="1"/>
  <c r="D73" i="22" s="1"/>
  <c r="O27" i="10"/>
  <c r="F27" i="10"/>
  <c r="D27" i="10" s="1"/>
  <c r="D72" i="22" s="1"/>
  <c r="E27" i="10"/>
  <c r="O26" i="10"/>
  <c r="F26" i="10"/>
  <c r="D26" i="10" s="1"/>
  <c r="D71" i="22" s="1"/>
  <c r="O25" i="10"/>
  <c r="F25" i="10"/>
  <c r="D25" i="10" s="1"/>
  <c r="D70" i="22" s="1"/>
  <c r="D11" i="10"/>
  <c r="B11" i="10"/>
  <c r="B20" i="10" s="1"/>
  <c r="D10" i="10"/>
  <c r="B10" i="10"/>
  <c r="B19" i="10" s="1"/>
  <c r="D9" i="10"/>
  <c r="B9" i="10"/>
  <c r="B18" i="10" s="1"/>
  <c r="D8" i="10"/>
  <c r="B8" i="10"/>
  <c r="B17" i="10" s="1"/>
  <c r="D7" i="10"/>
  <c r="B7" i="10"/>
  <c r="B16" i="10" s="1"/>
  <c r="H45" i="8"/>
  <c r="F44" i="8"/>
  <c r="H43" i="8"/>
  <c r="R43" i="8" s="1"/>
  <c r="F42" i="8"/>
  <c r="R41" i="8"/>
  <c r="P41" i="8"/>
  <c r="Q41" i="8" s="1"/>
  <c r="F41" i="8"/>
  <c r="F40" i="8"/>
  <c r="H39" i="8"/>
  <c r="R39" i="8" s="1"/>
  <c r="F39" i="8"/>
  <c r="R38" i="8"/>
  <c r="F38" i="8"/>
  <c r="R37" i="8"/>
  <c r="F37" i="8"/>
  <c r="R36" i="8"/>
  <c r="F36" i="8"/>
  <c r="B33" i="8"/>
  <c r="H28" i="8"/>
  <c r="F27" i="8"/>
  <c r="H26" i="8"/>
  <c r="R26" i="8" s="1"/>
  <c r="F25" i="8"/>
  <c r="R24" i="8"/>
  <c r="P24" i="8"/>
  <c r="Q24" i="8" s="1"/>
  <c r="F24" i="8"/>
  <c r="F23" i="8"/>
  <c r="H22" i="8"/>
  <c r="F22" i="8"/>
  <c r="R21" i="8"/>
  <c r="F21" i="8"/>
  <c r="R20" i="8"/>
  <c r="F20" i="8"/>
  <c r="R19" i="8"/>
  <c r="F19" i="8"/>
  <c r="B16" i="8"/>
  <c r="K63" i="9"/>
  <c r="G63" i="9"/>
  <c r="Q63" i="9" s="1"/>
  <c r="K61" i="9"/>
  <c r="G61" i="9"/>
  <c r="Q61" i="9" s="1"/>
  <c r="K59" i="9"/>
  <c r="G59" i="9"/>
  <c r="Q59" i="9" s="1"/>
  <c r="K57" i="9"/>
  <c r="G57" i="9"/>
  <c r="Q57" i="9" s="1"/>
  <c r="K55" i="9"/>
  <c r="G55" i="9"/>
  <c r="Q55" i="9" s="1"/>
  <c r="E54" i="9"/>
  <c r="Q53" i="9"/>
  <c r="E53" i="9"/>
  <c r="Q52" i="9"/>
  <c r="E52" i="9"/>
  <c r="Q51" i="9"/>
  <c r="E51" i="9"/>
  <c r="Q50" i="9"/>
  <c r="E50" i="9"/>
  <c r="Q49" i="9"/>
  <c r="E49" i="9"/>
  <c r="Q48" i="9"/>
  <c r="E48" i="9"/>
  <c r="Q47" i="9"/>
  <c r="E47" i="9"/>
  <c r="Q46" i="9"/>
  <c r="E46" i="9"/>
  <c r="Q45" i="9"/>
  <c r="N45" i="9"/>
  <c r="E45" i="9"/>
  <c r="B42" i="9"/>
  <c r="K37" i="9"/>
  <c r="G37" i="9"/>
  <c r="K35" i="9"/>
  <c r="G35" i="9"/>
  <c r="Q35" i="9" s="1"/>
  <c r="K33" i="9"/>
  <c r="G33" i="9"/>
  <c r="Q33" i="9" s="1"/>
  <c r="K31" i="9"/>
  <c r="G31" i="9"/>
  <c r="Q31" i="9" s="1"/>
  <c r="K29" i="9"/>
  <c r="G29" i="9"/>
  <c r="E28" i="9"/>
  <c r="Q27" i="9"/>
  <c r="E27" i="9"/>
  <c r="Q26" i="9"/>
  <c r="E26" i="9"/>
  <c r="Q25" i="9"/>
  <c r="E25" i="9"/>
  <c r="Q24" i="9"/>
  <c r="E24" i="9"/>
  <c r="Q23" i="9"/>
  <c r="E23" i="9"/>
  <c r="Q22" i="9"/>
  <c r="E22" i="9"/>
  <c r="Q21" i="9"/>
  <c r="E21" i="9"/>
  <c r="Q20" i="9"/>
  <c r="E20" i="9"/>
  <c r="Q19" i="9"/>
  <c r="N19" i="9"/>
  <c r="E19" i="9"/>
  <c r="D8" i="9"/>
  <c r="D7" i="9"/>
  <c r="K77" i="7"/>
  <c r="K76" i="7"/>
  <c r="K75" i="7"/>
  <c r="T74" i="7"/>
  <c r="F74" i="7"/>
  <c r="K73" i="7"/>
  <c r="T72" i="7"/>
  <c r="F72" i="7"/>
  <c r="E62" i="9" s="1"/>
  <c r="E72" i="7"/>
  <c r="K71" i="7"/>
  <c r="T70" i="7"/>
  <c r="F70" i="7"/>
  <c r="T69" i="7"/>
  <c r="K69" i="7"/>
  <c r="F69" i="7"/>
  <c r="T68" i="7"/>
  <c r="K68" i="7"/>
  <c r="F68" i="7"/>
  <c r="T67" i="7"/>
  <c r="K67" i="7"/>
  <c r="F67" i="7"/>
  <c r="T65" i="7"/>
  <c r="F65" i="7"/>
  <c r="E65" i="7"/>
  <c r="T64" i="7"/>
  <c r="F64" i="7"/>
  <c r="K63" i="7"/>
  <c r="T62" i="7"/>
  <c r="F62" i="7"/>
  <c r="E60" i="9" s="1"/>
  <c r="E62" i="7"/>
  <c r="T61" i="7"/>
  <c r="K61" i="7"/>
  <c r="F61" i="7"/>
  <c r="K60" i="7"/>
  <c r="T59" i="7"/>
  <c r="F59" i="7"/>
  <c r="E58" i="9" s="1"/>
  <c r="E59" i="7"/>
  <c r="K58" i="7"/>
  <c r="T57" i="7"/>
  <c r="F57" i="7"/>
  <c r="T56" i="7"/>
  <c r="K56" i="7"/>
  <c r="F56" i="7"/>
  <c r="K55" i="7"/>
  <c r="T54" i="7"/>
  <c r="F54" i="7"/>
  <c r="E56" i="9" s="1"/>
  <c r="E54" i="7"/>
  <c r="T53" i="7"/>
  <c r="K53" i="7"/>
  <c r="F53" i="7"/>
  <c r="T52" i="7"/>
  <c r="K52" i="7"/>
  <c r="F52" i="7"/>
  <c r="T51" i="7"/>
  <c r="R51" i="7" s="1"/>
  <c r="K51" i="7"/>
  <c r="F51" i="7"/>
  <c r="B48" i="7"/>
  <c r="K44" i="7"/>
  <c r="K43" i="7"/>
  <c r="T42" i="7"/>
  <c r="F42" i="7"/>
  <c r="K41" i="7"/>
  <c r="T40" i="7"/>
  <c r="F40" i="7"/>
  <c r="E36" i="9" s="1"/>
  <c r="E40" i="7"/>
  <c r="K39" i="7"/>
  <c r="T38" i="7"/>
  <c r="F38" i="7"/>
  <c r="T37" i="7"/>
  <c r="K37" i="7"/>
  <c r="F37" i="7"/>
  <c r="T36" i="7"/>
  <c r="K36" i="7"/>
  <c r="F36" i="7"/>
  <c r="T35" i="7"/>
  <c r="K35" i="7"/>
  <c r="F35" i="7"/>
  <c r="T33" i="7"/>
  <c r="F33" i="7"/>
  <c r="E33" i="7"/>
  <c r="T32" i="7"/>
  <c r="F32" i="7"/>
  <c r="K31" i="7"/>
  <c r="T30" i="7"/>
  <c r="F30" i="7"/>
  <c r="E34" i="9" s="1"/>
  <c r="E30" i="7"/>
  <c r="T29" i="7"/>
  <c r="K29" i="7"/>
  <c r="F29" i="7"/>
  <c r="K28" i="7"/>
  <c r="T27" i="7"/>
  <c r="F27" i="7"/>
  <c r="E32" i="9" s="1"/>
  <c r="E27" i="7"/>
  <c r="K26" i="7"/>
  <c r="T25" i="7"/>
  <c r="F25" i="7"/>
  <c r="T24" i="7"/>
  <c r="K24" i="7"/>
  <c r="F24" i="7"/>
  <c r="K23" i="7"/>
  <c r="T22" i="7"/>
  <c r="F22" i="7"/>
  <c r="E30" i="9" s="1"/>
  <c r="E22" i="7"/>
  <c r="T21" i="7"/>
  <c r="K21" i="7"/>
  <c r="F21" i="7"/>
  <c r="T20" i="7"/>
  <c r="K20" i="7"/>
  <c r="F20" i="7"/>
  <c r="T19" i="7"/>
  <c r="R19" i="7" s="1"/>
  <c r="K19" i="7"/>
  <c r="F19" i="7"/>
  <c r="B16" i="7"/>
  <c r="B21" i="21"/>
  <c r="B20" i="21"/>
  <c r="B19" i="21"/>
  <c r="B18" i="21"/>
  <c r="B17" i="21"/>
  <c r="F16" i="21"/>
  <c r="D16" i="21"/>
  <c r="C16" i="21"/>
  <c r="B16" i="21"/>
  <c r="F14" i="21"/>
  <c r="E14" i="21"/>
  <c r="D14" i="21"/>
  <c r="C14" i="21"/>
  <c r="E38" i="18"/>
  <c r="B36" i="18" s="1"/>
  <c r="D37" i="18"/>
  <c r="I28" i="18"/>
  <c r="E28" i="18"/>
  <c r="B28" i="18" s="1"/>
  <c r="C89" i="22" s="1"/>
  <c r="E21" i="18"/>
  <c r="E15" i="18"/>
  <c r="B15" i="18" s="1"/>
  <c r="C97" i="22" s="1"/>
  <c r="E14" i="18"/>
  <c r="B14" i="18" s="1"/>
  <c r="C96" i="22" s="1"/>
  <c r="E13" i="18"/>
  <c r="B13" i="18" s="1"/>
  <c r="C95" i="22" s="1"/>
  <c r="E12" i="18"/>
  <c r="B12" i="18" s="1"/>
  <c r="C94" i="22" s="1"/>
  <c r="E11" i="18"/>
  <c r="B11" i="18" s="1"/>
  <c r="C93" i="22" s="1"/>
  <c r="E9" i="18"/>
  <c r="B9" i="18" s="1"/>
  <c r="C92" i="22" s="1"/>
  <c r="E8" i="18"/>
  <c r="B8" i="18" s="1"/>
  <c r="C91" i="22" s="1"/>
  <c r="E6" i="18"/>
  <c r="B6" i="18" s="1"/>
  <c r="C90" i="22" s="1"/>
  <c r="D97" i="22"/>
  <c r="D96" i="22"/>
  <c r="D95" i="22"/>
  <c r="D94" i="22"/>
  <c r="D93" i="22"/>
  <c r="D92" i="22"/>
  <c r="D91" i="22"/>
  <c r="D90" i="22"/>
  <c r="D89" i="22"/>
  <c r="D88" i="22"/>
  <c r="D87" i="22"/>
  <c r="C87" i="22"/>
  <c r="C34" i="15"/>
  <c r="B8" i="9" s="1"/>
  <c r="B14" i="9" s="1"/>
  <c r="C33" i="15"/>
  <c r="B7" i="9" s="1"/>
  <c r="B13" i="9" s="1"/>
  <c r="C37" i="6"/>
  <c r="C31" i="15"/>
  <c r="C36" i="6" s="1"/>
  <c r="C30" i="15"/>
  <c r="D70" i="6"/>
  <c r="C70" i="6" s="1"/>
  <c r="N48" i="6"/>
  <c r="C47" i="6"/>
  <c r="B47" i="6"/>
  <c r="C46" i="6"/>
  <c r="B46" i="6"/>
  <c r="C45" i="6"/>
  <c r="B45" i="6"/>
  <c r="C44" i="6"/>
  <c r="B44" i="6"/>
  <c r="C43" i="6"/>
  <c r="B43" i="6"/>
  <c r="C42" i="6"/>
  <c r="B42" i="6"/>
  <c r="N41" i="6"/>
  <c r="B40" i="6"/>
  <c r="B39" i="6"/>
  <c r="N38" i="6"/>
  <c r="B37" i="6"/>
  <c r="D8" i="8" s="1"/>
  <c r="B36" i="6"/>
  <c r="D7" i="8" s="1"/>
  <c r="N35" i="6"/>
  <c r="C34" i="6"/>
  <c r="G70" i="7" s="1"/>
  <c r="G44" i="8" s="1"/>
  <c r="B34" i="6"/>
  <c r="D8" i="7" s="1"/>
  <c r="C33" i="6"/>
  <c r="B33" i="7" s="1"/>
  <c r="B33" i="6"/>
  <c r="D7" i="7" s="1"/>
  <c r="N32" i="6"/>
  <c r="M32" i="6"/>
  <c r="L32" i="6"/>
  <c r="K32" i="6"/>
  <c r="J32" i="6"/>
  <c r="H32" i="6"/>
  <c r="G32" i="6"/>
  <c r="F32" i="6"/>
  <c r="E32" i="6"/>
  <c r="D32" i="6"/>
  <c r="M27" i="6"/>
  <c r="K27" i="6"/>
  <c r="J27" i="6"/>
  <c r="F27" i="6"/>
  <c r="G22" i="6"/>
  <c r="H22" i="6" s="1"/>
  <c r="E22" i="6"/>
  <c r="G20" i="6"/>
  <c r="H20" i="6" s="1"/>
  <c r="E20" i="6"/>
  <c r="G18" i="6"/>
  <c r="H18" i="6" s="1"/>
  <c r="E18" i="6"/>
  <c r="N17" i="6"/>
  <c r="M17" i="6"/>
  <c r="L17" i="6"/>
  <c r="K17" i="6"/>
  <c r="J17" i="6"/>
  <c r="H17" i="6"/>
  <c r="G17" i="6"/>
  <c r="F17" i="6"/>
  <c r="E17" i="6"/>
  <c r="D17" i="6"/>
  <c r="N12" i="6"/>
  <c r="M11" i="6"/>
  <c r="M40" i="6" s="1"/>
  <c r="K11" i="6"/>
  <c r="K40" i="6" s="1"/>
  <c r="O52" i="9" s="1"/>
  <c r="P52" i="9" s="1"/>
  <c r="J11" i="6"/>
  <c r="J40" i="6" s="1"/>
  <c r="O51" i="9" s="1"/>
  <c r="P51" i="9" s="1"/>
  <c r="I11" i="6"/>
  <c r="H11" i="6"/>
  <c r="C11" i="6"/>
  <c r="M10" i="6"/>
  <c r="M36" i="6" s="1"/>
  <c r="K10" i="6"/>
  <c r="K39" i="6" s="1"/>
  <c r="J10" i="6"/>
  <c r="J12" i="6" s="1"/>
  <c r="I10" i="6"/>
  <c r="H10" i="6"/>
  <c r="H12" i="6" s="1"/>
  <c r="E10" i="6"/>
  <c r="C10" i="6"/>
  <c r="D11" i="6"/>
  <c r="L11" i="6"/>
  <c r="G11" i="6"/>
  <c r="E11" i="6"/>
  <c r="D10" i="6"/>
  <c r="D33" i="6" s="1"/>
  <c r="L10" i="6"/>
  <c r="G10" i="6"/>
  <c r="AM55" i="32"/>
  <c r="AM54" i="32"/>
  <c r="AM53" i="32"/>
  <c r="AM49" i="32"/>
  <c r="AM24" i="32"/>
  <c r="AM21" i="32"/>
  <c r="AM20" i="32"/>
  <c r="AM19" i="32"/>
  <c r="AM18" i="32"/>
  <c r="AM12" i="32"/>
  <c r="AM11" i="32"/>
  <c r="AM10" i="32"/>
  <c r="V62" i="32"/>
  <c r="N62" i="32"/>
  <c r="AM6" i="32"/>
  <c r="AM5" i="32"/>
  <c r="AM4" i="32"/>
  <c r="J8" i="38" l="1"/>
  <c r="F18" i="38"/>
  <c r="F19" i="38" s="1"/>
  <c r="J9" i="38"/>
  <c r="J10" i="38"/>
  <c r="I11" i="38"/>
  <c r="G40" i="6"/>
  <c r="O48" i="9" s="1"/>
  <c r="H40" i="6"/>
  <c r="O49" i="9" s="1"/>
  <c r="D71" i="6"/>
  <c r="D72" i="6" s="1"/>
  <c r="I12" i="6"/>
  <c r="I13" i="18" s="1"/>
  <c r="M33" i="6"/>
  <c r="S42" i="7" s="1"/>
  <c r="AH62" i="32"/>
  <c r="AM15" i="32"/>
  <c r="M39" i="6"/>
  <c r="M41" i="6" s="1"/>
  <c r="R62" i="32"/>
  <c r="J62" i="32"/>
  <c r="S62" i="32"/>
  <c r="I62" i="32"/>
  <c r="I20" i="6"/>
  <c r="I40" i="6" s="1"/>
  <c r="O50" i="9" s="1"/>
  <c r="P50" i="9" s="1"/>
  <c r="Z62" i="32"/>
  <c r="E62" i="32"/>
  <c r="M62" i="32"/>
  <c r="AM32" i="32"/>
  <c r="AM36" i="32"/>
  <c r="AM38" i="32"/>
  <c r="AM42" i="32"/>
  <c r="AM44" i="32"/>
  <c r="AM47" i="32"/>
  <c r="E27" i="6"/>
  <c r="H11" i="38"/>
  <c r="AI62" i="32"/>
  <c r="AD62" i="32"/>
  <c r="AL62" i="32"/>
  <c r="AM14" i="32"/>
  <c r="AM17" i="32"/>
  <c r="J11" i="38"/>
  <c r="J29" i="38"/>
  <c r="O62" i="32"/>
  <c r="AM26" i="32"/>
  <c r="H39" i="6"/>
  <c r="O23" i="9" s="1"/>
  <c r="J12" i="38"/>
  <c r="AE62" i="32"/>
  <c r="U62" i="32"/>
  <c r="AG62" i="32"/>
  <c r="AM37" i="32"/>
  <c r="AM39" i="32"/>
  <c r="AM43" i="32"/>
  <c r="AM46" i="32"/>
  <c r="H27" i="6"/>
  <c r="J7" i="38"/>
  <c r="B53" i="10"/>
  <c r="C53" i="10" s="1"/>
  <c r="C84" i="22" s="1"/>
  <c r="B69" i="10"/>
  <c r="C69" i="10" s="1"/>
  <c r="C86" i="22" s="1"/>
  <c r="B40" i="10"/>
  <c r="C40" i="10" s="1"/>
  <c r="C78" i="22" s="1"/>
  <c r="B61" i="10"/>
  <c r="C61" i="10" s="1"/>
  <c r="C85" i="22" s="1"/>
  <c r="B51" i="10"/>
  <c r="C51" i="10" s="1"/>
  <c r="C82" i="22" s="1"/>
  <c r="C40" i="6"/>
  <c r="G73" i="7" s="1"/>
  <c r="F63" i="9" s="1"/>
  <c r="C39" i="6"/>
  <c r="G43" i="7" s="1"/>
  <c r="F29" i="9" s="1"/>
  <c r="B8" i="8"/>
  <c r="B39" i="8" s="1"/>
  <c r="G58" i="7"/>
  <c r="G43" i="8" s="1"/>
  <c r="B8" i="7"/>
  <c r="B74" i="7" s="1"/>
  <c r="G40" i="7"/>
  <c r="F36" i="9" s="1"/>
  <c r="B21" i="18"/>
  <c r="C88" i="22" s="1"/>
  <c r="B39" i="10"/>
  <c r="C39" i="10" s="1"/>
  <c r="C77" i="22" s="1"/>
  <c r="D62" i="32"/>
  <c r="P62" i="32"/>
  <c r="AM50" i="32"/>
  <c r="AM3" i="32"/>
  <c r="AB62" i="32"/>
  <c r="AF62" i="32"/>
  <c r="AJ62" i="32"/>
  <c r="F62" i="32"/>
  <c r="AM9" i="32"/>
  <c r="Q62" i="32"/>
  <c r="AM33" i="32"/>
  <c r="AM34" i="32"/>
  <c r="AM35" i="32"/>
  <c r="I14" i="18"/>
  <c r="J43" i="6"/>
  <c r="N42" i="10" s="1"/>
  <c r="J42" i="6"/>
  <c r="T62" i="32"/>
  <c r="AM40" i="32"/>
  <c r="O26" i="9"/>
  <c r="P26" i="9" s="1"/>
  <c r="K41" i="6"/>
  <c r="AC62" i="32"/>
  <c r="Y62" i="32"/>
  <c r="K62" i="32"/>
  <c r="AM41" i="32"/>
  <c r="AM51" i="32"/>
  <c r="F10" i="6"/>
  <c r="AM58" i="32"/>
  <c r="E40" i="6"/>
  <c r="O46" i="9" s="1"/>
  <c r="P46" i="9" s="1"/>
  <c r="E37" i="6"/>
  <c r="E34" i="6"/>
  <c r="S52" i="7" s="1"/>
  <c r="L40" i="6"/>
  <c r="O53" i="9" s="1"/>
  <c r="L37" i="6"/>
  <c r="L34" i="6"/>
  <c r="L12" i="6"/>
  <c r="L24" i="6" s="1"/>
  <c r="AM16" i="32"/>
  <c r="AM7" i="32"/>
  <c r="AM13" i="32"/>
  <c r="G39" i="6"/>
  <c r="G36" i="6"/>
  <c r="G12" i="6"/>
  <c r="G33" i="6"/>
  <c r="AM61" i="32"/>
  <c r="B7" i="8"/>
  <c r="B13" i="8" s="1"/>
  <c r="G39" i="7"/>
  <c r="G28" i="8" s="1"/>
  <c r="G26" i="7"/>
  <c r="G26" i="8" s="1"/>
  <c r="E12" i="6"/>
  <c r="AM56" i="32"/>
  <c r="D39" i="6"/>
  <c r="D36" i="6"/>
  <c r="I18" i="6"/>
  <c r="G30" i="7"/>
  <c r="F34" i="9" s="1"/>
  <c r="B42" i="7"/>
  <c r="B37" i="7"/>
  <c r="B7" i="7"/>
  <c r="B13" i="7" s="1"/>
  <c r="G42" i="7"/>
  <c r="F28" i="9" s="1"/>
  <c r="B40" i="7"/>
  <c r="G33" i="7"/>
  <c r="B22" i="7"/>
  <c r="D22" i="7" s="1"/>
  <c r="G34" i="6"/>
  <c r="M34" i="6"/>
  <c r="S74" i="7" s="1"/>
  <c r="I36" i="6"/>
  <c r="G37" i="6"/>
  <c r="P36" i="8" s="1"/>
  <c r="M37" i="6"/>
  <c r="M38" i="6" s="1"/>
  <c r="G41" i="7"/>
  <c r="F37" i="9" s="1"/>
  <c r="G28" i="7"/>
  <c r="F33" i="9" s="1"/>
  <c r="I42" i="6"/>
  <c r="G23" i="7"/>
  <c r="F31" i="9" s="1"/>
  <c r="B38" i="7"/>
  <c r="G59" i="7"/>
  <c r="F58" i="9" s="1"/>
  <c r="G71" i="7"/>
  <c r="G45" i="8" s="1"/>
  <c r="V45" i="7"/>
  <c r="AM52" i="32"/>
  <c r="D40" i="6"/>
  <c r="O45" i="9" s="1"/>
  <c r="D37" i="6"/>
  <c r="D34" i="6"/>
  <c r="S51" i="7" s="1"/>
  <c r="H43" i="6"/>
  <c r="N40" i="10" s="1"/>
  <c r="H42" i="6"/>
  <c r="E33" i="6"/>
  <c r="J33" i="6"/>
  <c r="G72" i="7"/>
  <c r="F62" i="9" s="1"/>
  <c r="G74" i="7"/>
  <c r="F54" i="9" s="1"/>
  <c r="G62" i="7"/>
  <c r="F60" i="9" s="1"/>
  <c r="G57" i="7"/>
  <c r="G42" i="8" s="1"/>
  <c r="G54" i="7"/>
  <c r="F56" i="9" s="1"/>
  <c r="E36" i="6"/>
  <c r="J36" i="6"/>
  <c r="I37" i="6"/>
  <c r="E39" i="6"/>
  <c r="J39" i="6"/>
  <c r="G60" i="7"/>
  <c r="F59" i="9" s="1"/>
  <c r="I43" i="6"/>
  <c r="N41" i="10" s="1"/>
  <c r="B19" i="9"/>
  <c r="B27" i="9"/>
  <c r="B20" i="9"/>
  <c r="B24" i="9"/>
  <c r="B23" i="9"/>
  <c r="B22" i="9"/>
  <c r="B21" i="9"/>
  <c r="B26" i="9"/>
  <c r="I12" i="18"/>
  <c r="B19" i="7"/>
  <c r="B20" i="7"/>
  <c r="D20" i="7" s="1"/>
  <c r="D7" i="22" s="1"/>
  <c r="G65" i="7"/>
  <c r="B25" i="9"/>
  <c r="O10" i="6"/>
  <c r="K12" i="6"/>
  <c r="K34" i="6"/>
  <c r="S68" i="7" s="1"/>
  <c r="K37" i="6"/>
  <c r="P37" i="8" s="1"/>
  <c r="Q37" i="8" s="1"/>
  <c r="D33" i="7"/>
  <c r="D16" i="22" s="1"/>
  <c r="C33" i="7"/>
  <c r="C16" i="22" s="1"/>
  <c r="AM2" i="32"/>
  <c r="AM48" i="32"/>
  <c r="G9" i="18"/>
  <c r="E16" i="21" s="1"/>
  <c r="L39" i="6"/>
  <c r="L36" i="6"/>
  <c r="L33" i="6"/>
  <c r="F11" i="6"/>
  <c r="M12" i="6"/>
  <c r="D12" i="6"/>
  <c r="G27" i="6"/>
  <c r="K33" i="6"/>
  <c r="J34" i="6"/>
  <c r="S67" i="7" s="1"/>
  <c r="K36" i="6"/>
  <c r="J37" i="6"/>
  <c r="B24" i="7"/>
  <c r="C24" i="7" s="1"/>
  <c r="C10" i="22" s="1"/>
  <c r="G27" i="7"/>
  <c r="F32" i="9" s="1"/>
  <c r="G34" i="7"/>
  <c r="G38" i="7"/>
  <c r="G27" i="8" s="1"/>
  <c r="Q29" i="9"/>
  <c r="Q37" i="9"/>
  <c r="H23" i="8"/>
  <c r="R22" i="8"/>
  <c r="AM60" i="32"/>
  <c r="H33" i="6"/>
  <c r="H34" i="6"/>
  <c r="H36" i="6"/>
  <c r="H37" i="6"/>
  <c r="B52" i="9"/>
  <c r="B50" i="9"/>
  <c r="B48" i="9"/>
  <c r="B46" i="9"/>
  <c r="B53" i="9"/>
  <c r="B51" i="9"/>
  <c r="B49" i="9"/>
  <c r="B47" i="9"/>
  <c r="B45" i="9"/>
  <c r="R28" i="8"/>
  <c r="R45" i="8"/>
  <c r="B26" i="10"/>
  <c r="C26" i="10" s="1"/>
  <c r="C71" i="22" s="1"/>
  <c r="B27" i="10"/>
  <c r="C27" i="10" s="1"/>
  <c r="C72" i="22" s="1"/>
  <c r="B28" i="10"/>
  <c r="C28" i="10" s="1"/>
  <c r="C73" i="22" s="1"/>
  <c r="B25" i="10"/>
  <c r="C25" i="10" s="1"/>
  <c r="C70" i="22" s="1"/>
  <c r="H40" i="8"/>
  <c r="E18" i="38"/>
  <c r="E19" i="38" s="1"/>
  <c r="I13" i="38"/>
  <c r="I9" i="38"/>
  <c r="I14" i="38"/>
  <c r="I10" i="38"/>
  <c r="E17" i="38"/>
  <c r="I12" i="38"/>
  <c r="I8" i="38"/>
  <c r="B36" i="10"/>
  <c r="C36" i="10" s="1"/>
  <c r="C74" i="22" s="1"/>
  <c r="E36" i="38"/>
  <c r="D17" i="38"/>
  <c r="H12" i="38"/>
  <c r="H8" i="38"/>
  <c r="D18" i="38"/>
  <c r="D19" i="38" s="1"/>
  <c r="H13" i="38"/>
  <c r="H9" i="38"/>
  <c r="F17" i="38"/>
  <c r="B42" i="10"/>
  <c r="C42" i="10" s="1"/>
  <c r="C80" i="22" s="1"/>
  <c r="B38" i="10"/>
  <c r="C38" i="10" s="1"/>
  <c r="C76" i="22" s="1"/>
  <c r="B41" i="10"/>
  <c r="C41" i="10" s="1"/>
  <c r="C79" i="22" s="1"/>
  <c r="B37" i="10"/>
  <c r="C37" i="10" s="1"/>
  <c r="C75" i="22" s="1"/>
  <c r="B43" i="10"/>
  <c r="C43" i="10" s="1"/>
  <c r="C81" i="22" s="1"/>
  <c r="H10" i="38"/>
  <c r="H14" i="38"/>
  <c r="J28" i="38"/>
  <c r="J32" i="38"/>
  <c r="J31" i="38"/>
  <c r="J24" i="38"/>
  <c r="J27" i="38"/>
  <c r="E38" i="38"/>
  <c r="B52" i="10"/>
  <c r="C52" i="10" s="1"/>
  <c r="C83" i="22" s="1"/>
  <c r="G25" i="7"/>
  <c r="G25" i="8" s="1"/>
  <c r="B35" i="7"/>
  <c r="B32" i="7"/>
  <c r="C32" i="7" s="1"/>
  <c r="G22" i="7"/>
  <c r="F30" i="9" s="1"/>
  <c r="B21" i="7"/>
  <c r="C21" i="7" s="1"/>
  <c r="B29" i="7"/>
  <c r="C29" i="7" s="1"/>
  <c r="B30" i="7"/>
  <c r="C30" i="7" s="1"/>
  <c r="B25" i="7"/>
  <c r="C25" i="7" s="1"/>
  <c r="B36" i="7"/>
  <c r="C36" i="7" s="1"/>
  <c r="B27" i="7"/>
  <c r="C27" i="7" s="1"/>
  <c r="G66" i="7" l="1"/>
  <c r="G75" i="7"/>
  <c r="F55" i="9" s="1"/>
  <c r="M35" i="6"/>
  <c r="H41" i="6"/>
  <c r="I27" i="6"/>
  <c r="I39" i="6"/>
  <c r="O24" i="9" s="1"/>
  <c r="P24" i="9" s="1"/>
  <c r="E38" i="6"/>
  <c r="H38" i="6"/>
  <c r="F20" i="38"/>
  <c r="AM25" i="32"/>
  <c r="G63" i="7"/>
  <c r="F61" i="9" s="1"/>
  <c r="I34" i="6"/>
  <c r="H48" i="6"/>
  <c r="AM45" i="32"/>
  <c r="G62" i="32"/>
  <c r="B37" i="8"/>
  <c r="C37" i="8" s="1"/>
  <c r="C65" i="22" s="1"/>
  <c r="B14" i="8"/>
  <c r="B53" i="7"/>
  <c r="D53" i="7" s="1"/>
  <c r="D25" i="22" s="1"/>
  <c r="B57" i="7"/>
  <c r="C57" i="7" s="1"/>
  <c r="B62" i="7"/>
  <c r="C62" i="7" s="1"/>
  <c r="B69" i="7"/>
  <c r="D69" i="7" s="1"/>
  <c r="D36" i="22" s="1"/>
  <c r="B14" i="7"/>
  <c r="B61" i="7"/>
  <c r="D61" i="7" s="1"/>
  <c r="D30" i="22" s="1"/>
  <c r="G55" i="7"/>
  <c r="F57" i="9" s="1"/>
  <c r="B41" i="8"/>
  <c r="D41" i="8" s="1"/>
  <c r="D69" i="22" s="1"/>
  <c r="B38" i="8"/>
  <c r="D38" i="8" s="1"/>
  <c r="D66" i="22" s="1"/>
  <c r="B40" i="8"/>
  <c r="C40" i="8" s="1"/>
  <c r="C68" i="22" s="1"/>
  <c r="B36" i="8"/>
  <c r="C36" i="8" s="1"/>
  <c r="C64" i="22" s="1"/>
  <c r="G31" i="7"/>
  <c r="F35" i="9" s="1"/>
  <c r="B54" i="7"/>
  <c r="D54" i="7" s="1"/>
  <c r="B70" i="7"/>
  <c r="C70" i="7" s="1"/>
  <c r="B51" i="7"/>
  <c r="C51" i="7" s="1"/>
  <c r="C23" i="22" s="1"/>
  <c r="B56" i="7"/>
  <c r="C56" i="7" s="1"/>
  <c r="C27" i="22" s="1"/>
  <c r="B64" i="7"/>
  <c r="C64" i="7" s="1"/>
  <c r="C32" i="22" s="1"/>
  <c r="B67" i="7"/>
  <c r="D67" i="7" s="1"/>
  <c r="D34" i="22" s="1"/>
  <c r="B72" i="7"/>
  <c r="D72" i="7" s="1"/>
  <c r="B68" i="7"/>
  <c r="C68" i="7" s="1"/>
  <c r="C35" i="22" s="1"/>
  <c r="B59" i="7"/>
  <c r="C59" i="7" s="1"/>
  <c r="B52" i="7"/>
  <c r="C52" i="7" s="1"/>
  <c r="C24" i="22" s="1"/>
  <c r="B65" i="7"/>
  <c r="D65" i="7" s="1"/>
  <c r="D33" i="22" s="1"/>
  <c r="C49" i="9"/>
  <c r="C53" i="22" s="1"/>
  <c r="D49" i="9"/>
  <c r="D53" i="22" s="1"/>
  <c r="S29" i="7"/>
  <c r="H35" i="6"/>
  <c r="S30" i="7"/>
  <c r="R23" i="8"/>
  <c r="C19" i="9"/>
  <c r="C40" i="22" s="1"/>
  <c r="D19" i="9"/>
  <c r="D40" i="22" s="1"/>
  <c r="S64" i="7"/>
  <c r="S65" i="7"/>
  <c r="S57" i="7"/>
  <c r="S56" i="7"/>
  <c r="S59" i="7"/>
  <c r="D40" i="7"/>
  <c r="C40" i="7"/>
  <c r="C36" i="9" s="1"/>
  <c r="S25" i="7"/>
  <c r="S24" i="7"/>
  <c r="G35" i="6"/>
  <c r="S27" i="7"/>
  <c r="P39" i="8"/>
  <c r="P38" i="8"/>
  <c r="P40" i="8"/>
  <c r="AK62" i="32"/>
  <c r="C51" i="9"/>
  <c r="C55" i="22" s="1"/>
  <c r="D51" i="9"/>
  <c r="D55" i="22" s="1"/>
  <c r="C50" i="9"/>
  <c r="C54" i="22" s="1"/>
  <c r="D50" i="9"/>
  <c r="D54" i="22" s="1"/>
  <c r="P20" i="8"/>
  <c r="Q20" i="8" s="1"/>
  <c r="K38" i="6"/>
  <c r="G6" i="18"/>
  <c r="D43" i="6"/>
  <c r="N36" i="10" s="1"/>
  <c r="D42" i="6"/>
  <c r="I6" i="18"/>
  <c r="S37" i="7"/>
  <c r="S40" i="7"/>
  <c r="S38" i="7"/>
  <c r="L35" i="6"/>
  <c r="C19" i="7"/>
  <c r="C6" i="22" s="1"/>
  <c r="D19" i="7"/>
  <c r="D6" i="22" s="1"/>
  <c r="C26" i="9"/>
  <c r="C47" i="22" s="1"/>
  <c r="D26" i="9"/>
  <c r="D47" i="22" s="1"/>
  <c r="C24" i="9"/>
  <c r="C45" i="22" s="1"/>
  <c r="D24" i="9"/>
  <c r="D45" i="22" s="1"/>
  <c r="O25" i="9"/>
  <c r="P25" i="9" s="1"/>
  <c r="J41" i="6"/>
  <c r="P45" i="9"/>
  <c r="I41" i="6"/>
  <c r="I38" i="6"/>
  <c r="I33" i="6"/>
  <c r="S19" i="7"/>
  <c r="D35" i="6"/>
  <c r="I11" i="18"/>
  <c r="G42" i="6"/>
  <c r="G43" i="6"/>
  <c r="N39" i="10" s="1"/>
  <c r="L44" i="6"/>
  <c r="L43" i="6"/>
  <c r="L42" i="6"/>
  <c r="L45" i="6"/>
  <c r="N61" i="10" s="1"/>
  <c r="C62" i="32"/>
  <c r="C48" i="9"/>
  <c r="C52" i="22" s="1"/>
  <c r="D48" i="9"/>
  <c r="D52" i="22" s="1"/>
  <c r="F40" i="6"/>
  <c r="O47" i="9" s="1"/>
  <c r="F37" i="6"/>
  <c r="F34" i="6"/>
  <c r="I15" i="18"/>
  <c r="K42" i="6"/>
  <c r="K43" i="6"/>
  <c r="N43" i="10" s="1"/>
  <c r="C20" i="7"/>
  <c r="C7" i="22" s="1"/>
  <c r="C23" i="9"/>
  <c r="C44" i="22" s="1"/>
  <c r="D23" i="9"/>
  <c r="D44" i="22" s="1"/>
  <c r="D42" i="7"/>
  <c r="C42" i="7"/>
  <c r="C22" i="22" s="1"/>
  <c r="AM59" i="32"/>
  <c r="D24" i="7"/>
  <c r="D10" i="22" s="1"/>
  <c r="D35" i="7"/>
  <c r="D17" i="22" s="1"/>
  <c r="C35" i="7"/>
  <c r="C17" i="22" s="1"/>
  <c r="R40" i="8"/>
  <c r="C45" i="9"/>
  <c r="C49" i="22" s="1"/>
  <c r="D45" i="9"/>
  <c r="D49" i="22" s="1"/>
  <c r="C53" i="9"/>
  <c r="C57" i="22" s="1"/>
  <c r="D53" i="9"/>
  <c r="D57" i="22" s="1"/>
  <c r="C52" i="9"/>
  <c r="C56" i="22" s="1"/>
  <c r="D52" i="9"/>
  <c r="D56" i="22" s="1"/>
  <c r="M42" i="6"/>
  <c r="G28" i="18"/>
  <c r="M43" i="6"/>
  <c r="P23" i="8"/>
  <c r="P22" i="8"/>
  <c r="P21" i="8"/>
  <c r="L38" i="6"/>
  <c r="C25" i="9"/>
  <c r="C46" i="22" s="1"/>
  <c r="D25" i="9"/>
  <c r="D46" i="22" s="1"/>
  <c r="C21" i="9"/>
  <c r="C42" i="22" s="1"/>
  <c r="D21" i="9"/>
  <c r="D42" i="22" s="1"/>
  <c r="C20" i="9"/>
  <c r="C41" i="22" s="1"/>
  <c r="D20" i="9"/>
  <c r="D41" i="22" s="1"/>
  <c r="O20" i="9"/>
  <c r="P20" i="9" s="1"/>
  <c r="E41" i="6"/>
  <c r="J38" i="6"/>
  <c r="J35" i="6"/>
  <c r="S35" i="7"/>
  <c r="O11" i="6"/>
  <c r="C22" i="7"/>
  <c r="C30" i="9" s="1"/>
  <c r="D38" i="6"/>
  <c r="C74" i="7"/>
  <c r="D74" i="7"/>
  <c r="E43" i="6"/>
  <c r="N37" i="10" s="1"/>
  <c r="I8" i="18"/>
  <c r="E42" i="6"/>
  <c r="B24" i="8"/>
  <c r="B19" i="8"/>
  <c r="B21" i="8"/>
  <c r="B20" i="8"/>
  <c r="B22" i="8"/>
  <c r="B23" i="8"/>
  <c r="P19" i="8"/>
  <c r="G38" i="6"/>
  <c r="L25" i="6"/>
  <c r="L46" i="6" s="1"/>
  <c r="N69" i="10" s="1"/>
  <c r="N71" i="10" s="1"/>
  <c r="F39" i="6"/>
  <c r="F36" i="6"/>
  <c r="F33" i="6"/>
  <c r="F12" i="6"/>
  <c r="J48" i="6"/>
  <c r="D38" i="7"/>
  <c r="C38" i="7"/>
  <c r="C27" i="8" s="1"/>
  <c r="C47" i="9"/>
  <c r="C51" i="22" s="1"/>
  <c r="D47" i="9"/>
  <c r="D51" i="22" s="1"/>
  <c r="C46" i="9"/>
  <c r="C50" i="22" s="1"/>
  <c r="D46" i="9"/>
  <c r="D50" i="22" s="1"/>
  <c r="S62" i="7"/>
  <c r="S61" i="7"/>
  <c r="K35" i="6"/>
  <c r="S36" i="7"/>
  <c r="O27" i="9"/>
  <c r="L41" i="6"/>
  <c r="C22" i="9"/>
  <c r="C43" i="22" s="1"/>
  <c r="D22" i="9"/>
  <c r="D43" i="22" s="1"/>
  <c r="C27" i="9"/>
  <c r="C48" i="22" s="1"/>
  <c r="D27" i="9"/>
  <c r="D48" i="22" s="1"/>
  <c r="C39" i="8"/>
  <c r="C67" i="22" s="1"/>
  <c r="D39" i="8"/>
  <c r="D67" i="22" s="1"/>
  <c r="E35" i="6"/>
  <c r="S20" i="7"/>
  <c r="I48" i="6"/>
  <c r="C37" i="7"/>
  <c r="C19" i="22" s="1"/>
  <c r="D37" i="7"/>
  <c r="D19" i="22" s="1"/>
  <c r="O19" i="9"/>
  <c r="D41" i="6"/>
  <c r="O22" i="9"/>
  <c r="G41" i="6"/>
  <c r="AA62" i="32"/>
  <c r="S72" i="7"/>
  <c r="S70" i="7"/>
  <c r="S69" i="7"/>
  <c r="AM31" i="32"/>
  <c r="H62" i="32"/>
  <c r="D27" i="7"/>
  <c r="D30" i="7"/>
  <c r="D29" i="7"/>
  <c r="D13" i="22" s="1"/>
  <c r="C13" i="22"/>
  <c r="C8" i="22"/>
  <c r="D21" i="7"/>
  <c r="D8" i="22" s="1"/>
  <c r="C15" i="22"/>
  <c r="D32" i="7"/>
  <c r="D15" i="22" s="1"/>
  <c r="C18" i="22"/>
  <c r="D36" i="7"/>
  <c r="D18" i="22" s="1"/>
  <c r="D30" i="9"/>
  <c r="D9" i="22"/>
  <c r="D25" i="7"/>
  <c r="D37" i="8" l="1"/>
  <c r="D65" i="22" s="1"/>
  <c r="G48" i="6"/>
  <c r="K48" i="6"/>
  <c r="L27" i="6"/>
  <c r="X62" i="32"/>
  <c r="E48" i="6"/>
  <c r="C41" i="8"/>
  <c r="C69" i="22" s="1"/>
  <c r="C38" i="8"/>
  <c r="C66" i="22" s="1"/>
  <c r="D36" i="8"/>
  <c r="D64" i="22" s="1"/>
  <c r="P47" i="8"/>
  <c r="C69" i="7"/>
  <c r="C36" i="22" s="1"/>
  <c r="C72" i="7"/>
  <c r="C38" i="22" s="1"/>
  <c r="D51" i="7"/>
  <c r="D23" i="22" s="1"/>
  <c r="C65" i="7"/>
  <c r="C33" i="22" s="1"/>
  <c r="C53" i="7"/>
  <c r="C25" i="22" s="1"/>
  <c r="C61" i="7"/>
  <c r="C30" i="22" s="1"/>
  <c r="D62" i="7"/>
  <c r="D31" i="22" s="1"/>
  <c r="D57" i="7"/>
  <c r="D28" i="22" s="1"/>
  <c r="D64" i="7"/>
  <c r="D32" i="22" s="1"/>
  <c r="C54" i="7"/>
  <c r="C56" i="9" s="1"/>
  <c r="C20" i="22"/>
  <c r="D70" i="7"/>
  <c r="D44" i="8" s="1"/>
  <c r="C28" i="9"/>
  <c r="C67" i="7"/>
  <c r="C34" i="22" s="1"/>
  <c r="D59" i="7"/>
  <c r="D58" i="9" s="1"/>
  <c r="D56" i="7"/>
  <c r="D27" i="22" s="1"/>
  <c r="D68" i="7"/>
  <c r="D35" i="22" s="1"/>
  <c r="D40" i="8"/>
  <c r="D68" i="22" s="1"/>
  <c r="C21" i="22"/>
  <c r="C9" i="22"/>
  <c r="D52" i="7"/>
  <c r="D24" i="22" s="1"/>
  <c r="D27" i="8"/>
  <c r="D20" i="22"/>
  <c r="C42" i="8"/>
  <c r="C28" i="22"/>
  <c r="C21" i="8"/>
  <c r="C60" i="22" s="1"/>
  <c r="D21" i="8"/>
  <c r="D60" i="22" s="1"/>
  <c r="D22" i="22"/>
  <c r="D28" i="9"/>
  <c r="N53" i="10"/>
  <c r="N52" i="10"/>
  <c r="N51" i="10"/>
  <c r="D56" i="9"/>
  <c r="D26" i="22"/>
  <c r="S33" i="7"/>
  <c r="S32" i="7"/>
  <c r="I35" i="6"/>
  <c r="C58" i="9"/>
  <c r="C29" i="22"/>
  <c r="F42" i="6"/>
  <c r="F43" i="6"/>
  <c r="N38" i="10" s="1"/>
  <c r="N45" i="10" s="1"/>
  <c r="I9" i="18"/>
  <c r="C23" i="8"/>
  <c r="C62" i="22" s="1"/>
  <c r="D23" i="8"/>
  <c r="D62" i="22" s="1"/>
  <c r="C19" i="8"/>
  <c r="C58" i="22" s="1"/>
  <c r="D19" i="8"/>
  <c r="D58" i="22" s="1"/>
  <c r="M48" i="6"/>
  <c r="AM27" i="32"/>
  <c r="N63" i="10"/>
  <c r="Q61" i="10" s="1"/>
  <c r="I61" i="10" s="1"/>
  <c r="P61" i="10"/>
  <c r="H61" i="10" s="1"/>
  <c r="AM29" i="32"/>
  <c r="AM28" i="32" s="1"/>
  <c r="C44" i="8"/>
  <c r="C37" i="22"/>
  <c r="AM30" i="32"/>
  <c r="AM57" i="32"/>
  <c r="O21" i="9"/>
  <c r="O39" i="9" s="1"/>
  <c r="F41" i="6"/>
  <c r="O41" i="6" s="1"/>
  <c r="P19" i="9"/>
  <c r="S22" i="7"/>
  <c r="F35" i="6"/>
  <c r="S21" i="7"/>
  <c r="P30" i="8"/>
  <c r="C22" i="8"/>
  <c r="C61" i="22" s="1"/>
  <c r="D22" i="8"/>
  <c r="D61" i="22" s="1"/>
  <c r="C24" i="8"/>
  <c r="C63" i="22" s="1"/>
  <c r="D24" i="8"/>
  <c r="D63" i="22" s="1"/>
  <c r="D54" i="9"/>
  <c r="D39" i="22"/>
  <c r="N28" i="10"/>
  <c r="U28" i="10" s="1"/>
  <c r="N25" i="10"/>
  <c r="N27" i="10"/>
  <c r="U27" i="10" s="1"/>
  <c r="N26" i="10"/>
  <c r="U26" i="10" s="1"/>
  <c r="L48" i="6"/>
  <c r="W62" i="32"/>
  <c r="O12" i="6"/>
  <c r="P12" i="6" s="1"/>
  <c r="AM23" i="32"/>
  <c r="AM22" i="32" s="1"/>
  <c r="D21" i="22"/>
  <c r="D36" i="9"/>
  <c r="D62" i="9"/>
  <c r="D38" i="22"/>
  <c r="F38" i="6"/>
  <c r="O38" i="6" s="1"/>
  <c r="C20" i="8"/>
  <c r="C59" i="22" s="1"/>
  <c r="D20" i="8"/>
  <c r="D59" i="22" s="1"/>
  <c r="C54" i="9"/>
  <c r="C39" i="22"/>
  <c r="C60" i="9"/>
  <c r="C31" i="22"/>
  <c r="C63" i="6"/>
  <c r="C64" i="6" s="1"/>
  <c r="C56" i="6"/>
  <c r="S54" i="7"/>
  <c r="S53" i="7"/>
  <c r="O65" i="9"/>
  <c r="D48" i="6"/>
  <c r="D25" i="8"/>
  <c r="D11" i="22"/>
  <c r="C11" i="22"/>
  <c r="C25" i="8"/>
  <c r="C12" i="22"/>
  <c r="C32" i="9"/>
  <c r="C14" i="22"/>
  <c r="C34" i="9"/>
  <c r="D14" i="22"/>
  <c r="D34" i="9"/>
  <c r="D32" i="9"/>
  <c r="D12" i="22"/>
  <c r="O35" i="6" l="1"/>
  <c r="C62" i="9"/>
  <c r="D60" i="9"/>
  <c r="C26" i="22"/>
  <c r="D42" i="8"/>
  <c r="D29" i="22"/>
  <c r="D37" i="22"/>
  <c r="S45" i="7"/>
  <c r="Q27" i="10"/>
  <c r="I27" i="10"/>
  <c r="S77" i="7"/>
  <c r="V77" i="7"/>
  <c r="C71" i="6"/>
  <c r="C72" i="6" s="1"/>
  <c r="Q26" i="10"/>
  <c r="I26" i="10"/>
  <c r="U25" i="10"/>
  <c r="N30" i="10"/>
  <c r="AM8" i="32"/>
  <c r="L62" i="32"/>
  <c r="AM62" i="32" s="1"/>
  <c r="I63" i="10"/>
  <c r="C10" i="10" s="1"/>
  <c r="M61" i="10"/>
  <c r="M63" i="10" s="1"/>
  <c r="F48" i="6"/>
  <c r="O48" i="6"/>
  <c r="Q71" i="10"/>
  <c r="Q45" i="10"/>
  <c r="P36" i="10" s="1"/>
  <c r="H36" i="10" s="1"/>
  <c r="Q55" i="10"/>
  <c r="P51" i="10" s="1"/>
  <c r="H51" i="10" s="1"/>
  <c r="D54" i="6"/>
  <c r="D55" i="6"/>
  <c r="Q28" i="10"/>
  <c r="I28" i="10"/>
  <c r="U19" i="7"/>
  <c r="N55" i="10"/>
  <c r="O49" i="6" l="1"/>
  <c r="P49" i="6" s="1"/>
  <c r="V38" i="7"/>
  <c r="T28" i="8" s="1"/>
  <c r="V25" i="7"/>
  <c r="T26" i="8" s="1"/>
  <c r="V65" i="7"/>
  <c r="V64" i="7"/>
  <c r="V24" i="7"/>
  <c r="V32" i="7"/>
  <c r="V35" i="7"/>
  <c r="V33" i="7"/>
  <c r="V20" i="7"/>
  <c r="V36" i="7"/>
  <c r="V22" i="7"/>
  <c r="S31" i="9" s="1"/>
  <c r="V40" i="7"/>
  <c r="S37" i="9" s="1"/>
  <c r="V21" i="7"/>
  <c r="V27" i="7"/>
  <c r="S33" i="9" s="1"/>
  <c r="V42" i="7"/>
  <c r="S29" i="9" s="1"/>
  <c r="V37" i="7"/>
  <c r="V30" i="7"/>
  <c r="S35" i="9" s="1"/>
  <c r="V29" i="7"/>
  <c r="V19" i="7"/>
  <c r="D56" i="6"/>
  <c r="H53" i="10"/>
  <c r="H52" i="10"/>
  <c r="U51" i="7"/>
  <c r="L51" i="7" s="1"/>
  <c r="Q40" i="10"/>
  <c r="I40" i="10" s="1"/>
  <c r="Q37" i="10"/>
  <c r="I37" i="10" s="1"/>
  <c r="H43" i="10"/>
  <c r="H39" i="10"/>
  <c r="H42" i="10"/>
  <c r="H38" i="10"/>
  <c r="H41" i="10"/>
  <c r="H37" i="10"/>
  <c r="H40" i="10"/>
  <c r="Q43" i="10"/>
  <c r="I43" i="10" s="1"/>
  <c r="P69" i="10"/>
  <c r="H69" i="10" s="1"/>
  <c r="Q69" i="10"/>
  <c r="I69" i="10" s="1"/>
  <c r="Q36" i="10"/>
  <c r="I36" i="10" s="1"/>
  <c r="Q38" i="10"/>
  <c r="I38" i="10" s="1"/>
  <c r="L19" i="7"/>
  <c r="C7" i="7"/>
  <c r="Q30" i="10"/>
  <c r="P25" i="10" s="1"/>
  <c r="H25" i="10" s="1"/>
  <c r="H26" i="10" s="1"/>
  <c r="H27" i="10" s="1"/>
  <c r="H28" i="10" s="1"/>
  <c r="M28" i="10" s="1"/>
  <c r="Q25" i="10"/>
  <c r="I25" i="10"/>
  <c r="I31" i="10" s="1"/>
  <c r="D62" i="6"/>
  <c r="Q41" i="10"/>
  <c r="I41" i="10" s="1"/>
  <c r="Q53" i="10"/>
  <c r="I53" i="10" s="1"/>
  <c r="Q52" i="10"/>
  <c r="I52" i="10" s="1"/>
  <c r="Q51" i="10"/>
  <c r="I51" i="10" s="1"/>
  <c r="V72" i="7"/>
  <c r="S63" i="9" s="1"/>
  <c r="V68" i="7"/>
  <c r="V74" i="7"/>
  <c r="S55" i="9" s="1"/>
  <c r="V67" i="7"/>
  <c r="V62" i="7"/>
  <c r="S61" i="9" s="1"/>
  <c r="V70" i="7"/>
  <c r="T45" i="8" s="1"/>
  <c r="V57" i="7"/>
  <c r="T43" i="8" s="1"/>
  <c r="V56" i="7"/>
  <c r="V54" i="7"/>
  <c r="S57" i="9" s="1"/>
  <c r="V52" i="7"/>
  <c r="V51" i="7"/>
  <c r="V69" i="7"/>
  <c r="V61" i="7"/>
  <c r="V59" i="7"/>
  <c r="S59" i="9" s="1"/>
  <c r="V53" i="7"/>
  <c r="D63" i="6"/>
  <c r="Q39" i="10"/>
  <c r="I39" i="10" s="1"/>
  <c r="Q42" i="10"/>
  <c r="I42" i="10" s="1"/>
  <c r="Q49" i="6" l="1"/>
  <c r="M42" i="10"/>
  <c r="M39" i="10"/>
  <c r="M52" i="10"/>
  <c r="M41" i="10"/>
  <c r="M43" i="10"/>
  <c r="M38" i="10"/>
  <c r="T30" i="8"/>
  <c r="S19" i="8" s="1"/>
  <c r="I19" i="8" s="1"/>
  <c r="L38" i="7" s="1"/>
  <c r="S39" i="9"/>
  <c r="R19" i="9" s="1"/>
  <c r="H19" i="9" s="1"/>
  <c r="C8" i="7"/>
  <c r="T47" i="8"/>
  <c r="S36" i="8" s="1"/>
  <c r="I36" i="8" s="1"/>
  <c r="I37" i="8" s="1"/>
  <c r="D64" i="6"/>
  <c r="M40" i="10"/>
  <c r="S65" i="9"/>
  <c r="R45" i="9" s="1"/>
  <c r="L69" i="7"/>
  <c r="M69" i="7" s="1"/>
  <c r="R69" i="7" s="1"/>
  <c r="L68" i="7"/>
  <c r="M68" i="7" s="1"/>
  <c r="R68" i="7" s="1"/>
  <c r="L67" i="7"/>
  <c r="M67" i="7" s="1"/>
  <c r="R67" i="7" s="1"/>
  <c r="L61" i="7"/>
  <c r="M61" i="7" s="1"/>
  <c r="R61" i="7" s="1"/>
  <c r="L53" i="7"/>
  <c r="M53" i="7" s="1"/>
  <c r="R53" i="7" s="1"/>
  <c r="M51" i="7"/>
  <c r="L52" i="7"/>
  <c r="M52" i="7" s="1"/>
  <c r="R52" i="7" s="1"/>
  <c r="L56" i="7"/>
  <c r="M56" i="7" s="1"/>
  <c r="R56" i="7" s="1"/>
  <c r="M53" i="10"/>
  <c r="M36" i="10"/>
  <c r="I45" i="10"/>
  <c r="C8" i="10" s="1"/>
  <c r="M69" i="10"/>
  <c r="M71" i="10" s="1"/>
  <c r="I71" i="10"/>
  <c r="C11" i="10" s="1"/>
  <c r="M27" i="10"/>
  <c r="I55" i="10"/>
  <c r="C9" i="10" s="1"/>
  <c r="M51" i="10"/>
  <c r="I30" i="10"/>
  <c r="C7" i="10" s="1"/>
  <c r="M25" i="10"/>
  <c r="L21" i="7"/>
  <c r="M21" i="7" s="1"/>
  <c r="R21" i="7" s="1"/>
  <c r="L20" i="7"/>
  <c r="M20" i="7" s="1"/>
  <c r="R20" i="7" s="1"/>
  <c r="L36" i="7"/>
  <c r="M36" i="7" s="1"/>
  <c r="R36" i="7" s="1"/>
  <c r="L35" i="7"/>
  <c r="M35" i="7" s="1"/>
  <c r="R35" i="7" s="1"/>
  <c r="L29" i="7"/>
  <c r="M29" i="7" s="1"/>
  <c r="R29" i="7" s="1"/>
  <c r="L24" i="7"/>
  <c r="M24" i="7" s="1"/>
  <c r="R24" i="7" s="1"/>
  <c r="L37" i="7"/>
  <c r="M37" i="7" s="1"/>
  <c r="R37" i="7" s="1"/>
  <c r="L64" i="7"/>
  <c r="M64" i="7" s="1"/>
  <c r="R64" i="7" s="1"/>
  <c r="L32" i="7"/>
  <c r="M32" i="7" s="1"/>
  <c r="R32" i="7" s="1"/>
  <c r="M19" i="7"/>
  <c r="M26" i="10"/>
  <c r="M37" i="10"/>
  <c r="M55" i="10" l="1"/>
  <c r="M30" i="10"/>
  <c r="I20" i="8"/>
  <c r="I21" i="8" s="1"/>
  <c r="C7" i="8"/>
  <c r="L25" i="7"/>
  <c r="J25" i="7" s="1"/>
  <c r="L65" i="7"/>
  <c r="M65" i="7" s="1"/>
  <c r="L30" i="7"/>
  <c r="J30" i="7" s="1"/>
  <c r="L42" i="7"/>
  <c r="M42" i="7" s="1"/>
  <c r="I29" i="9" s="1"/>
  <c r="L40" i="7"/>
  <c r="J40" i="7" s="1"/>
  <c r="L22" i="7"/>
  <c r="M22" i="7" s="1"/>
  <c r="I31" i="9" s="1"/>
  <c r="L33" i="7"/>
  <c r="J33" i="7" s="1"/>
  <c r="L27" i="7"/>
  <c r="J27" i="7" s="1"/>
  <c r="L57" i="7"/>
  <c r="J57" i="7" s="1"/>
  <c r="L70" i="7"/>
  <c r="M70" i="7" s="1"/>
  <c r="J45" i="8" s="1"/>
  <c r="C8" i="8"/>
  <c r="H45" i="9"/>
  <c r="M45" i="10"/>
  <c r="H20" i="9"/>
  <c r="J38" i="7"/>
  <c r="M38" i="7"/>
  <c r="J28" i="8" s="1"/>
  <c r="I38" i="8"/>
  <c r="M25" i="7" l="1"/>
  <c r="J26" i="8" s="1"/>
  <c r="O26" i="8" s="1"/>
  <c r="Q19" i="8" s="1"/>
  <c r="J42" i="7"/>
  <c r="K42" i="7" s="1"/>
  <c r="M40" i="7"/>
  <c r="I37" i="9" s="1"/>
  <c r="J65" i="7"/>
  <c r="K65" i="7" s="1"/>
  <c r="M30" i="7"/>
  <c r="I35" i="9" s="1"/>
  <c r="J22" i="7"/>
  <c r="R22" i="7" s="1"/>
  <c r="M33" i="7"/>
  <c r="M57" i="7"/>
  <c r="J43" i="8" s="1"/>
  <c r="O43" i="8" s="1"/>
  <c r="Q36" i="8" s="1"/>
  <c r="J70" i="7"/>
  <c r="K70" i="7" s="1"/>
  <c r="M27" i="7"/>
  <c r="I33" i="9" s="1"/>
  <c r="K40" i="7"/>
  <c r="R40" i="7"/>
  <c r="N37" i="9"/>
  <c r="P27" i="9" s="1"/>
  <c r="R38" i="7"/>
  <c r="K38" i="7"/>
  <c r="O28" i="8"/>
  <c r="K33" i="7"/>
  <c r="R33" i="7"/>
  <c r="K25" i="7"/>
  <c r="I22" i="8"/>
  <c r="H21" i="9"/>
  <c r="K30" i="7"/>
  <c r="R30" i="7"/>
  <c r="N35" i="9"/>
  <c r="P23" i="9" s="1"/>
  <c r="K57" i="7"/>
  <c r="I39" i="8"/>
  <c r="K27" i="7"/>
  <c r="R27" i="7"/>
  <c r="N33" i="9"/>
  <c r="P22" i="9" s="1"/>
  <c r="H46" i="9"/>
  <c r="L74" i="7"/>
  <c r="L72" i="7"/>
  <c r="L59" i="7"/>
  <c r="L62" i="7"/>
  <c r="L54" i="7"/>
  <c r="R25" i="7" l="1"/>
  <c r="N29" i="9"/>
  <c r="R42" i="7"/>
  <c r="R65" i="7"/>
  <c r="K22" i="7"/>
  <c r="N31" i="9"/>
  <c r="P21" i="9" s="1"/>
  <c r="P39" i="9" s="1"/>
  <c r="R70" i="7"/>
  <c r="R57" i="7"/>
  <c r="O45" i="8"/>
  <c r="Q40" i="8" s="1"/>
  <c r="M45" i="7"/>
  <c r="J62" i="7"/>
  <c r="M62" i="7"/>
  <c r="I61" i="9" s="1"/>
  <c r="J59" i="7"/>
  <c r="M59" i="7"/>
  <c r="I59" i="9" s="1"/>
  <c r="I40" i="8"/>
  <c r="Q23" i="8"/>
  <c r="Q22" i="8"/>
  <c r="Q21" i="8"/>
  <c r="H47" i="9"/>
  <c r="M72" i="7"/>
  <c r="I63" i="9" s="1"/>
  <c r="J72" i="7"/>
  <c r="I23" i="8"/>
  <c r="M54" i="7"/>
  <c r="J54" i="7"/>
  <c r="J74" i="7"/>
  <c r="M74" i="7"/>
  <c r="I55" i="9" s="1"/>
  <c r="H22" i="9"/>
  <c r="R45" i="7" l="1"/>
  <c r="Q39" i="8"/>
  <c r="Q38" i="8"/>
  <c r="Q30" i="8"/>
  <c r="T19" i="8" s="1"/>
  <c r="J19" i="8" s="1"/>
  <c r="K74" i="7"/>
  <c r="R74" i="7"/>
  <c r="N55" i="9"/>
  <c r="I24" i="8"/>
  <c r="H48" i="9"/>
  <c r="K54" i="7"/>
  <c r="N57" i="9"/>
  <c r="P47" i="9" s="1"/>
  <c r="R54" i="7"/>
  <c r="I41" i="8"/>
  <c r="K59" i="7"/>
  <c r="R59" i="7"/>
  <c r="N59" i="9"/>
  <c r="P48" i="9" s="1"/>
  <c r="N61" i="9"/>
  <c r="P49" i="9" s="1"/>
  <c r="K62" i="7"/>
  <c r="R62" i="7"/>
  <c r="H23" i="9"/>
  <c r="S26" i="9"/>
  <c r="S24" i="9"/>
  <c r="S22" i="9"/>
  <c r="I22" i="9" s="1"/>
  <c r="N22" i="9" s="1"/>
  <c r="S20" i="9"/>
  <c r="I20" i="9" s="1"/>
  <c r="N20" i="9" s="1"/>
  <c r="S25" i="9"/>
  <c r="S21" i="9"/>
  <c r="I21" i="9" s="1"/>
  <c r="N21" i="9" s="1"/>
  <c r="S27" i="9"/>
  <c r="S23" i="9"/>
  <c r="S19" i="9"/>
  <c r="I57" i="9"/>
  <c r="M77" i="7"/>
  <c r="K72" i="7"/>
  <c r="R72" i="7"/>
  <c r="N63" i="9"/>
  <c r="P53" i="9" s="1"/>
  <c r="Q47" i="8" l="1"/>
  <c r="T41" i="8" s="1"/>
  <c r="J41" i="8" s="1"/>
  <c r="O41" i="8" s="1"/>
  <c r="T21" i="8"/>
  <c r="J21" i="8" s="1"/>
  <c r="O21" i="8" s="1"/>
  <c r="T20" i="8"/>
  <c r="J20" i="8" s="1"/>
  <c r="O20" i="8" s="1"/>
  <c r="T23" i="8"/>
  <c r="J23" i="8" s="1"/>
  <c r="O23" i="8" s="1"/>
  <c r="T24" i="8"/>
  <c r="J24" i="8" s="1"/>
  <c r="O24" i="8" s="1"/>
  <c r="T22" i="8"/>
  <c r="J22" i="8" s="1"/>
  <c r="O22" i="8" s="1"/>
  <c r="P65" i="9"/>
  <c r="S47" i="9" s="1"/>
  <c r="I47" i="9" s="1"/>
  <c r="N47" i="9" s="1"/>
  <c r="R77" i="7"/>
  <c r="O19" i="8"/>
  <c r="C7" i="9"/>
  <c r="I19" i="9"/>
  <c r="H25" i="9"/>
  <c r="H24" i="9"/>
  <c r="I24" i="9" s="1"/>
  <c r="N24" i="9" s="1"/>
  <c r="I23" i="9"/>
  <c r="N23" i="9" s="1"/>
  <c r="H49" i="9"/>
  <c r="T37" i="8" l="1"/>
  <c r="J37" i="8" s="1"/>
  <c r="O37" i="8" s="1"/>
  <c r="T36" i="8"/>
  <c r="J36" i="8" s="1"/>
  <c r="O36" i="8" s="1"/>
  <c r="T38" i="8"/>
  <c r="J38" i="8" s="1"/>
  <c r="O38" i="8" s="1"/>
  <c r="T40" i="8"/>
  <c r="J40" i="8" s="1"/>
  <c r="O40" i="8" s="1"/>
  <c r="T39" i="8"/>
  <c r="J39" i="8" s="1"/>
  <c r="O39" i="8" s="1"/>
  <c r="S45" i="9"/>
  <c r="S51" i="9"/>
  <c r="S52" i="9"/>
  <c r="S46" i="9"/>
  <c r="I46" i="9" s="1"/>
  <c r="N46" i="9" s="1"/>
  <c r="S49" i="9"/>
  <c r="I49" i="9" s="1"/>
  <c r="N49" i="9" s="1"/>
  <c r="S48" i="9"/>
  <c r="I48" i="9" s="1"/>
  <c r="N48" i="9" s="1"/>
  <c r="S53" i="9"/>
  <c r="S50" i="9"/>
  <c r="H51" i="9"/>
  <c r="H50" i="9"/>
  <c r="I25" i="9"/>
  <c r="N25" i="9" s="1"/>
  <c r="H26" i="9"/>
  <c r="O30" i="8"/>
  <c r="J30" i="8"/>
  <c r="I45" i="9" l="1"/>
  <c r="O47" i="8"/>
  <c r="J47" i="8"/>
  <c r="I50" i="9"/>
  <c r="N50" i="9" s="1"/>
  <c r="C8" i="9"/>
  <c r="I51" i="9"/>
  <c r="N51" i="9" s="1"/>
  <c r="H52" i="9"/>
  <c r="H27" i="9"/>
  <c r="I27" i="9" s="1"/>
  <c r="N27" i="9" s="1"/>
  <c r="I26" i="9"/>
  <c r="N26" i="9" s="1"/>
  <c r="N39" i="9" l="1"/>
  <c r="I52" i="9"/>
  <c r="H53" i="9"/>
  <c r="I53" i="9" s="1"/>
  <c r="N53" i="9" s="1"/>
  <c r="I39" i="9"/>
  <c r="N52" i="9" l="1"/>
  <c r="N65" i="9" s="1"/>
  <c r="I65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Alessandro Chiodi</author>
  </authors>
  <commentList>
    <comment ref="F18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Alessandro Chiodi:</t>
        </r>
        <r>
          <rPr>
            <sz val="9"/>
            <color indexed="81"/>
            <rFont val="Tahoma"/>
            <family val="2"/>
          </rPr>
          <t xml:space="preserve">
Share from TIMES RW</t>
        </r>
      </text>
    </comment>
    <comment ref="L18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Alessandro Chiodi:</t>
        </r>
        <r>
          <rPr>
            <sz val="9"/>
            <color indexed="81"/>
            <rFont val="Tahoma"/>
            <family val="2"/>
          </rPr>
          <t xml:space="preserve">
Share from TIMES RW</t>
        </r>
      </text>
    </comment>
    <comment ref="L19" authorId="0" shapeId="0" xr:uid="{00000000-0006-0000-0300-000003000000}">
      <text>
        <r>
          <rPr>
            <b/>
            <sz val="9"/>
            <color indexed="81"/>
            <rFont val="Tahoma"/>
            <family val="2"/>
          </rPr>
          <t>Alessandro Chiodi:</t>
        </r>
        <r>
          <rPr>
            <sz val="9"/>
            <color indexed="81"/>
            <rFont val="Tahoma"/>
            <family val="2"/>
          </rPr>
          <t xml:space="preserve">
Share from TIMES RW</t>
        </r>
      </text>
    </comment>
    <comment ref="F20" authorId="0" shapeId="0" xr:uid="{00000000-0006-0000-0300-000004000000}">
      <text>
        <r>
          <rPr>
            <b/>
            <sz val="9"/>
            <color indexed="81"/>
            <rFont val="Tahoma"/>
            <family val="2"/>
          </rPr>
          <t>Alessandro Chiodi:</t>
        </r>
        <r>
          <rPr>
            <sz val="9"/>
            <color indexed="81"/>
            <rFont val="Tahoma"/>
            <family val="2"/>
          </rPr>
          <t xml:space="preserve">
Share from TIMES RW</t>
        </r>
      </text>
    </comment>
    <comment ref="L20" authorId="0" shapeId="0" xr:uid="{00000000-0006-0000-0300-000005000000}">
      <text>
        <r>
          <rPr>
            <b/>
            <sz val="9"/>
            <color indexed="81"/>
            <rFont val="Tahoma"/>
            <family val="2"/>
          </rPr>
          <t>Alessandro Chiodi:</t>
        </r>
        <r>
          <rPr>
            <sz val="9"/>
            <color indexed="81"/>
            <rFont val="Tahoma"/>
            <family val="2"/>
          </rPr>
          <t xml:space="preserve">
Share from TIMES RW</t>
        </r>
      </text>
    </comment>
    <comment ref="L21" authorId="0" shapeId="0" xr:uid="{00000000-0006-0000-0300-000006000000}">
      <text>
        <r>
          <rPr>
            <b/>
            <sz val="9"/>
            <color indexed="81"/>
            <rFont val="Tahoma"/>
            <family val="2"/>
          </rPr>
          <t>Alessandro Chiodi:</t>
        </r>
        <r>
          <rPr>
            <sz val="9"/>
            <color indexed="81"/>
            <rFont val="Tahoma"/>
            <family val="2"/>
          </rPr>
          <t xml:space="preserve">
Share from TIMES RW</t>
        </r>
      </text>
    </comment>
    <comment ref="F22" authorId="0" shapeId="0" xr:uid="{00000000-0006-0000-0300-000007000000}">
      <text>
        <r>
          <rPr>
            <b/>
            <sz val="9"/>
            <color indexed="81"/>
            <rFont val="Tahoma"/>
            <family val="2"/>
          </rPr>
          <t>Alessandro Chiodi:</t>
        </r>
        <r>
          <rPr>
            <sz val="9"/>
            <color indexed="81"/>
            <rFont val="Tahoma"/>
            <family val="2"/>
          </rPr>
          <t xml:space="preserve">
Share from TIMES RW</t>
        </r>
      </text>
    </comment>
    <comment ref="L22" authorId="0" shapeId="0" xr:uid="{00000000-0006-0000-0300-000008000000}">
      <text>
        <r>
          <rPr>
            <b/>
            <sz val="9"/>
            <color indexed="81"/>
            <rFont val="Tahoma"/>
            <family val="2"/>
          </rPr>
          <t>Alessandro Chiodi:</t>
        </r>
        <r>
          <rPr>
            <sz val="9"/>
            <color indexed="81"/>
            <rFont val="Tahoma"/>
            <family val="2"/>
          </rPr>
          <t xml:space="preserve">
Share from TIMES RW</t>
        </r>
      </text>
    </comment>
    <comment ref="L23" authorId="0" shapeId="0" xr:uid="{00000000-0006-0000-0300-000009000000}">
      <text>
        <r>
          <rPr>
            <b/>
            <sz val="9"/>
            <color indexed="81"/>
            <rFont val="Tahoma"/>
            <family val="2"/>
          </rPr>
          <t>Alessandro Chiodi:</t>
        </r>
        <r>
          <rPr>
            <sz val="9"/>
            <color indexed="81"/>
            <rFont val="Tahoma"/>
            <family val="2"/>
          </rPr>
          <t xml:space="preserve">
Share from TIMES RW</t>
        </r>
      </text>
    </comment>
    <comment ref="C55" authorId="0" shapeId="0" xr:uid="{00000000-0006-0000-0300-00000B000000}">
      <text>
        <r>
          <rPr>
            <b/>
            <sz val="9"/>
            <color indexed="81"/>
            <rFont val="Tahoma"/>
            <family val="2"/>
          </rPr>
          <t>Alessandro Chiodi:</t>
        </r>
        <r>
          <rPr>
            <sz val="9"/>
            <color indexed="81"/>
            <rFont val="Tahoma"/>
            <family val="2"/>
          </rPr>
          <t xml:space="preserve">
Assumption: the stock is proportional to its consumption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5" authorId="0" shapeId="0" xr:uid="{00000000-0006-0000-04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F5" authorId="0" shapeId="0" xr:uid="{00000000-0006-0000-0400-000002000000}">
      <text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G5" authorId="0" shapeId="0" xr:uid="{00000000-0006-0000-04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5" authorId="0" shapeId="0" xr:uid="{00000000-0006-0000-04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5" authorId="0" shapeId="0" xr:uid="{00000000-0006-0000-04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5" authorId="0" shapeId="0" xr:uid="{00000000-0006-0000-0500-000001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  <comment ref="G5" authorId="0" shapeId="0" xr:uid="{00000000-0006-0000-0500-000002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5" authorId="0" shapeId="0" xr:uid="{00000000-0006-0000-0500-000003000000}">
      <text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I5" authorId="0" shapeId="0" xr:uid="{00000000-0006-0000-0500-000004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  <author>Maurizio Gargiulo</author>
    <author>A satisfied Microsoft Office user</author>
  </authors>
  <commentList>
    <comment ref="I4" authorId="0" shapeId="0" xr:uid="{00000000-0006-0000-0600-000001000000}">
      <text>
        <r>
          <rPr>
            <sz val="8"/>
            <color indexed="81"/>
            <rFont val="Tahoma"/>
            <family val="2"/>
          </rPr>
          <t xml:space="preserve">
This represents the existing infrastructure (e.g. like gas pipelines and low temperature heat grids) and for limiting or excluding some fuels in a sector.</t>
        </r>
      </text>
    </comment>
    <comment ref="J4" authorId="0" shapeId="0" xr:uid="{00000000-0006-0000-0600-000002000000}">
      <text>
        <r>
          <rPr>
            <sz val="8"/>
            <color indexed="81"/>
            <rFont val="Tahoma"/>
            <family val="2"/>
          </rPr>
          <t xml:space="preserve">
This interpolation rule number 2 is extrapolating to the time horizon of the analysis the NCAP_BND = 0 for any period for which a value is not defined.
This approach will avoid future investment in the infrastructure.</t>
        </r>
      </text>
    </comment>
    <comment ref="K4" authorId="0" shapeId="0" xr:uid="{00000000-0006-0000-0600-000003000000}">
      <text>
        <r>
          <rPr>
            <sz val="8"/>
            <color indexed="81"/>
            <rFont val="Tahoma"/>
            <family val="2"/>
          </rPr>
          <t xml:space="preserve">
This investment cost for expanding infrastructure should be used for all those fuels which have significant infrastructure requirement for distribution.</t>
        </r>
      </text>
    </comment>
    <comment ref="L4" authorId="0" shapeId="0" xr:uid="{00000000-0006-0000-0600-000004000000}">
      <text>
        <r>
          <rPr>
            <sz val="8"/>
            <color indexed="81"/>
            <rFont val="Tahoma"/>
            <family val="2"/>
          </rPr>
          <t xml:space="preserve">
This represents the existing infrastructure (e.g. like gas pipelines and low temperature heat grids) and for limiting or excluding some fuels in a sector.</t>
        </r>
      </text>
    </comment>
    <comment ref="J19" authorId="0" shapeId="0" xr:uid="{00000000-0006-0000-0600-000005000000}">
      <text>
        <r>
          <rPr>
            <sz val="8"/>
            <color indexed="81"/>
            <rFont val="Tahoma"/>
            <family val="2"/>
          </rPr>
          <t xml:space="preserve">
This represents the existing infrastructure (e.g. like gas pipelines and low temperature heat grids) and for limiting or excluding some fuels in a sector.</t>
        </r>
      </text>
    </comment>
    <comment ref="K26" authorId="0" shapeId="0" xr:uid="{00000000-0006-0000-0600-000006000000}">
      <text>
        <r>
          <rPr>
            <sz val="8"/>
            <color indexed="81"/>
            <rFont val="Tahoma"/>
            <family val="2"/>
          </rPr>
          <t xml:space="preserve">
This represents the existing infrastructure (e.g. like gas pipelines and low temperature heat grids) and for limiting or excluding some fuels in a sector.</t>
        </r>
      </text>
    </comment>
    <comment ref="F28" authorId="1" shapeId="0" xr:uid="{00000000-0006-0000-0600-000007000000}">
      <text>
        <r>
          <rPr>
            <b/>
            <sz val="9"/>
            <color indexed="81"/>
            <rFont val="Tahoma"/>
            <family val="2"/>
          </rPr>
          <t>Value from TIMES-BE data 91%, updated for calibration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28" authorId="1" shapeId="0" xr:uid="{00000000-0006-0000-0600-000008000000}">
      <text>
        <r>
          <rPr>
            <b/>
            <sz val="9"/>
            <color indexed="81"/>
            <rFont val="Tahoma"/>
            <family val="2"/>
          </rPr>
          <t>TIMES-BE data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8" authorId="1" shapeId="0" xr:uid="{00000000-0006-0000-0600-000009000000}">
      <text>
        <r>
          <rPr>
            <b/>
            <sz val="9"/>
            <color indexed="81"/>
            <rFont val="Tahoma"/>
            <family val="2"/>
          </rPr>
          <t>TIMES-BE data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4" authorId="2" shapeId="0" xr:uid="{00000000-0006-0000-0600-00000A000000}">
      <text>
        <r>
          <rPr>
            <b/>
            <sz val="8"/>
            <color indexed="81"/>
            <rFont val="Tahoma"/>
            <family val="2"/>
          </rPr>
          <t>KanORS</t>
        </r>
        <r>
          <rPr>
            <sz val="8"/>
            <color indexed="81"/>
            <rFont val="Tahoma"/>
            <family val="2"/>
          </rPr>
          <t>:
distribution efficiency</t>
        </r>
      </text>
    </comment>
    <comment ref="K42" authorId="0" shapeId="0" xr:uid="{E4369879-7503-44F1-A405-03FB43118616}">
      <text>
        <r>
          <rPr>
            <sz val="8"/>
            <color indexed="81"/>
            <rFont val="Tahoma"/>
            <family val="2"/>
          </rPr>
          <t xml:space="preserve">
This represents the existing infrastructure (e.g. like gas pipelines and low temperature heat grids) and for limiting or excluding some fuels in a sector.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Marco Orsini</author>
    <author>KanORS</author>
    <author>Amit Kanudia</author>
  </authors>
  <commentList>
    <comment ref="E17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Marco Orsini:</t>
        </r>
        <r>
          <rPr>
            <sz val="9"/>
            <color indexed="81"/>
            <rFont val="Tahoma"/>
            <family val="2"/>
          </rPr>
          <t xml:space="preserve">
hypotheses TIMES BE, à revoir?</t>
        </r>
      </text>
    </comment>
    <comment ref="I17" authorId="1" shapeId="0" xr:uid="{00000000-0006-0000-0800-000002000000}">
      <text>
        <r>
          <rPr>
            <b/>
            <sz val="8"/>
            <color indexed="81"/>
            <rFont val="Tahoma"/>
            <family val="2"/>
          </rPr>
          <t>KanORS:</t>
        </r>
        <r>
          <rPr>
            <sz val="8"/>
            <color indexed="81"/>
            <rFont val="Tahoma"/>
            <family val="2"/>
          </rPr>
          <t xml:space="preserve">
Commodity based efficiency.</t>
        </r>
      </text>
    </comment>
    <comment ref="L17" authorId="2" shapeId="0" xr:uid="{00000000-0006-0000-0800-000003000000}">
      <text>
        <r>
          <rPr>
            <b/>
            <sz val="8"/>
            <color indexed="81"/>
            <rFont val="Tahoma"/>
            <family val="2"/>
          </rPr>
          <t>KanORS:</t>
        </r>
        <r>
          <rPr>
            <sz val="8"/>
            <color indexed="81"/>
            <rFont val="Tahoma"/>
            <family val="2"/>
          </rPr>
          <t xml:space="preserve">
This is the useful energy delivered by one piece of equipment over one year.</t>
        </r>
      </text>
    </comment>
    <comment ref="E49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Marco Orsini:</t>
        </r>
        <r>
          <rPr>
            <sz val="9"/>
            <color indexed="81"/>
            <rFont val="Tahoma"/>
            <family val="2"/>
          </rPr>
          <t xml:space="preserve">
hypotheses TIMES BE, à revoir?</t>
        </r>
      </text>
    </comment>
    <comment ref="I49" authorId="1" shapeId="0" xr:uid="{00000000-0006-0000-0800-000005000000}">
      <text>
        <r>
          <rPr>
            <b/>
            <sz val="8"/>
            <color indexed="81"/>
            <rFont val="Tahoma"/>
            <family val="2"/>
          </rPr>
          <t>KanORS:</t>
        </r>
        <r>
          <rPr>
            <sz val="8"/>
            <color indexed="81"/>
            <rFont val="Tahoma"/>
            <family val="2"/>
          </rPr>
          <t xml:space="preserve">
Commodity based efficiency.</t>
        </r>
      </text>
    </comment>
    <comment ref="L49" authorId="2" shapeId="0" xr:uid="{00000000-0006-0000-0800-000006000000}">
      <text>
        <r>
          <rPr>
            <b/>
            <sz val="8"/>
            <color indexed="81"/>
            <rFont val="Tahoma"/>
            <family val="2"/>
          </rPr>
          <t>KanORS:</t>
        </r>
        <r>
          <rPr>
            <sz val="8"/>
            <color indexed="81"/>
            <rFont val="Tahoma"/>
            <family val="2"/>
          </rPr>
          <t xml:space="preserve">
This is the useful energy delivered by one piece of equipment over one year.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H17" authorId="0" shapeId="0" xr:uid="{00000000-0006-0000-0900-000001000000}">
      <text>
        <r>
          <rPr>
            <b/>
            <sz val="8"/>
            <color indexed="81"/>
            <rFont val="Tahoma"/>
            <family val="2"/>
          </rPr>
          <t>KanORS:</t>
        </r>
        <r>
          <rPr>
            <sz val="8"/>
            <color indexed="81"/>
            <rFont val="Tahoma"/>
            <family val="2"/>
          </rPr>
          <t xml:space="preserve">
This is the useful energy delivered by one piece of equipment over one year.</t>
        </r>
      </text>
    </comment>
    <comment ref="H43" authorId="0" shapeId="0" xr:uid="{00000000-0006-0000-0900-000002000000}">
      <text>
        <r>
          <rPr>
            <b/>
            <sz val="8"/>
            <color indexed="81"/>
            <rFont val="Tahoma"/>
            <family val="2"/>
          </rPr>
          <t>KanORS:</t>
        </r>
        <r>
          <rPr>
            <sz val="8"/>
            <color indexed="81"/>
            <rFont val="Tahoma"/>
            <family val="2"/>
          </rPr>
          <t xml:space="preserve">
This is the useful energy delivered by one piece of equipment over one year.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Marco Orsini</author>
  </authors>
  <commentList>
    <comment ref="E17" authorId="0" shapeId="0" xr:uid="{00000000-0006-0000-0A00-000001000000}">
      <text>
        <r>
          <rPr>
            <b/>
            <sz val="9"/>
            <color indexed="81"/>
            <rFont val="Tahoma"/>
            <family val="2"/>
          </rPr>
          <t>Marco Orsini:</t>
        </r>
        <r>
          <rPr>
            <sz val="9"/>
            <color indexed="81"/>
            <rFont val="Tahoma"/>
            <family val="2"/>
          </rPr>
          <t xml:space="preserve">
hypotheses TIMES BE, à revoir?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Alessandro Chiodi</author>
    <author>Marco Orsini</author>
  </authors>
  <commentList>
    <comment ref="E28" authorId="0" shapeId="0" xr:uid="{00000000-0006-0000-0B00-000001000000}">
      <text>
        <r>
          <rPr>
            <b/>
            <sz val="9"/>
            <color indexed="81"/>
            <rFont val="Tahoma"/>
            <family val="2"/>
          </rPr>
          <t>Alessandro Chiodi:</t>
        </r>
        <r>
          <rPr>
            <sz val="9"/>
            <color indexed="81"/>
            <rFont val="Tahoma"/>
            <family val="2"/>
          </rPr>
          <t xml:space="preserve">
Set to calibrate Stocks. Based on SEAI data</t>
        </r>
      </text>
    </comment>
    <comment ref="Q45" authorId="0" shapeId="0" xr:uid="{00000000-0006-0000-0B00-000002000000}">
      <text>
        <r>
          <rPr>
            <b/>
            <sz val="9"/>
            <color indexed="81"/>
            <rFont val="Tahoma"/>
            <family val="2"/>
          </rPr>
          <t>Alessandro Chiodi:</t>
        </r>
        <r>
          <rPr>
            <sz val="9"/>
            <color indexed="81"/>
            <rFont val="Tahoma"/>
            <family val="2"/>
          </rPr>
          <t xml:space="preserve">
Assumption to be reviewed</t>
        </r>
      </text>
    </comment>
    <comment ref="E49" authorId="1" shapeId="0" xr:uid="{00000000-0006-0000-0B00-000003000000}">
      <text>
        <r>
          <rPr>
            <b/>
            <sz val="9"/>
            <color indexed="81"/>
            <rFont val="Tahoma"/>
            <family val="2"/>
          </rPr>
          <t>Marco Orsini:</t>
        </r>
        <r>
          <rPr>
            <sz val="9"/>
            <color indexed="81"/>
            <rFont val="Tahoma"/>
            <family val="2"/>
          </rPr>
          <t xml:space="preserve">
Hypotheses TIMES BE: à revoir?</t>
        </r>
      </text>
    </comment>
    <comment ref="Q55" authorId="0" shapeId="0" xr:uid="{00000000-0006-0000-0B00-000004000000}">
      <text>
        <r>
          <rPr>
            <b/>
            <sz val="9"/>
            <color indexed="81"/>
            <rFont val="Tahoma"/>
            <family val="2"/>
          </rPr>
          <t>Alessandro Chiodi:</t>
        </r>
        <r>
          <rPr>
            <sz val="9"/>
            <color indexed="81"/>
            <rFont val="Tahoma"/>
            <family val="2"/>
          </rPr>
          <t xml:space="preserve">
Assumption to be reviewed</t>
        </r>
      </text>
    </comment>
    <comment ref="Q63" authorId="0" shapeId="0" xr:uid="{00000000-0006-0000-0B00-000005000000}">
      <text>
        <r>
          <rPr>
            <b/>
            <sz val="9"/>
            <color indexed="81"/>
            <rFont val="Tahoma"/>
            <family val="2"/>
          </rPr>
          <t>Alessandro Chiodi:</t>
        </r>
        <r>
          <rPr>
            <sz val="9"/>
            <color indexed="81"/>
            <rFont val="Tahoma"/>
            <family val="2"/>
          </rPr>
          <t xml:space="preserve">
Assumption to be reviewed</t>
        </r>
      </text>
    </comment>
    <comment ref="Q71" authorId="0" shapeId="0" xr:uid="{00000000-0006-0000-0B00-000006000000}">
      <text>
        <r>
          <rPr>
            <b/>
            <sz val="9"/>
            <color indexed="81"/>
            <rFont val="Tahoma"/>
            <family val="2"/>
          </rPr>
          <t>Alessandro Chiodi:</t>
        </r>
        <r>
          <rPr>
            <sz val="9"/>
            <color indexed="81"/>
            <rFont val="Tahoma"/>
            <family val="2"/>
          </rPr>
          <t xml:space="preserve">
Assumption to be reviewed</t>
        </r>
      </text>
    </comment>
  </commentList>
</comments>
</file>

<file path=xl/sharedStrings.xml><?xml version="1.0" encoding="utf-8"?>
<sst xmlns="http://schemas.openxmlformats.org/spreadsheetml/2006/main" count="1492" uniqueCount="614">
  <si>
    <t>ELC</t>
  </si>
  <si>
    <t>Electricity</t>
  </si>
  <si>
    <t>Total</t>
  </si>
  <si>
    <t>Space Heating</t>
  </si>
  <si>
    <t>Space Cooling</t>
  </si>
  <si>
    <t>Geothermal</t>
  </si>
  <si>
    <t>Solar</t>
  </si>
  <si>
    <t>LPG</t>
  </si>
  <si>
    <t>Coal+Coke</t>
  </si>
  <si>
    <t>Natural gas</t>
  </si>
  <si>
    <t>PJ</t>
  </si>
  <si>
    <t>Water Heating</t>
  </si>
  <si>
    <t>Lighting</t>
  </si>
  <si>
    <t>Cooking</t>
  </si>
  <si>
    <t>Sector</t>
  </si>
  <si>
    <t>TechName</t>
  </si>
  <si>
    <t>TechDesc</t>
  </si>
  <si>
    <t>CommName</t>
  </si>
  <si>
    <t>CommDesc</t>
  </si>
  <si>
    <t>Unit</t>
  </si>
  <si>
    <t>End-use description</t>
  </si>
  <si>
    <t>Final end-use description</t>
  </si>
  <si>
    <t>End-Use</t>
  </si>
  <si>
    <t>\I:</t>
  </si>
  <si>
    <t>FIXOM</t>
  </si>
  <si>
    <t>\I: Unit</t>
  </si>
  <si>
    <t>Other Electric</t>
  </si>
  <si>
    <t>Other Energy</t>
  </si>
  <si>
    <t>Refrigeration</t>
  </si>
  <si>
    <t>Stock</t>
  </si>
  <si>
    <t>Life</t>
  </si>
  <si>
    <t>Cap2Act</t>
  </si>
  <si>
    <t>'000 Units</t>
  </si>
  <si>
    <t>(%)</t>
  </si>
  <si>
    <t>Years</t>
  </si>
  <si>
    <t>kEur/Unit per Year</t>
  </si>
  <si>
    <t>Final Energy</t>
  </si>
  <si>
    <t>Oil</t>
  </si>
  <si>
    <t>TJ/Unit - delivered/year</t>
  </si>
  <si>
    <t>Comm-IN</t>
  </si>
  <si>
    <t>Comm-OUT</t>
  </si>
  <si>
    <t>demands/fuels</t>
  </si>
  <si>
    <t>Public Lighting</t>
  </si>
  <si>
    <t>Liquified Petroleum Gas (COM)</t>
  </si>
  <si>
    <t>Oil (COM)</t>
  </si>
  <si>
    <t>Natural Gas (COM)</t>
  </si>
  <si>
    <t>Biomass (COM)</t>
  </si>
  <si>
    <t>Solar (COM)</t>
  </si>
  <si>
    <t>Geothermal (COM)</t>
  </si>
  <si>
    <t>Electricity (COM)</t>
  </si>
  <si>
    <t>Coal (COM)</t>
  </si>
  <si>
    <t>Fuel Tech - Electricity (COM)</t>
  </si>
  <si>
    <t>Biomass</t>
  </si>
  <si>
    <t>COM</t>
  </si>
  <si>
    <t>INVCOST</t>
  </si>
  <si>
    <t>kt</t>
  </si>
  <si>
    <t>Final Energy Eurostat</t>
  </si>
  <si>
    <t>CLIG</t>
  </si>
  <si>
    <t>CCOK</t>
  </si>
  <si>
    <t>CREF</t>
  </si>
  <si>
    <t>CPLI</t>
  </si>
  <si>
    <t>COEL</t>
  </si>
  <si>
    <t>COEN</t>
  </si>
  <si>
    <t>%</t>
  </si>
  <si>
    <t>ENV</t>
  </si>
  <si>
    <t>COMCOA</t>
  </si>
  <si>
    <t>COMLPG</t>
  </si>
  <si>
    <t>COMOIL</t>
  </si>
  <si>
    <t>COMGAS</t>
  </si>
  <si>
    <t>COMBIO</t>
  </si>
  <si>
    <t>COMSOL</t>
  </si>
  <si>
    <t>COMGEO</t>
  </si>
  <si>
    <t>COMELC</t>
  </si>
  <si>
    <t>LimType</t>
  </si>
  <si>
    <t>PeakTS</t>
  </si>
  <si>
    <t>DAYNITE</t>
  </si>
  <si>
    <t>Csets</t>
  </si>
  <si>
    <t>CTSLvl</t>
  </si>
  <si>
    <t>Demand</t>
  </si>
  <si>
    <t>Base-year data aggregated by sector fuel (PJ)</t>
  </si>
  <si>
    <t>~FI_T</t>
  </si>
  <si>
    <t>~FI_Comm</t>
  </si>
  <si>
    <t>EFF</t>
  </si>
  <si>
    <t>Ctype</t>
  </si>
  <si>
    <t>\I:TOTAL</t>
  </si>
  <si>
    <t>CEFF</t>
  </si>
  <si>
    <t>~COMEMI</t>
  </si>
  <si>
    <t>Base-year technologies for commercial - Cooking</t>
  </si>
  <si>
    <t>Base-year technologies for commercial - Refrigeration</t>
  </si>
  <si>
    <t>Base-year technologies for commercial - Other electricity</t>
  </si>
  <si>
    <t>Base-year technologies for commercial - Lighting</t>
  </si>
  <si>
    <t>Base-year technologies for commercial - Public lighting</t>
  </si>
  <si>
    <t>High Temp Heat</t>
  </si>
  <si>
    <t>COMHTH</t>
  </si>
  <si>
    <t>Assumptions on stocks of technologies</t>
  </si>
  <si>
    <t>\I:Technology Shares</t>
  </si>
  <si>
    <t>1000s</t>
  </si>
  <si>
    <t>Statistics on stocks: number of square meters</t>
  </si>
  <si>
    <t>Carbon Dioxide - Combustion (COM)</t>
  </si>
  <si>
    <t>COMCO2N</t>
  </si>
  <si>
    <t>Cap2Act-assumption</t>
  </si>
  <si>
    <t>Stock-assumption</t>
  </si>
  <si>
    <t>GJ/kW</t>
  </si>
  <si>
    <t>Euro/kW</t>
  </si>
  <si>
    <t>Act2Flo</t>
  </si>
  <si>
    <t>COMCOO</t>
  </si>
  <si>
    <t>Free cooling source (COM)</t>
  </si>
  <si>
    <t>Cooling agent (COM)</t>
  </si>
  <si>
    <t>Com.District Cooling.Absorption heat pump and free source.</t>
  </si>
  <si>
    <t>Availability</t>
  </si>
  <si>
    <t>% of Final Energy</t>
  </si>
  <si>
    <t>AFA</t>
  </si>
  <si>
    <t>AF</t>
  </si>
  <si>
    <t>PJ/GW</t>
  </si>
  <si>
    <t>GW</t>
  </si>
  <si>
    <t>VA_DelivPerUnit</t>
  </si>
  <si>
    <t>COMBGS</t>
  </si>
  <si>
    <t>Biogas (COM)</t>
  </si>
  <si>
    <t>COMSLU</t>
  </si>
  <si>
    <t>Waste (COM)</t>
  </si>
  <si>
    <t>~FI_Process</t>
  </si>
  <si>
    <t>Sets</t>
  </si>
  <si>
    <t>Tact</t>
  </si>
  <si>
    <t>Tcap</t>
  </si>
  <si>
    <t>Tslvl</t>
  </si>
  <si>
    <t>PrimaryCG</t>
  </si>
  <si>
    <t>Vintage</t>
  </si>
  <si>
    <t>*Final Energy</t>
  </si>
  <si>
    <t>CEFF-O</t>
  </si>
  <si>
    <t>*Final Energy Eurostat</t>
  </si>
  <si>
    <t>*Final Energy Eurostat Adj</t>
  </si>
  <si>
    <t>Avg Watts</t>
  </si>
  <si>
    <t>Avg h/d</t>
  </si>
  <si>
    <t>Num (000)</t>
  </si>
  <si>
    <t>Life (h)</t>
  </si>
  <si>
    <t>NRG</t>
  </si>
  <si>
    <t>DEM</t>
  </si>
  <si>
    <t>Imports</t>
  </si>
  <si>
    <t>Exports</t>
  </si>
  <si>
    <t>Transport</t>
  </si>
  <si>
    <t>Rail</t>
  </si>
  <si>
    <t>Residential</t>
  </si>
  <si>
    <t>Final energy consumption by end-use and sector (PJ)</t>
  </si>
  <si>
    <t>CS</t>
  </si>
  <si>
    <t>TWh</t>
  </si>
  <si>
    <t>TOT</t>
  </si>
  <si>
    <t>*EFF</t>
  </si>
  <si>
    <t>PV technologies</t>
  </si>
  <si>
    <t>*</t>
  </si>
  <si>
    <t>Table of contents</t>
  </si>
  <si>
    <t>Energy Balance</t>
  </si>
  <si>
    <t>VEDA Input Tables</t>
  </si>
  <si>
    <t>Original data and elaboration for the TIMES tables</t>
  </si>
  <si>
    <t>Capacity</t>
  </si>
  <si>
    <t>Consumption</t>
  </si>
  <si>
    <t>Currency (year)</t>
  </si>
  <si>
    <t>COM_Commodities</t>
  </si>
  <si>
    <t>COM_Processes</t>
  </si>
  <si>
    <t>TIMES processes list for the commercial sector</t>
  </si>
  <si>
    <t>COM_EmiCoeffs</t>
  </si>
  <si>
    <t>COM_FuelTechs</t>
  </si>
  <si>
    <t>Emission coefficients for the commercial sector</t>
  </si>
  <si>
    <t>*Process Set Membership</t>
  </si>
  <si>
    <t>Technology Name</t>
  </si>
  <si>
    <t>Technology Description</t>
  </si>
  <si>
    <t>Activity Unit</t>
  </si>
  <si>
    <t>Capacity Unit</t>
  </si>
  <si>
    <t>TimeSlice level of Process Activity</t>
  </si>
  <si>
    <t>Primary Commodity Group</t>
  </si>
  <si>
    <t>Vintage Tracking</t>
  </si>
  <si>
    <t>Processes - Commercial sector</t>
  </si>
  <si>
    <t>*Commodity Set Membership</t>
  </si>
  <si>
    <t>Commodity Name</t>
  </si>
  <si>
    <t>Commodity Description</t>
  </si>
  <si>
    <t>Sense of the Balance EQN.</t>
  </si>
  <si>
    <t>Timeslice Level</t>
  </si>
  <si>
    <t>Peak Monitoring</t>
  </si>
  <si>
    <t>Electricity Indicator</t>
  </si>
  <si>
    <t>Commodities - Commercial sector</t>
  </si>
  <si>
    <t>Emission coefficients</t>
  </si>
  <si>
    <t>Fuel</t>
  </si>
  <si>
    <t>OILLPG</t>
  </si>
  <si>
    <t>OILGSL</t>
  </si>
  <si>
    <t>OILKER</t>
  </si>
  <si>
    <t>OILDST</t>
  </si>
  <si>
    <t>OILHFO</t>
  </si>
  <si>
    <t>GASNAT</t>
  </si>
  <si>
    <t>Emission coefficient by fuel type</t>
  </si>
  <si>
    <t>kt/PJ</t>
  </si>
  <si>
    <t>COAHAR</t>
  </si>
  <si>
    <t>COACOK</t>
  </si>
  <si>
    <t>COALIG</t>
  </si>
  <si>
    <t>COABRO</t>
  </si>
  <si>
    <t>OILOTH</t>
  </si>
  <si>
    <t>GASGWG</t>
  </si>
  <si>
    <t>BIOWOO</t>
  </si>
  <si>
    <t>BIOGAS</t>
  </si>
  <si>
    <t>BIOMUN</t>
  </si>
  <si>
    <t>BIOSLU</t>
  </si>
  <si>
    <t xml:space="preserve">Code </t>
  </si>
  <si>
    <t>Sector Description</t>
  </si>
  <si>
    <t>Country</t>
  </si>
  <si>
    <t>Year</t>
  </si>
  <si>
    <t>Fuel Tech - Coal (COM)</t>
  </si>
  <si>
    <t>Fuel Tech - Liquified Petroleum Gas (COM)</t>
  </si>
  <si>
    <t>Fuel Tech - Oil (COM)</t>
  </si>
  <si>
    <t>Fuel Tech - Biomass (COM)</t>
  </si>
  <si>
    <t>Fuel Tech - Solar (COM)</t>
  </si>
  <si>
    <t>Fuel Tech - Geothermal (COM)</t>
  </si>
  <si>
    <t>SHARE-I~UP</t>
  </si>
  <si>
    <t>Infrastructure for commercial fuels</t>
  </si>
  <si>
    <t>CAP2ACT</t>
  </si>
  <si>
    <t>COMHET</t>
  </si>
  <si>
    <t>NCAP_BND~UP~0</t>
  </si>
  <si>
    <t>Interpolation/Extrapolation</t>
  </si>
  <si>
    <t>RENSOL</t>
  </si>
  <si>
    <t>RENGEO</t>
  </si>
  <si>
    <t>Meuro/GW</t>
  </si>
  <si>
    <t>SHARE-I~UP~W</t>
  </si>
  <si>
    <t>SHARE-I~UP~R</t>
  </si>
  <si>
    <t>SHARE-I~UP~S</t>
  </si>
  <si>
    <t>SHARE-I~UP~F</t>
  </si>
  <si>
    <t>FOR NOW DISABLED</t>
  </si>
  <si>
    <t>COM_CH</t>
  </si>
  <si>
    <t>Description of the commercial space heating sector</t>
  </si>
  <si>
    <t>Description of the commercial water heating sector</t>
  </si>
  <si>
    <t>Description of the commercial cooling sector</t>
  </si>
  <si>
    <t>COM_PV</t>
  </si>
  <si>
    <t>COM_CC</t>
  </si>
  <si>
    <t>COM_CW</t>
  </si>
  <si>
    <t>Description of the commercial PV sector</t>
  </si>
  <si>
    <t>Description of the commercial other sector</t>
  </si>
  <si>
    <t>VEDA-TIMES Input Table</t>
  </si>
  <si>
    <t>Description</t>
  </si>
  <si>
    <t>COLOUR LEGEND</t>
  </si>
  <si>
    <t>* Unit</t>
  </si>
  <si>
    <t>Calculation based on other assumptions</t>
  </si>
  <si>
    <t>User Input/Assumption</t>
  </si>
  <si>
    <t>Calibration</t>
  </si>
  <si>
    <t>LIFE</t>
  </si>
  <si>
    <t>STOCK</t>
  </si>
  <si>
    <t>Commercial Space Heating (CH)</t>
  </si>
  <si>
    <t>Commercial Water Heating (CW)</t>
  </si>
  <si>
    <t>SHARE-I~FX</t>
  </si>
  <si>
    <t>SHARE-I~FX~0</t>
  </si>
  <si>
    <t>Commercial Cooling (CO)</t>
  </si>
  <si>
    <t>*Technology Shares</t>
  </si>
  <si>
    <t>SHARE-O~UP</t>
  </si>
  <si>
    <t>Commercial PV</t>
  </si>
  <si>
    <t>Base year demand commercial Other Appliances</t>
  </si>
  <si>
    <t>Commercial Other appliances</t>
  </si>
  <si>
    <t>Base year demand commercial space cooling</t>
  </si>
  <si>
    <t>Base year demand commercial water heating</t>
  </si>
  <si>
    <t>Base year demand commercial space heating</t>
  </si>
  <si>
    <t>COM_Balance</t>
  </si>
  <si>
    <t>Description of the existing uses of energy in the commercial sector</t>
  </si>
  <si>
    <t>TIMES commodities list for the commercial sector</t>
  </si>
  <si>
    <t>Output</t>
  </si>
  <si>
    <t>Emission coefficients per unit of fuel consumed in the commercial sector</t>
  </si>
  <si>
    <t>Technical Life</t>
  </si>
  <si>
    <t>DMD</t>
  </si>
  <si>
    <t>ELE</t>
  </si>
  <si>
    <t>PRE</t>
  </si>
  <si>
    <t>IE</t>
  </si>
  <si>
    <t>NACE 
(Rev 2)</t>
  </si>
  <si>
    <t xml:space="preserve"> Coal</t>
  </si>
  <si>
    <t xml:space="preserve"> Bituminous Coal</t>
  </si>
  <si>
    <t xml:space="preserve"> Anthracite + Manufactured Ovoids</t>
  </si>
  <si>
    <t xml:space="preserve"> Coke</t>
  </si>
  <si>
    <t xml:space="preserve"> Lignite \ Brown Coal Briquettes</t>
  </si>
  <si>
    <t xml:space="preserve"> Peat</t>
  </si>
  <si>
    <t xml:space="preserve"> Milled Peat</t>
  </si>
  <si>
    <t xml:space="preserve"> Sod Peat</t>
  </si>
  <si>
    <t xml:space="preserve"> Briquettes</t>
  </si>
  <si>
    <t xml:space="preserve"> Oil</t>
  </si>
  <si>
    <t xml:space="preserve"> Crude</t>
  </si>
  <si>
    <t xml:space="preserve"> Refinery Gas</t>
  </si>
  <si>
    <t xml:space="preserve"> Gasoline</t>
  </si>
  <si>
    <t xml:space="preserve"> Kerosene</t>
  </si>
  <si>
    <t xml:space="preserve"> Jet Kerosene</t>
  </si>
  <si>
    <t xml:space="preserve"> Fueloil</t>
  </si>
  <si>
    <t xml:space="preserve"> LPG</t>
  </si>
  <si>
    <t xml:space="preserve"> Gasoil / Diesel /DERV</t>
  </si>
  <si>
    <t xml:space="preserve"> Petroleum Coke</t>
  </si>
  <si>
    <t xml:space="preserve"> Naphta</t>
  </si>
  <si>
    <t xml:space="preserve"> Bitumen</t>
  </si>
  <si>
    <t xml:space="preserve"> White Spirit</t>
  </si>
  <si>
    <t xml:space="preserve"> Lubricants</t>
  </si>
  <si>
    <t xml:space="preserve"> Natural Gas</t>
  </si>
  <si>
    <t xml:space="preserve"> Renewables</t>
  </si>
  <si>
    <t xml:space="preserve"> Hydro</t>
  </si>
  <si>
    <t xml:space="preserve"> Wind</t>
  </si>
  <si>
    <t xml:space="preserve"> Biomass &amp;   Renewable  Waste</t>
  </si>
  <si>
    <t xml:space="preserve"> Landfill Gas</t>
  </si>
  <si>
    <t xml:space="preserve"> Biogas</t>
  </si>
  <si>
    <t xml:space="preserve"> Liquid Biofuel</t>
  </si>
  <si>
    <t xml:space="preserve"> Solar</t>
  </si>
  <si>
    <t xml:space="preserve"> Geothermal</t>
  </si>
  <si>
    <t xml:space="preserve"> Non-Renewable  Waste</t>
  </si>
  <si>
    <t xml:space="preserve"> Electricity</t>
  </si>
  <si>
    <t xml:space="preserve"> Heat</t>
  </si>
  <si>
    <t xml:space="preserve"> TOTAL</t>
  </si>
  <si>
    <t>Indigenous Production</t>
  </si>
  <si>
    <t>Mar. Bunkers</t>
  </si>
  <si>
    <t>Stock Change</t>
  </si>
  <si>
    <t>Primary Energy Supply (incl non-energy)</t>
  </si>
  <si>
    <t>Primary Energy Requirement (excl. non-energy)</t>
  </si>
  <si>
    <t>Transformation Input</t>
  </si>
  <si>
    <t>Public Thermal Power Plants</t>
  </si>
  <si>
    <t>Combined Heat and Power Plants</t>
  </si>
  <si>
    <t>Pumped Storage Consumption</t>
  </si>
  <si>
    <t>Briquetting Plants</t>
  </si>
  <si>
    <t>Oil Refineries &amp; other energy sector</t>
  </si>
  <si>
    <t>Transformation Output</t>
  </si>
  <si>
    <t>Combined Heat and Power Plants - Electricity</t>
  </si>
  <si>
    <t>Combined Heat and Power Plants - Heat</t>
  </si>
  <si>
    <t>Pumped Storage Generation</t>
  </si>
  <si>
    <t>Oil Refineries</t>
  </si>
  <si>
    <t>Exchanges and transfers</t>
  </si>
  <si>
    <t>Heat</t>
  </si>
  <si>
    <t xml:space="preserve">Other </t>
  </si>
  <si>
    <t>Own Use and Distribution Losses</t>
  </si>
  <si>
    <t>Available Final Energy Consumption</t>
  </si>
  <si>
    <t>Non-Energy Consumption</t>
  </si>
  <si>
    <t>Final non-Energy Consumption (Feedstocks)</t>
  </si>
  <si>
    <t>Total Final Energy Consumption</t>
  </si>
  <si>
    <t>Industry*</t>
  </si>
  <si>
    <t>Non-Energy Mining</t>
  </si>
  <si>
    <t>05-09</t>
  </si>
  <si>
    <t>Food &amp; beverages</t>
  </si>
  <si>
    <t>10-11</t>
  </si>
  <si>
    <t>Textiles and textile products</t>
  </si>
  <si>
    <t>13-14</t>
  </si>
  <si>
    <t>Wood and wood products</t>
  </si>
  <si>
    <t>16</t>
  </si>
  <si>
    <t>Pulp, paper, publishing and printing</t>
  </si>
  <si>
    <t>17-18</t>
  </si>
  <si>
    <t>Chemicals &amp; man-made fibres</t>
  </si>
  <si>
    <t>20-21</t>
  </si>
  <si>
    <t>Rubber and plastic products</t>
  </si>
  <si>
    <t>22</t>
  </si>
  <si>
    <t>Other non-metallic mineral products</t>
  </si>
  <si>
    <t>23</t>
  </si>
  <si>
    <t>Basic metals and fabricated metal products</t>
  </si>
  <si>
    <t>24-25</t>
  </si>
  <si>
    <t>Machinery and equipment n.e.c.</t>
  </si>
  <si>
    <t>28</t>
  </si>
  <si>
    <t>Electrical and optical equipment</t>
  </si>
  <si>
    <t>26-27</t>
  </si>
  <si>
    <t>Transport equipment manufacture</t>
  </si>
  <si>
    <t>29-30</t>
  </si>
  <si>
    <t>Other manufacturing</t>
  </si>
  <si>
    <t>31-33, 12 &amp; 15</t>
  </si>
  <si>
    <t>Road Freight</t>
  </si>
  <si>
    <t>Road Light Goods Vehicle</t>
  </si>
  <si>
    <t>Road Private Car</t>
  </si>
  <si>
    <t>Public Passenger Services</t>
  </si>
  <si>
    <t>Domestic Aviation</t>
  </si>
  <si>
    <t>International Aviation</t>
  </si>
  <si>
    <t>Fuel Tourism</t>
  </si>
  <si>
    <t>Navigation</t>
  </si>
  <si>
    <t>Unspecified</t>
  </si>
  <si>
    <t>Commercial/Public Services</t>
  </si>
  <si>
    <t>Commercial Services</t>
  </si>
  <si>
    <t>Public Services</t>
  </si>
  <si>
    <t>Agricultural</t>
  </si>
  <si>
    <t>Fisheries</t>
  </si>
  <si>
    <t>Statistical Difference</t>
  </si>
  <si>
    <t>* Industry sub-sectoral breakdown is based on the CIP 2009.</t>
  </si>
  <si>
    <t>Sod peat is estimated due to new legislation and the methodology is under review</t>
  </si>
  <si>
    <t>Statistical differences may exist for crude oil between the calculated primary energy requirement and the observed refinery input</t>
  </si>
  <si>
    <t>Conversion factors</t>
  </si>
  <si>
    <t>1 ktoe</t>
  </si>
  <si>
    <t>PS</t>
  </si>
  <si>
    <t>BIOWOO, BIOWCH, BIOWPE</t>
  </si>
  <si>
    <t>ELCD</t>
  </si>
  <si>
    <t>ELCH</t>
  </si>
  <si>
    <t>COMCH4N</t>
  </si>
  <si>
    <t>COMSO2N</t>
  </si>
  <si>
    <t>COMNOXN</t>
  </si>
  <si>
    <t>COMPM10</t>
  </si>
  <si>
    <t>COMPM25</t>
  </si>
  <si>
    <t>Methane (COM)</t>
  </si>
  <si>
    <t>Sulphur Oxides (COM)</t>
  </si>
  <si>
    <t>Nitrogen Oxide (COM)</t>
  </si>
  <si>
    <t>Particulate Matter &lt;10 µm (COM)</t>
  </si>
  <si>
    <t>Particulate Matter &lt;2.5 µm (COM)</t>
  </si>
  <si>
    <t>HEAT</t>
  </si>
  <si>
    <t>Commercial services</t>
  </si>
  <si>
    <t>SEASON</t>
  </si>
  <si>
    <t>BIOGAS1G,BIOGAS2G</t>
  </si>
  <si>
    <t>Biogas</t>
  </si>
  <si>
    <t>PJa</t>
  </si>
  <si>
    <t>Fuel Tech - Biogas (COM)</t>
  </si>
  <si>
    <t>Commercial Lighting Demand</t>
  </si>
  <si>
    <t>Commercial Cooking Demand</t>
  </si>
  <si>
    <t>Commercial Refrigeration Demand</t>
  </si>
  <si>
    <t>Commercial Public Lighting Demand</t>
  </si>
  <si>
    <t>Commercial Other Electric Demand</t>
  </si>
  <si>
    <t>Commercial Other Energy Demand</t>
  </si>
  <si>
    <t>Commercial space heat  demand - Commercial Services</t>
  </si>
  <si>
    <t>Commercial water heating demand - Commercial Services</t>
  </si>
  <si>
    <t>Commercial water heating demand - Public Services</t>
  </si>
  <si>
    <t>Commercial space cooling demand - Commercial Services</t>
  </si>
  <si>
    <t>Commercial space cooling demand - Public Services</t>
  </si>
  <si>
    <t>Commercial space heat demand - Public Services</t>
  </si>
  <si>
    <t>Fuel Tech - Natural Gas (COM)</t>
  </si>
  <si>
    <t>Irish TIMES Energy System Model</t>
  </si>
  <si>
    <t>Document type:</t>
  </si>
  <si>
    <t xml:space="preserve">Base Year Template </t>
  </si>
  <si>
    <t>Sector:</t>
  </si>
  <si>
    <t>Developer:</t>
  </si>
  <si>
    <t>Energy Policy Modelling Group, UCC</t>
  </si>
  <si>
    <t>Source data</t>
  </si>
  <si>
    <t>Notes</t>
  </si>
  <si>
    <t>Office</t>
  </si>
  <si>
    <t>Retail</t>
  </si>
  <si>
    <t>Restaurant/Pub</t>
  </si>
  <si>
    <t>Warehouse</t>
  </si>
  <si>
    <t>Hotel</t>
  </si>
  <si>
    <t>Number in SEAI Survey</t>
  </si>
  <si>
    <t>% of total Commerical Irish stock</t>
  </si>
  <si>
    <t>Figure 2: Number of commercial buildings in Ireland (Total = 109,000)</t>
  </si>
  <si>
    <t>Average floor Area (m2)</t>
  </si>
  <si>
    <t>Primary kWh per UNIT per yr</t>
  </si>
  <si>
    <t>Final Energy Demand kWh per Unit</t>
  </si>
  <si>
    <t>Fuel Supply % of total stock numbers</t>
  </si>
  <si>
    <t>Grid Supplied Electricity</t>
  </si>
  <si>
    <t>Natural Gas</t>
  </si>
  <si>
    <t>Primary energy demand by fuel type in the commercial buildings sector (TWh)</t>
  </si>
  <si>
    <t>Figure 5: Primary and final energy demand by fuel type</t>
  </si>
  <si>
    <t>Final energy demand by fuel type in the commercial buildings sector (TWh)</t>
  </si>
  <si>
    <t>Wall type by Sector</t>
  </si>
  <si>
    <t>Cavity</t>
  </si>
  <si>
    <t>Solid Masonry</t>
  </si>
  <si>
    <t>Other</t>
  </si>
  <si>
    <t>Fraction of double / triple glazing by sector</t>
  </si>
  <si>
    <t>With Double Glazing</t>
  </si>
  <si>
    <t>None</t>
  </si>
  <si>
    <t>HVAC type by sector</t>
  </si>
  <si>
    <t>Unheated (Natural Ventilation)</t>
  </si>
  <si>
    <t>Heating Only (Natural Ventilation for cooling)</t>
  </si>
  <si>
    <t>Heating and Cooling (Mechanical Ventilation)</t>
  </si>
  <si>
    <t>Fraction of low-energy lighting</t>
  </si>
  <si>
    <t>No Low energy lights</t>
  </si>
  <si>
    <t>50% of lights are low energy</t>
  </si>
  <si>
    <t>100% of lights are low energy</t>
  </si>
  <si>
    <r>
      <t>m</t>
    </r>
    <r>
      <rPr>
        <b/>
        <i/>
        <vertAlign val="superscript"/>
        <sz val="8"/>
        <color indexed="8"/>
        <rFont val="Arial"/>
        <family val="2"/>
      </rPr>
      <t>2</t>
    </r>
  </si>
  <si>
    <t>County</t>
  </si>
  <si>
    <t>Restaurant/ public house</t>
  </si>
  <si>
    <t>Warehouses</t>
  </si>
  <si>
    <t>Workshops/ maintenance depot</t>
  </si>
  <si>
    <t>Industrial process building</t>
  </si>
  <si>
    <t>Hospitals and primary health care</t>
  </si>
  <si>
    <t>Community/ day centre</t>
  </si>
  <si>
    <t>Nursing residential homes and hostels</t>
  </si>
  <si>
    <t>Schools and colleges</t>
  </si>
  <si>
    <t>Sports facilities</t>
  </si>
  <si>
    <t>All building types</t>
  </si>
  <si>
    <t>Carlow</t>
  </si>
  <si>
    <t>Dublin 01-24</t>
  </si>
  <si>
    <t>Dublin County</t>
  </si>
  <si>
    <t>Kildare</t>
  </si>
  <si>
    <t>Kilkenny</t>
  </si>
  <si>
    <t>Laois</t>
  </si>
  <si>
    <t>Longford</t>
  </si>
  <si>
    <t>Louth</t>
  </si>
  <si>
    <t>Meath</t>
  </si>
  <si>
    <t>Offaly</t>
  </si>
  <si>
    <t>Westmeath</t>
  </si>
  <si>
    <t>Wexford</t>
  </si>
  <si>
    <t>Wicklow</t>
  </si>
  <si>
    <t>Clare</t>
  </si>
  <si>
    <t>Cork City</t>
  </si>
  <si>
    <t>–</t>
  </si>
  <si>
    <t>Cork County</t>
  </si>
  <si>
    <t>Kerry</t>
  </si>
  <si>
    <t>Limerick City</t>
  </si>
  <si>
    <t>Limerick County</t>
  </si>
  <si>
    <t>Tipperary</t>
  </si>
  <si>
    <t>Waterford City</t>
  </si>
  <si>
    <t>Waterford County</t>
  </si>
  <si>
    <t>Galway City</t>
  </si>
  <si>
    <t>Galway County</t>
  </si>
  <si>
    <t>Leitrim</t>
  </si>
  <si>
    <t>Mayo</t>
  </si>
  <si>
    <t>Roscommon</t>
  </si>
  <si>
    <t>Sligo</t>
  </si>
  <si>
    <t>Cavan</t>
  </si>
  <si>
    <t>Donegal</t>
  </si>
  <si>
    <t>Monaghan</t>
  </si>
  <si>
    <t>All</t>
  </si>
  <si>
    <t>– No data is available for this building type and county</t>
  </si>
  <si>
    <t>Source: CSO</t>
  </si>
  <si>
    <t>http://cso.ie/en/releasesandpublications/er/ndber/non-domesticbuildingenergyratingsq22017/</t>
  </si>
  <si>
    <t>Spreadsheet for Commercial building archetypes in Ireland for</t>
  </si>
  <si>
    <t>cons</t>
  </si>
  <si>
    <t>=</t>
  </si>
  <si>
    <t>stock*cap2act*af/eff</t>
  </si>
  <si>
    <t>Stock share</t>
  </si>
  <si>
    <t>EB2012</t>
  </si>
  <si>
    <t>CSO (http://cso.ie/en/releasesandpublications/er/ndber/non-domesticbuildingenergyratingsq22017/)</t>
  </si>
  <si>
    <t>SEAI (https://www.seai.ie/resources/publications/Extensive-Survey-of-Commercial-Buildings-Stock-i)</t>
  </si>
  <si>
    <t>Milion Euro 2012</t>
  </si>
  <si>
    <t>Description of the fuel sectoral technologies for the commercial sector</t>
  </si>
  <si>
    <t>Tab colour legend</t>
  </si>
  <si>
    <t>Units</t>
  </si>
  <si>
    <t>PJa or GW</t>
  </si>
  <si>
    <t>Base year</t>
  </si>
  <si>
    <t>Cell colour legend</t>
  </si>
  <si>
    <t>M€/Pja</t>
  </si>
  <si>
    <t>ktoe</t>
  </si>
  <si>
    <t>Primary kWh per UNIT per m2</t>
  </si>
  <si>
    <t>Source</t>
  </si>
  <si>
    <t>Elec (GWh)</t>
  </si>
  <si>
    <t>Thermal (GWh)</t>
  </si>
  <si>
    <t>Tranport (GWh)</t>
  </si>
  <si>
    <t>Elec (%)</t>
  </si>
  <si>
    <t>Thermal (%)</t>
  </si>
  <si>
    <t>Tranport (%)</t>
  </si>
  <si>
    <t>Civil Service</t>
  </si>
  <si>
    <t>Commercial State Body</t>
  </si>
  <si>
    <t>Health</t>
  </si>
  <si>
    <t>Justice and Defence</t>
  </si>
  <si>
    <t>Local Authorities and Water Services</t>
  </si>
  <si>
    <t>Non-commercial State Body/State Agency</t>
  </si>
  <si>
    <t>GWh</t>
  </si>
  <si>
    <t>Office Buildings</t>
  </si>
  <si>
    <t>Education Buildings</t>
  </si>
  <si>
    <t>Healthcare Buildings</t>
  </si>
  <si>
    <t>Other Buildings</t>
  </si>
  <si>
    <t>Water Services</t>
  </si>
  <si>
    <t>Unknown</t>
  </si>
  <si>
    <t>Source: http://boc.ie/Insights/Public-sector-energy-consumption-in-Ireland</t>
  </si>
  <si>
    <t>Buildings</t>
  </si>
  <si>
    <t>Statistics on stocks: number of buildings</t>
  </si>
  <si>
    <t>Existing commercial - Solar PV</t>
  </si>
  <si>
    <t>*COOFRE</t>
  </si>
  <si>
    <t>COABIT</t>
  </si>
  <si>
    <t>Sheet</t>
  </si>
  <si>
    <t>SEAI 2012 energy balance in ktoe</t>
  </si>
  <si>
    <t>COM_COth</t>
  </si>
  <si>
    <t>Commercial</t>
  </si>
  <si>
    <t>COMPVELC_00</t>
  </si>
  <si>
    <t>SUPH2GD</t>
  </si>
  <si>
    <t>Hydrogen gaseous (COM)</t>
  </si>
  <si>
    <t>COMH2G</t>
  </si>
  <si>
    <t>COMH2L</t>
  </si>
  <si>
    <t>Hydrogen liquid (COM)</t>
  </si>
  <si>
    <t>SUPH2LD</t>
  </si>
  <si>
    <t>Fuel Tech - Hydrogen gaseous (COM)</t>
  </si>
  <si>
    <t>Fuel Tech - Hydrogen liquid (COM)</t>
  </si>
  <si>
    <t>Heat (COM)</t>
  </si>
  <si>
    <t>COMAHT</t>
  </si>
  <si>
    <t>Ambient Heat (COM)</t>
  </si>
  <si>
    <t>COMGHT</t>
  </si>
  <si>
    <t>Ground Heat (COM)</t>
  </si>
  <si>
    <t>~FI_T:</t>
  </si>
  <si>
    <t>Attribute</t>
  </si>
  <si>
    <t>AuD</t>
  </si>
  <si>
    <t>AuE</t>
  </si>
  <si>
    <t>AuN</t>
  </si>
  <si>
    <t>AuP</t>
  </si>
  <si>
    <t>SpD</t>
  </si>
  <si>
    <t>SpE</t>
  </si>
  <si>
    <t>SpN</t>
  </si>
  <si>
    <t>SpP</t>
  </si>
  <si>
    <t>SuD</t>
  </si>
  <si>
    <t>SuE</t>
  </si>
  <si>
    <t>SuN</t>
  </si>
  <si>
    <t>SuP</t>
  </si>
  <si>
    <t>WiD</t>
  </si>
  <si>
    <t>WiE</t>
  </si>
  <si>
    <t>WiN</t>
  </si>
  <si>
    <t>WiP</t>
  </si>
  <si>
    <t>*Source</t>
  </si>
  <si>
    <t>*Driver</t>
  </si>
  <si>
    <t>COM_FR</t>
  </si>
  <si>
    <t>UKTM_v1.2.3</t>
  </si>
  <si>
    <t>SHL</t>
  </si>
  <si>
    <t>Demand profiles commercial space heating</t>
  </si>
  <si>
    <t>Demand profiles commercial water heating</t>
  </si>
  <si>
    <t>SWL</t>
  </si>
  <si>
    <t>SCH</t>
  </si>
  <si>
    <t>Demand profiles commercial space cooling</t>
  </si>
  <si>
    <t>Demand profiles commercial Other appliances</t>
  </si>
  <si>
    <t>SLOF</t>
  </si>
  <si>
    <t>SCK</t>
  </si>
  <si>
    <t>SREF</t>
  </si>
  <si>
    <t>SLOT</t>
  </si>
  <si>
    <t>SOTH</t>
  </si>
  <si>
    <t>Fuel Tech - Heat (COM)</t>
  </si>
  <si>
    <t xml:space="preserve">2018                         Units = ktoe
</t>
  </si>
  <si>
    <t>Last Updated : 30th September 2019</t>
  </si>
  <si>
    <t>2018 provisional data</t>
  </si>
  <si>
    <t>2018 provisional data based on 2017 breakdown</t>
  </si>
  <si>
    <t>2017 data</t>
  </si>
  <si>
    <t>PASTI~2018</t>
  </si>
  <si>
    <t>https://www.cso.ie/en/releasesandpublications/er/ndber/non-domesticbuildingenergyratingsq42018/</t>
  </si>
  <si>
    <t>Table 10 Average Floor Area by Type of Building and County (Non-Domestic) 2009-2018</t>
  </si>
  <si>
    <t>2018 Energy Consumption (Primary)</t>
  </si>
  <si>
    <t>https://www.seai.ie/publications/Public-Sector-Annual-Report-2019.pdf</t>
  </si>
  <si>
    <t>2018 Electricity Consumption (Primary)</t>
  </si>
  <si>
    <t>Waste &amp; Other Processing</t>
  </si>
  <si>
    <t>2018 Natural Gas Consumption</t>
  </si>
  <si>
    <t>Education (excl. Schools &amp; ETBs)</t>
  </si>
  <si>
    <t>Schools &amp; ETBs</t>
  </si>
  <si>
    <t>Electricity Generation</t>
  </si>
  <si>
    <t>Breakout by end-use (Fractional Shares) =&gt; Undocumented Assumptions</t>
  </si>
  <si>
    <t>% total stock with Cooling</t>
  </si>
  <si>
    <t>Stock with a cooling system</t>
  </si>
  <si>
    <t>SHARE-I~UP~0</t>
  </si>
  <si>
    <t>I/E rule</t>
  </si>
  <si>
    <t>SHARE-O~UP~0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</si>
</sst>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164" formatCode="_(* #,##0.00_);_(* \(#,##0.00\);_(* &quot;-&quot;??_);_(@_)"/>
    <numFmt numFmtId="165" formatCode="0.000"/>
    <numFmt numFmtId="166" formatCode="0.0"/>
    <numFmt numFmtId="167" formatCode="0.0_)"/>
    <numFmt numFmtId="168" formatCode="0.00000"/>
    <numFmt numFmtId="169" formatCode="0.0000"/>
    <numFmt numFmtId="170" formatCode="\Te\x\t"/>
    <numFmt numFmtId="171" formatCode="0.000000"/>
    <numFmt numFmtId="172" formatCode="0.0%"/>
    <numFmt numFmtId="173" formatCode="dd/mm/yyyy;@"/>
    <numFmt numFmtId="174" formatCode="0.000000_)"/>
    <numFmt numFmtId="175" formatCode="_-* #,##0_-;\-* #,##0_-;_-* &quot;-&quot;??_-;_-@_-"/>
  </numFmts>
  <fonts count="96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14"/>
      <color indexed="9"/>
      <name val="Arial"/>
      <family val="2"/>
    </font>
    <font>
      <sz val="9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1"/>
      <color indexed="10"/>
      <name val="Arial"/>
      <family val="2"/>
    </font>
    <font>
      <b/>
      <sz val="11"/>
      <name val="Arial"/>
      <family val="2"/>
    </font>
    <font>
      <sz val="8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9C65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indexed="12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4"/>
      <color indexed="9"/>
      <name val="Calibri"/>
      <family val="2"/>
      <scheme val="minor"/>
    </font>
    <font>
      <sz val="11"/>
      <color indexed="9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2"/>
      <color rgb="FFFF0000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10"/>
      <name val="Calibri"/>
      <family val="2"/>
      <scheme val="minor"/>
    </font>
    <font>
      <b/>
      <sz val="11"/>
      <color indexed="10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0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indexed="12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Myriad Pro"/>
      <family val="2"/>
    </font>
    <font>
      <b/>
      <sz val="10"/>
      <name val="Myriad Pro"/>
      <family val="2"/>
    </font>
    <font>
      <sz val="10"/>
      <name val="Myriad Pro"/>
      <family val="2"/>
    </font>
    <font>
      <b/>
      <sz val="18"/>
      <color rgb="FFFF0000"/>
      <name val="Myriad Pro"/>
      <family val="2"/>
    </font>
    <font>
      <sz val="10"/>
      <color rgb="FFFF0000"/>
      <name val="Myriad Pro"/>
      <family val="2"/>
    </font>
    <font>
      <b/>
      <sz val="10"/>
      <color rgb="FFFF0000"/>
      <name val="Myriad Pro"/>
      <family val="2"/>
    </font>
    <font>
      <b/>
      <sz val="10"/>
      <name val="Calibri"/>
      <family val="2"/>
      <scheme val="minor"/>
    </font>
    <font>
      <sz val="10"/>
      <color indexed="9"/>
      <name val="Calibri"/>
      <family val="2"/>
      <scheme val="minor"/>
    </font>
    <font>
      <sz val="9"/>
      <name val="Calibri"/>
      <family val="2"/>
      <scheme val="minor"/>
    </font>
    <font>
      <b/>
      <sz val="10"/>
      <color indexed="10"/>
      <name val="Calibri"/>
      <family val="2"/>
      <scheme val="minor"/>
    </font>
    <font>
      <sz val="8"/>
      <color indexed="8"/>
      <name val="Calibri"/>
      <family val="2"/>
      <scheme val="minor"/>
    </font>
    <font>
      <sz val="10"/>
      <color indexed="1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24"/>
      <name val="Calibri"/>
      <family val="2"/>
      <scheme val="minor"/>
    </font>
    <font>
      <b/>
      <sz val="11"/>
      <color theme="7" tint="-0.499984740745262"/>
      <name val="Calibri"/>
      <family val="2"/>
      <scheme val="minor"/>
    </font>
    <font>
      <b/>
      <u/>
      <sz val="11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3"/>
      <name val="Calibri"/>
      <family val="2"/>
      <scheme val="minor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i/>
      <sz val="8"/>
      <color theme="1"/>
      <name val="Arial"/>
      <family val="2"/>
    </font>
    <font>
      <b/>
      <i/>
      <sz val="8"/>
      <color theme="1"/>
      <name val="Arial"/>
      <family val="2"/>
    </font>
    <font>
      <b/>
      <i/>
      <vertAlign val="superscript"/>
      <sz val="8"/>
      <color indexed="8"/>
      <name val="Arial"/>
      <family val="2"/>
    </font>
    <font>
      <sz val="11"/>
      <name val="Calibri"/>
      <family val="2"/>
      <scheme val="minor"/>
    </font>
    <font>
      <b/>
      <sz val="11"/>
      <color indexed="12"/>
      <name val="Calibri"/>
      <family val="2"/>
      <scheme val="minor"/>
    </font>
    <font>
      <sz val="14"/>
      <color indexed="9"/>
      <name val="Calibri"/>
      <family val="2"/>
      <scheme val="minor"/>
    </font>
    <font>
      <sz val="11"/>
      <color indexed="9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1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indexed="10"/>
      <name val="Calibri"/>
      <family val="2"/>
      <scheme val="minor"/>
    </font>
    <font>
      <b/>
      <sz val="14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9"/>
      <color rgb="FFFF0000"/>
      <name val="Calibri"/>
      <family val="2"/>
      <scheme val="minor"/>
    </font>
    <font>
      <sz val="9"/>
      <color rgb="FFFF0000"/>
      <name val="Arial"/>
      <family val="2"/>
    </font>
  </fonts>
  <fills count="6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22"/>
        <bgColor indexed="22"/>
      </patternFill>
    </fill>
    <fill>
      <patternFill patternType="solid">
        <fgColor indexed="45"/>
        <bgColor indexed="26"/>
      </patternFill>
    </fill>
    <fill>
      <patternFill patternType="solid">
        <fgColor indexed="43"/>
        <bgColor indexed="22"/>
      </patternFill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1"/>
        <bgColor indexed="26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BBA7F5"/>
        <bgColor indexed="64"/>
      </patternFill>
    </fill>
    <fill>
      <patternFill patternType="solid">
        <fgColor rgb="FFDFD6FA"/>
        <bgColor indexed="64"/>
      </patternFill>
    </fill>
    <fill>
      <patternFill patternType="solid">
        <fgColor theme="0" tint="-0.249977111117893"/>
        <bgColor indexed="26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</fills>
  <borders count="16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hair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37">
    <xf numFmtId="0" fontId="0" fillId="0" borderId="0"/>
    <xf numFmtId="164" fontId="13" fillId="0" borderId="0" applyFont="0" applyFill="0" applyBorder="0" applyAlignment="0" applyProtection="0"/>
    <xf numFmtId="0" fontId="25" fillId="14" borderId="0" applyNumberFormat="0" applyBorder="0" applyAlignment="0" applyProtection="0"/>
    <xf numFmtId="9" fontId="13" fillId="0" borderId="0" applyFont="0" applyFill="0" applyBorder="0" applyAlignment="0" applyProtection="0"/>
    <xf numFmtId="0" fontId="61" fillId="0" borderId="0" applyNumberFormat="0" applyFill="0" applyBorder="0" applyAlignment="0" applyProtection="0"/>
    <xf numFmtId="0" fontId="84" fillId="0" borderId="157" applyNumberFormat="0" applyFill="0" applyAlignment="0" applyProtection="0"/>
    <xf numFmtId="0" fontId="85" fillId="0" borderId="158" applyNumberFormat="0" applyFill="0" applyAlignment="0" applyProtection="0"/>
    <xf numFmtId="0" fontId="86" fillId="0" borderId="159" applyNumberFormat="0" applyFill="0" applyAlignment="0" applyProtection="0"/>
    <xf numFmtId="0" fontId="86" fillId="0" borderId="0" applyNumberFormat="0" applyFill="0" applyBorder="0" applyAlignment="0" applyProtection="0"/>
    <xf numFmtId="0" fontId="87" fillId="40" borderId="0" applyNumberFormat="0" applyBorder="0" applyAlignment="0" applyProtection="0"/>
    <xf numFmtId="0" fontId="88" fillId="41" borderId="0" applyNumberFormat="0" applyBorder="0" applyAlignment="0" applyProtection="0"/>
    <xf numFmtId="0" fontId="89" fillId="42" borderId="160" applyNumberFormat="0" applyAlignment="0" applyProtection="0"/>
    <xf numFmtId="0" fontId="90" fillId="43" borderId="161" applyNumberFormat="0" applyAlignment="0" applyProtection="0"/>
    <xf numFmtId="0" fontId="91" fillId="43" borderId="160" applyNumberFormat="0" applyAlignment="0" applyProtection="0"/>
    <xf numFmtId="0" fontId="92" fillId="0" borderId="162" applyNumberFormat="0" applyFill="0" applyAlignment="0" applyProtection="0"/>
    <xf numFmtId="0" fontId="60" fillId="44" borderId="163" applyNumberFormat="0" applyAlignment="0" applyProtection="0"/>
    <xf numFmtId="0" fontId="26" fillId="0" borderId="0" applyNumberFormat="0" applyFill="0" applyBorder="0" applyAlignment="0" applyProtection="0"/>
    <xf numFmtId="0" fontId="93" fillId="0" borderId="0" applyNumberFormat="0" applyFill="0" applyBorder="0" applyAlignment="0" applyProtection="0"/>
    <xf numFmtId="0" fontId="27" fillId="0" borderId="164" applyNumberFormat="0" applyFill="0" applyAlignment="0" applyProtection="0"/>
    <xf numFmtId="0" fontId="46" fillId="45" borderId="0" applyNumberFormat="0" applyBorder="0" applyAlignment="0" applyProtection="0"/>
    <xf numFmtId="0" fontId="2" fillId="46" borderId="0" applyNumberFormat="0" applyBorder="0" applyAlignment="0" applyProtection="0"/>
    <xf numFmtId="0" fontId="2" fillId="47" borderId="0" applyNumberFormat="0" applyBorder="0" applyAlignment="0" applyProtection="0"/>
    <xf numFmtId="0" fontId="46" fillId="48" borderId="0" applyNumberFormat="0" applyBorder="0" applyAlignment="0" applyProtection="0"/>
    <xf numFmtId="0" fontId="2" fillId="49" borderId="0" applyNumberFormat="0" applyBorder="0" applyAlignment="0" applyProtection="0"/>
    <xf numFmtId="0" fontId="2" fillId="50" borderId="0" applyNumberFormat="0" applyBorder="0" applyAlignment="0" applyProtection="0"/>
    <xf numFmtId="0" fontId="46" fillId="51" borderId="0" applyNumberFormat="0" applyBorder="0" applyAlignment="0" applyProtection="0"/>
    <xf numFmtId="0" fontId="2" fillId="52" borderId="0" applyNumberFormat="0" applyBorder="0" applyAlignment="0" applyProtection="0"/>
    <xf numFmtId="0" fontId="2" fillId="53" borderId="0" applyNumberFormat="0" applyBorder="0" applyAlignment="0" applyProtection="0"/>
    <xf numFmtId="0" fontId="46" fillId="54" borderId="0" applyNumberFormat="0" applyBorder="0" applyAlignment="0" applyProtection="0"/>
    <xf numFmtId="0" fontId="2" fillId="55" borderId="0" applyNumberFormat="0" applyBorder="0" applyAlignment="0" applyProtection="0"/>
    <xf numFmtId="0" fontId="2" fillId="56" borderId="0" applyNumberFormat="0" applyBorder="0" applyAlignment="0" applyProtection="0"/>
    <xf numFmtId="0" fontId="46" fillId="57" borderId="0" applyNumberFormat="0" applyBorder="0" applyAlignment="0" applyProtection="0"/>
    <xf numFmtId="0" fontId="2" fillId="58" borderId="0" applyNumberFormat="0" applyBorder="0" applyAlignment="0" applyProtection="0"/>
    <xf numFmtId="0" fontId="2" fillId="59" borderId="0" applyNumberFormat="0" applyBorder="0" applyAlignment="0" applyProtection="0"/>
    <xf numFmtId="0" fontId="46" fillId="60" borderId="0" applyNumberFormat="0" applyBorder="0" applyAlignment="0" applyProtection="0"/>
    <xf numFmtId="0" fontId="2" fillId="61" borderId="0" applyNumberFormat="0" applyBorder="0" applyAlignment="0" applyProtection="0"/>
    <xf numFmtId="0" fontId="2" fillId="62" borderId="0" applyNumberFormat="0" applyBorder="0" applyAlignment="0" applyProtection="0"/>
  </cellStyleXfs>
  <cellXfs count="801">
    <xf numFmtId="0" fontId="0" fillId="0" borderId="0" xfId="0"/>
    <xf numFmtId="0" fontId="0" fillId="0" borderId="0" xfId="0" applyFill="1"/>
    <xf numFmtId="0" fontId="14" fillId="0" borderId="0" xfId="0" applyFont="1"/>
    <xf numFmtId="0" fontId="16" fillId="5" borderId="0" xfId="0" applyFont="1" applyFill="1"/>
    <xf numFmtId="0" fontId="16" fillId="5" borderId="0" xfId="0" quotePrefix="1" applyFont="1" applyFill="1" applyAlignment="1">
      <alignment horizontal="left"/>
    </xf>
    <xf numFmtId="166" fontId="0" fillId="0" borderId="0" xfId="0" applyNumberFormat="1"/>
    <xf numFmtId="0" fontId="15" fillId="0" borderId="0" xfId="0" applyFont="1" applyFill="1"/>
    <xf numFmtId="0" fontId="15" fillId="0" borderId="0" xfId="0" applyFont="1"/>
    <xf numFmtId="2" fontId="0" fillId="0" borderId="0" xfId="0" applyNumberFormat="1"/>
    <xf numFmtId="0" fontId="0" fillId="0" borderId="0" xfId="0" applyFill="1" applyBorder="1"/>
    <xf numFmtId="0" fontId="14" fillId="0" borderId="0" xfId="0" applyFont="1" applyFill="1"/>
    <xf numFmtId="0" fontId="14" fillId="0" borderId="0" xfId="0" applyFont="1" applyFill="1" applyBorder="1" applyAlignment="1">
      <alignment horizontal="left" vertical="center" wrapText="1"/>
    </xf>
    <xf numFmtId="0" fontId="21" fillId="0" borderId="0" xfId="0" quotePrefix="1" applyFont="1" applyFill="1" applyAlignment="1">
      <alignment horizontal="left"/>
    </xf>
    <xf numFmtId="0" fontId="21" fillId="0" borderId="0" xfId="0" applyFont="1" applyFill="1"/>
    <xf numFmtId="0" fontId="20" fillId="0" borderId="0" xfId="0" applyFont="1" applyFill="1"/>
    <xf numFmtId="170" fontId="30" fillId="0" borderId="0" xfId="0" applyNumberFormat="1" applyFont="1"/>
    <xf numFmtId="0" fontId="31" fillId="0" borderId="0" xfId="0" applyFont="1"/>
    <xf numFmtId="170" fontId="33" fillId="5" borderId="0" xfId="0" applyNumberFormat="1" applyFont="1" applyFill="1" applyAlignment="1">
      <alignment horizontal="left"/>
    </xf>
    <xf numFmtId="170" fontId="34" fillId="5" borderId="0" xfId="0" applyNumberFormat="1" applyFont="1" applyFill="1" applyAlignment="1">
      <alignment horizontal="left"/>
    </xf>
    <xf numFmtId="0" fontId="12" fillId="0" borderId="0" xfId="0" applyFont="1"/>
    <xf numFmtId="170" fontId="12" fillId="0" borderId="0" xfId="0" applyNumberFormat="1" applyFont="1"/>
    <xf numFmtId="0" fontId="12" fillId="19" borderId="4" xfId="0" applyFont="1" applyFill="1" applyBorder="1"/>
    <xf numFmtId="0" fontId="35" fillId="20" borderId="38" xfId="0" applyFont="1" applyFill="1" applyBorder="1"/>
    <xf numFmtId="170" fontId="31" fillId="16" borderId="0" xfId="0" applyNumberFormat="1" applyFont="1" applyFill="1"/>
    <xf numFmtId="170" fontId="31" fillId="16" borderId="5" xfId="0" applyNumberFormat="1" applyFont="1" applyFill="1" applyBorder="1"/>
    <xf numFmtId="0" fontId="31" fillId="0" borderId="0" xfId="0" applyFont="1" applyBorder="1"/>
    <xf numFmtId="170" fontId="30" fillId="16" borderId="0" xfId="0" applyNumberFormat="1" applyFont="1" applyFill="1" applyBorder="1"/>
    <xf numFmtId="170" fontId="31" fillId="21" borderId="0" xfId="0" applyNumberFormat="1" applyFont="1" applyFill="1" applyBorder="1" applyAlignment="1">
      <alignment horizontal="left"/>
    </xf>
    <xf numFmtId="170" fontId="31" fillId="16" borderId="0" xfId="0" quotePrefix="1" applyNumberFormat="1" applyFont="1" applyFill="1" applyBorder="1" applyAlignment="1">
      <alignment horizontal="left"/>
    </xf>
    <xf numFmtId="170" fontId="31" fillId="16" borderId="0" xfId="0" applyNumberFormat="1" applyFont="1" applyFill="1" applyBorder="1"/>
    <xf numFmtId="170" fontId="30" fillId="16" borderId="5" xfId="0" applyNumberFormat="1" applyFont="1" applyFill="1" applyBorder="1"/>
    <xf numFmtId="170" fontId="31" fillId="16" borderId="5" xfId="0" quotePrefix="1" applyNumberFormat="1" applyFont="1" applyFill="1" applyBorder="1" applyAlignment="1">
      <alignment horizontal="left"/>
    </xf>
    <xf numFmtId="170" fontId="31" fillId="16" borderId="0" xfId="0" quotePrefix="1" applyNumberFormat="1" applyFont="1" applyFill="1" applyAlignment="1">
      <alignment horizontal="left"/>
    </xf>
    <xf numFmtId="0" fontId="36" fillId="0" borderId="0" xfId="0" applyFont="1"/>
    <xf numFmtId="0" fontId="30" fillId="0" borderId="0" xfId="0" applyFont="1" applyFill="1" applyBorder="1" applyAlignment="1">
      <alignment horizontal="left"/>
    </xf>
    <xf numFmtId="0" fontId="30" fillId="0" borderId="5" xfId="0" applyFont="1" applyFill="1" applyBorder="1"/>
    <xf numFmtId="0" fontId="0" fillId="0" borderId="0" xfId="0" applyFont="1"/>
    <xf numFmtId="0" fontId="31" fillId="0" borderId="0" xfId="0" applyFont="1" applyFill="1" applyBorder="1" applyAlignment="1">
      <alignment horizontal="left" vertical="center" wrapText="1"/>
    </xf>
    <xf numFmtId="0" fontId="31" fillId="2" borderId="4" xfId="0" applyFont="1" applyFill="1" applyBorder="1" applyAlignment="1">
      <alignment horizontal="left" vertical="center" wrapText="1"/>
    </xf>
    <xf numFmtId="1" fontId="31" fillId="19" borderId="4" xfId="0" applyNumberFormat="1" applyFont="1" applyFill="1" applyBorder="1" applyAlignment="1">
      <alignment horizontal="center"/>
    </xf>
    <xf numFmtId="2" fontId="31" fillId="0" borderId="0" xfId="0" applyNumberFormat="1" applyFont="1" applyFill="1" applyBorder="1" applyAlignment="1">
      <alignment horizontal="right"/>
    </xf>
    <xf numFmtId="0" fontId="14" fillId="0" borderId="0" xfId="0" quotePrefix="1" applyFont="1" applyFill="1" applyBorder="1" applyAlignment="1">
      <alignment horizontal="left" vertical="center" wrapText="1"/>
    </xf>
    <xf numFmtId="2" fontId="14" fillId="0" borderId="0" xfId="0" applyNumberFormat="1" applyFont="1" applyFill="1" applyBorder="1" applyAlignment="1">
      <alignment horizontal="right"/>
    </xf>
    <xf numFmtId="0" fontId="30" fillId="0" borderId="0" xfId="0" applyFont="1" applyFill="1" applyAlignment="1">
      <alignment horizontal="left"/>
    </xf>
    <xf numFmtId="0" fontId="34" fillId="0" borderId="0" xfId="0" applyFont="1" applyFill="1"/>
    <xf numFmtId="0" fontId="0" fillId="20" borderId="38" xfId="0" applyFont="1" applyFill="1" applyBorder="1"/>
    <xf numFmtId="0" fontId="0" fillId="0" borderId="0" xfId="0" applyFont="1" applyFill="1" applyBorder="1"/>
    <xf numFmtId="1" fontId="31" fillId="0" borderId="0" xfId="0" applyNumberFormat="1" applyFont="1" applyFill="1" applyBorder="1" applyAlignment="1">
      <alignment horizontal="center"/>
    </xf>
    <xf numFmtId="0" fontId="32" fillId="16" borderId="0" xfId="0" applyFont="1" applyFill="1" applyBorder="1" applyAlignment="1">
      <alignment horizontal="left" vertical="center" wrapText="1"/>
    </xf>
    <xf numFmtId="0" fontId="31" fillId="16" borderId="0" xfId="0" quotePrefix="1" applyFont="1" applyFill="1" applyBorder="1" applyAlignment="1">
      <alignment horizontal="left" vertical="center" wrapText="1"/>
    </xf>
    <xf numFmtId="2" fontId="31" fillId="16" borderId="0" xfId="0" applyNumberFormat="1" applyFont="1" applyFill="1" applyBorder="1" applyAlignment="1">
      <alignment horizontal="right"/>
    </xf>
    <xf numFmtId="2" fontId="14" fillId="16" borderId="0" xfId="0" applyNumberFormat="1" applyFont="1" applyFill="1"/>
    <xf numFmtId="0" fontId="31" fillId="16" borderId="0" xfId="0" applyFont="1" applyFill="1" applyBorder="1" applyAlignment="1">
      <alignment horizontal="left" vertical="center" wrapText="1"/>
    </xf>
    <xf numFmtId="170" fontId="26" fillId="16" borderId="0" xfId="0" applyNumberFormat="1" applyFont="1" applyFill="1"/>
    <xf numFmtId="0" fontId="31" fillId="16" borderId="0" xfId="0" applyFont="1" applyFill="1"/>
    <xf numFmtId="0" fontId="31" fillId="16" borderId="5" xfId="0" applyFont="1" applyFill="1" applyBorder="1"/>
    <xf numFmtId="170" fontId="30" fillId="16" borderId="0" xfId="0" applyNumberFormat="1" applyFont="1" applyFill="1"/>
    <xf numFmtId="0" fontId="31" fillId="16" borderId="0" xfId="0" applyFont="1" applyFill="1" applyBorder="1"/>
    <xf numFmtId="0" fontId="31" fillId="16" borderId="6" xfId="0" applyFont="1" applyFill="1" applyBorder="1"/>
    <xf numFmtId="0" fontId="31" fillId="16" borderId="3" xfId="0" applyFont="1" applyFill="1" applyBorder="1"/>
    <xf numFmtId="0" fontId="37" fillId="16" borderId="0" xfId="0" applyFont="1" applyFill="1" applyBorder="1" applyProtection="1">
      <protection locked="0"/>
    </xf>
    <xf numFmtId="0" fontId="37" fillId="16" borderId="0" xfId="0" applyFont="1" applyFill="1" applyBorder="1" applyAlignment="1" applyProtection="1">
      <alignment horizontal="left"/>
      <protection locked="0"/>
    </xf>
    <xf numFmtId="170" fontId="30" fillId="0" borderId="3" xfId="0" applyNumberFormat="1" applyFont="1" applyBorder="1"/>
    <xf numFmtId="0" fontId="30" fillId="16" borderId="3" xfId="0" applyFont="1" applyFill="1" applyBorder="1"/>
    <xf numFmtId="0" fontId="34" fillId="5" borderId="0" xfId="0" applyFont="1" applyFill="1"/>
    <xf numFmtId="0" fontId="38" fillId="0" borderId="0" xfId="0" applyFont="1"/>
    <xf numFmtId="0" fontId="33" fillId="5" borderId="0" xfId="0" quotePrefix="1" applyFont="1" applyFill="1" applyAlignment="1">
      <alignment horizontal="left"/>
    </xf>
    <xf numFmtId="0" fontId="30" fillId="0" borderId="0" xfId="0" applyFont="1"/>
    <xf numFmtId="0" fontId="30" fillId="0" borderId="0" xfId="0" applyFont="1" applyFill="1"/>
    <xf numFmtId="0" fontId="31" fillId="0" borderId="0" xfId="0" applyFont="1" applyFill="1"/>
    <xf numFmtId="0" fontId="31" fillId="3" borderId="0" xfId="0" applyFont="1" applyFill="1"/>
    <xf numFmtId="0" fontId="32" fillId="3" borderId="0" xfId="0" applyFont="1" applyFill="1"/>
    <xf numFmtId="0" fontId="31" fillId="22" borderId="0" xfId="0" applyFont="1" applyFill="1"/>
    <xf numFmtId="2" fontId="31" fillId="16" borderId="0" xfId="0" applyNumberFormat="1" applyFont="1" applyFill="1"/>
    <xf numFmtId="165" fontId="31" fillId="16" borderId="0" xfId="0" applyNumberFormat="1" applyFont="1" applyFill="1"/>
    <xf numFmtId="0" fontId="31" fillId="0" borderId="0" xfId="0" applyFont="1" applyFill="1" applyBorder="1"/>
    <xf numFmtId="166" fontId="31" fillId="16" borderId="0" xfId="0" applyNumberFormat="1" applyFont="1" applyFill="1"/>
    <xf numFmtId="0" fontId="30" fillId="0" borderId="0" xfId="0" applyFont="1" applyFill="1" applyBorder="1"/>
    <xf numFmtId="0" fontId="32" fillId="0" borderId="0" xfId="0" applyFont="1"/>
    <xf numFmtId="165" fontId="31" fillId="10" borderId="0" xfId="0" applyNumberFormat="1" applyFont="1" applyFill="1"/>
    <xf numFmtId="0" fontId="31" fillId="16" borderId="0" xfId="0" quotePrefix="1" applyFont="1" applyFill="1" applyAlignment="1">
      <alignment horizontal="left"/>
    </xf>
    <xf numFmtId="0" fontId="27" fillId="0" borderId="0" xfId="0" applyFont="1" applyFill="1"/>
    <xf numFmtId="0" fontId="42" fillId="0" borderId="0" xfId="0" applyFont="1"/>
    <xf numFmtId="0" fontId="43" fillId="0" borderId="0" xfId="0" applyFont="1"/>
    <xf numFmtId="0" fontId="32" fillId="9" borderId="0" xfId="0" applyFont="1" applyFill="1"/>
    <xf numFmtId="0" fontId="40" fillId="9" borderId="0" xfId="0" applyFont="1" applyFill="1"/>
    <xf numFmtId="0" fontId="31" fillId="0" borderId="0" xfId="0" applyFont="1" applyFill="1" applyBorder="1" applyAlignment="1">
      <alignment horizontal="center"/>
    </xf>
    <xf numFmtId="169" fontId="31" fillId="0" borderId="0" xfId="0" applyNumberFormat="1" applyFont="1" applyFill="1" applyBorder="1"/>
    <xf numFmtId="2" fontId="31" fillId="3" borderId="0" xfId="3" applyNumberFormat="1" applyFont="1" applyFill="1"/>
    <xf numFmtId="168" fontId="31" fillId="10" borderId="0" xfId="0" applyNumberFormat="1" applyFont="1" applyFill="1"/>
    <xf numFmtId="169" fontId="31" fillId="4" borderId="0" xfId="0" applyNumberFormat="1" applyFont="1" applyFill="1"/>
    <xf numFmtId="10" fontId="31" fillId="0" borderId="0" xfId="3" applyNumberFormat="1" applyFont="1"/>
    <xf numFmtId="166" fontId="31" fillId="3" borderId="0" xfId="3" applyNumberFormat="1" applyFont="1" applyFill="1"/>
    <xf numFmtId="166" fontId="31" fillId="10" borderId="0" xfId="0" applyNumberFormat="1" applyFont="1" applyFill="1"/>
    <xf numFmtId="2" fontId="31" fillId="0" borderId="0" xfId="0" applyNumberFormat="1" applyFont="1"/>
    <xf numFmtId="166" fontId="31" fillId="0" borderId="0" xfId="0" applyNumberFormat="1" applyFont="1"/>
    <xf numFmtId="0" fontId="35" fillId="19" borderId="4" xfId="0" applyFont="1" applyFill="1" applyBorder="1"/>
    <xf numFmtId="0" fontId="35" fillId="25" borderId="4" xfId="0" applyFont="1" applyFill="1" applyBorder="1"/>
    <xf numFmtId="0" fontId="35" fillId="20" borderId="5" xfId="0" applyFont="1" applyFill="1" applyBorder="1"/>
    <xf numFmtId="0" fontId="35" fillId="0" borderId="2" xfId="0" applyFont="1" applyFill="1" applyBorder="1"/>
    <xf numFmtId="0" fontId="32" fillId="16" borderId="0" xfId="0" applyFont="1" applyFill="1"/>
    <xf numFmtId="0" fontId="32" fillId="0" borderId="0" xfId="0" quotePrefix="1" applyFont="1" applyFill="1" applyAlignment="1">
      <alignment horizontal="left"/>
    </xf>
    <xf numFmtId="0" fontId="32" fillId="0" borderId="0" xfId="0" applyFont="1" applyFill="1"/>
    <xf numFmtId="0" fontId="40" fillId="0" borderId="0" xfId="0" applyFont="1" applyFill="1"/>
    <xf numFmtId="0" fontId="41" fillId="0" borderId="0" xfId="0" applyFont="1" applyFill="1"/>
    <xf numFmtId="166" fontId="31" fillId="16" borderId="0" xfId="3" applyNumberFormat="1" applyFont="1" applyFill="1" applyAlignment="1">
      <alignment horizontal="left"/>
    </xf>
    <xf numFmtId="0" fontId="31" fillId="16" borderId="0" xfId="0" quotePrefix="1" applyFont="1" applyFill="1" applyBorder="1" applyAlignment="1">
      <alignment horizontal="left"/>
    </xf>
    <xf numFmtId="0" fontId="39" fillId="16" borderId="0" xfId="0" applyNumberFormat="1" applyFont="1" applyFill="1" applyBorder="1" applyAlignment="1"/>
    <xf numFmtId="0" fontId="44" fillId="16" borderId="0" xfId="0" applyNumberFormat="1" applyFont="1" applyFill="1" applyBorder="1" applyAlignment="1"/>
    <xf numFmtId="9" fontId="31" fillId="16" borderId="0" xfId="3" applyFont="1" applyFill="1" applyBorder="1" applyProtection="1">
      <protection locked="0"/>
    </xf>
    <xf numFmtId="166" fontId="31" fillId="16" borderId="0" xfId="3" applyNumberFormat="1" applyFont="1" applyFill="1"/>
    <xf numFmtId="9" fontId="31" fillId="16" borderId="0" xfId="3" applyFont="1" applyFill="1"/>
    <xf numFmtId="168" fontId="31" fillId="16" borderId="0" xfId="0" applyNumberFormat="1" applyFont="1" applyFill="1"/>
    <xf numFmtId="2" fontId="32" fillId="16" borderId="0" xfId="0" applyNumberFormat="1" applyFont="1" applyFill="1"/>
    <xf numFmtId="0" fontId="31" fillId="22" borderId="0" xfId="0" applyFont="1" applyFill="1" applyBorder="1" applyAlignment="1">
      <alignment horizontal="center"/>
    </xf>
    <xf numFmtId="166" fontId="32" fillId="16" borderId="0" xfId="0" applyNumberFormat="1" applyFont="1" applyFill="1"/>
    <xf numFmtId="169" fontId="31" fillId="16" borderId="0" xfId="0" applyNumberFormat="1" applyFont="1" applyFill="1"/>
    <xf numFmtId="165" fontId="31" fillId="16" borderId="0" xfId="0" applyNumberFormat="1" applyFont="1" applyFill="1" applyBorder="1" applyAlignment="1">
      <alignment horizontal="right"/>
    </xf>
    <xf numFmtId="0" fontId="31" fillId="22" borderId="8" xfId="0" applyFont="1" applyFill="1" applyBorder="1"/>
    <xf numFmtId="0" fontId="31" fillId="22" borderId="30" xfId="0" applyFont="1" applyFill="1" applyBorder="1"/>
    <xf numFmtId="0" fontId="31" fillId="22" borderId="29" xfId="0" applyFont="1" applyFill="1" applyBorder="1"/>
    <xf numFmtId="169" fontId="31" fillId="24" borderId="0" xfId="0" applyNumberFormat="1" applyFont="1" applyFill="1" applyBorder="1"/>
    <xf numFmtId="0" fontId="31" fillId="22" borderId="0" xfId="0" applyFont="1" applyFill="1" applyBorder="1" applyAlignment="1">
      <alignment horizontal="left"/>
    </xf>
    <xf numFmtId="0" fontId="32" fillId="9" borderId="39" xfId="0" applyFont="1" applyFill="1" applyBorder="1"/>
    <xf numFmtId="166" fontId="31" fillId="16" borderId="39" xfId="0" applyNumberFormat="1" applyFont="1" applyFill="1" applyBorder="1"/>
    <xf numFmtId="0" fontId="31" fillId="23" borderId="3" xfId="0" applyFont="1" applyFill="1" applyBorder="1" applyAlignment="1">
      <alignment horizontal="center" vertical="center" wrapText="1"/>
    </xf>
    <xf numFmtId="0" fontId="31" fillId="23" borderId="3" xfId="0" quotePrefix="1" applyFont="1" applyFill="1" applyBorder="1" applyAlignment="1">
      <alignment horizontal="center" vertical="center" wrapText="1"/>
    </xf>
    <xf numFmtId="0" fontId="35" fillId="19" borderId="4" xfId="0" applyFont="1" applyFill="1" applyBorder="1" applyAlignment="1">
      <alignment wrapText="1"/>
    </xf>
    <xf numFmtId="0" fontId="35" fillId="25" borderId="4" xfId="0" applyFont="1" applyFill="1" applyBorder="1" applyAlignment="1">
      <alignment wrapText="1"/>
    </xf>
    <xf numFmtId="0" fontId="31" fillId="0" borderId="0" xfId="0" applyFont="1" applyAlignment="1">
      <alignment wrapText="1"/>
    </xf>
    <xf numFmtId="0" fontId="39" fillId="23" borderId="7" xfId="0" applyNumberFormat="1" applyFont="1" applyFill="1" applyBorder="1" applyAlignment="1">
      <alignment horizontal="center" wrapText="1"/>
    </xf>
    <xf numFmtId="0" fontId="35" fillId="20" borderId="38" xfId="0" applyFont="1" applyFill="1" applyBorder="1" applyAlignment="1">
      <alignment wrapText="1"/>
    </xf>
    <xf numFmtId="0" fontId="35" fillId="25" borderId="4" xfId="0" applyFont="1" applyFill="1" applyBorder="1" applyAlignment="1">
      <alignment horizontal="center" wrapText="1"/>
    </xf>
    <xf numFmtId="0" fontId="35" fillId="20" borderId="38" xfId="0" applyFont="1" applyFill="1" applyBorder="1" applyAlignment="1">
      <alignment horizontal="center" wrapText="1"/>
    </xf>
    <xf numFmtId="0" fontId="41" fillId="9" borderId="0" xfId="0" applyFont="1" applyFill="1"/>
    <xf numFmtId="2" fontId="38" fillId="0" borderId="0" xfId="0" applyNumberFormat="1" applyFont="1"/>
    <xf numFmtId="2" fontId="40" fillId="0" borderId="0" xfId="0" applyNumberFormat="1" applyFont="1" applyFill="1" applyBorder="1"/>
    <xf numFmtId="0" fontId="30" fillId="0" borderId="0" xfId="0" applyFont="1" applyAlignment="1">
      <alignment horizontal="left"/>
    </xf>
    <xf numFmtId="2" fontId="31" fillId="10" borderId="0" xfId="0" applyNumberFormat="1" applyFont="1" applyFill="1"/>
    <xf numFmtId="166" fontId="31" fillId="4" borderId="0" xfId="0" applyNumberFormat="1" applyFont="1" applyFill="1"/>
    <xf numFmtId="0" fontId="31" fillId="16" borderId="0" xfId="0" applyFont="1" applyFill="1" applyBorder="1" applyAlignment="1">
      <alignment vertical="center"/>
    </xf>
    <xf numFmtId="166" fontId="31" fillId="0" borderId="0" xfId="3" applyNumberFormat="1" applyFont="1" applyFill="1" applyAlignment="1">
      <alignment horizontal="left"/>
    </xf>
    <xf numFmtId="2" fontId="31" fillId="0" borderId="0" xfId="3" applyNumberFormat="1" applyFont="1" applyFill="1" applyBorder="1"/>
    <xf numFmtId="2" fontId="31" fillId="0" borderId="0" xfId="0" applyNumberFormat="1" applyFont="1" applyFill="1" applyBorder="1"/>
    <xf numFmtId="165" fontId="31" fillId="0" borderId="0" xfId="0" applyNumberFormat="1" applyFont="1" applyFill="1" applyBorder="1"/>
    <xf numFmtId="0" fontId="44" fillId="0" borderId="0" xfId="0" applyNumberFormat="1" applyFont="1" applyFill="1" applyBorder="1" applyAlignment="1"/>
    <xf numFmtId="166" fontId="32" fillId="0" borderId="0" xfId="0" applyNumberFormat="1" applyFont="1" applyFill="1" applyBorder="1"/>
    <xf numFmtId="166" fontId="31" fillId="0" borderId="0" xfId="0" applyNumberFormat="1" applyFont="1" applyFill="1" applyBorder="1"/>
    <xf numFmtId="0" fontId="31" fillId="0" borderId="0" xfId="0" applyFont="1" applyFill="1" applyBorder="1" applyAlignment="1">
      <alignment vertical="center"/>
    </xf>
    <xf numFmtId="0" fontId="31" fillId="0" borderId="0" xfId="0" applyFont="1" applyFill="1" applyBorder="1" applyAlignment="1">
      <alignment horizontal="center" vertical="center" wrapText="1"/>
    </xf>
    <xf numFmtId="0" fontId="31" fillId="0" borderId="0" xfId="0" applyFont="1" applyFill="1" applyBorder="1" applyAlignment="1">
      <alignment horizontal="center" vertical="center"/>
    </xf>
    <xf numFmtId="0" fontId="31" fillId="0" borderId="0" xfId="0" quotePrefix="1" applyFont="1" applyFill="1" applyBorder="1" applyAlignment="1">
      <alignment horizontal="left"/>
    </xf>
    <xf numFmtId="165" fontId="31" fillId="0" borderId="0" xfId="0" applyNumberFormat="1" applyFont="1" applyFill="1" applyBorder="1" applyAlignment="1">
      <alignment horizontal="right"/>
    </xf>
    <xf numFmtId="0" fontId="39" fillId="0" borderId="0" xfId="0" applyNumberFormat="1" applyFont="1" applyFill="1" applyBorder="1" applyAlignment="1"/>
    <xf numFmtId="166" fontId="31" fillId="0" borderId="0" xfId="1" applyNumberFormat="1" applyFont="1" applyFill="1" applyBorder="1"/>
    <xf numFmtId="0" fontId="35" fillId="20" borderId="16" xfId="0" applyFont="1" applyFill="1" applyBorder="1" applyAlignment="1">
      <alignment wrapText="1"/>
    </xf>
    <xf numFmtId="0" fontId="35" fillId="29" borderId="4" xfId="0" applyFont="1" applyFill="1" applyBorder="1" applyAlignment="1">
      <alignment wrapText="1"/>
    </xf>
    <xf numFmtId="1" fontId="31" fillId="16" borderId="0" xfId="3" applyNumberFormat="1" applyFont="1" applyFill="1" applyBorder="1" applyProtection="1">
      <protection locked="0"/>
    </xf>
    <xf numFmtId="2" fontId="31" fillId="22" borderId="0" xfId="3" applyNumberFormat="1" applyFont="1" applyFill="1"/>
    <xf numFmtId="166" fontId="32" fillId="22" borderId="0" xfId="0" applyNumberFormat="1" applyFont="1" applyFill="1"/>
    <xf numFmtId="0" fontId="31" fillId="30" borderId="0" xfId="0" applyFont="1" applyFill="1"/>
    <xf numFmtId="2" fontId="31" fillId="30" borderId="0" xfId="0" applyNumberFormat="1" applyFont="1" applyFill="1"/>
    <xf numFmtId="0" fontId="39" fillId="30" borderId="0" xfId="0" applyNumberFormat="1" applyFont="1" applyFill="1" applyBorder="1" applyAlignment="1"/>
    <xf numFmtId="166" fontId="31" fillId="30" borderId="0" xfId="0" applyNumberFormat="1" applyFont="1" applyFill="1"/>
    <xf numFmtId="2" fontId="31" fillId="24" borderId="0" xfId="0" applyNumberFormat="1" applyFont="1" applyFill="1"/>
    <xf numFmtId="165" fontId="31" fillId="18" borderId="0" xfId="0" applyNumberFormat="1" applyFont="1" applyFill="1"/>
    <xf numFmtId="0" fontId="31" fillId="16" borderId="39" xfId="0" applyFont="1" applyFill="1" applyBorder="1"/>
    <xf numFmtId="0" fontId="31" fillId="23" borderId="7" xfId="0" applyFont="1" applyFill="1" applyBorder="1" applyAlignment="1">
      <alignment horizontal="center" vertical="center" wrapText="1"/>
    </xf>
    <xf numFmtId="168" fontId="31" fillId="18" borderId="0" xfId="0" applyNumberFormat="1" applyFont="1" applyFill="1"/>
    <xf numFmtId="171" fontId="31" fillId="18" borderId="0" xfId="0" applyNumberFormat="1" applyFont="1" applyFill="1"/>
    <xf numFmtId="171" fontId="31" fillId="16" borderId="0" xfId="0" applyNumberFormat="1" applyFont="1" applyFill="1"/>
    <xf numFmtId="168" fontId="31" fillId="30" borderId="0" xfId="0" applyNumberFormat="1" applyFont="1" applyFill="1"/>
    <xf numFmtId="2" fontId="31" fillId="30" borderId="0" xfId="1" applyNumberFormat="1" applyFont="1" applyFill="1"/>
    <xf numFmtId="165" fontId="31" fillId="4" borderId="0" xfId="0" applyNumberFormat="1" applyFont="1" applyFill="1"/>
    <xf numFmtId="1" fontId="32" fillId="16" borderId="0" xfId="0" applyNumberFormat="1" applyFont="1" applyFill="1"/>
    <xf numFmtId="0" fontId="38" fillId="0" borderId="0" xfId="0" applyFont="1" applyFill="1"/>
    <xf numFmtId="0" fontId="45" fillId="0" borderId="0" xfId="0" applyFont="1"/>
    <xf numFmtId="0" fontId="28" fillId="0" borderId="0" xfId="0" quotePrefix="1" applyFont="1" applyFill="1" applyAlignment="1">
      <alignment horizontal="left"/>
    </xf>
    <xf numFmtId="0" fontId="28" fillId="0" borderId="0" xfId="0" applyFont="1" applyFill="1"/>
    <xf numFmtId="0" fontId="26" fillId="0" borderId="0" xfId="0" applyFont="1" applyFill="1"/>
    <xf numFmtId="2" fontId="31" fillId="16" borderId="0" xfId="3" applyNumberFormat="1" applyFont="1" applyFill="1" applyAlignment="1">
      <alignment horizontal="left"/>
    </xf>
    <xf numFmtId="9" fontId="31" fillId="22" borderId="8" xfId="3" applyFont="1" applyFill="1" applyBorder="1"/>
    <xf numFmtId="9" fontId="31" fillId="22" borderId="30" xfId="3" applyFont="1" applyFill="1" applyBorder="1"/>
    <xf numFmtId="9" fontId="31" fillId="22" borderId="29" xfId="3" applyFont="1" applyFill="1" applyBorder="1"/>
    <xf numFmtId="1" fontId="31" fillId="22" borderId="0" xfId="3" applyNumberFormat="1" applyFont="1" applyFill="1"/>
    <xf numFmtId="0" fontId="11" fillId="19" borderId="4" xfId="0" applyFont="1" applyFill="1" applyBorder="1"/>
    <xf numFmtId="0" fontId="11" fillId="25" borderId="4" xfId="0" applyFont="1" applyFill="1" applyBorder="1"/>
    <xf numFmtId="0" fontId="11" fillId="20" borderId="38" xfId="0" applyFont="1" applyFill="1" applyBorder="1"/>
    <xf numFmtId="0" fontId="11" fillId="0" borderId="2" xfId="0" applyFont="1" applyFill="1" applyBorder="1"/>
    <xf numFmtId="0" fontId="11" fillId="20" borderId="5" xfId="0" applyFont="1" applyFill="1" applyBorder="1"/>
    <xf numFmtId="0" fontId="11" fillId="19" borderId="4" xfId="0" applyFont="1" applyFill="1" applyBorder="1" applyAlignment="1">
      <alignment wrapText="1"/>
    </xf>
    <xf numFmtId="0" fontId="11" fillId="20" borderId="38" xfId="0" applyFont="1" applyFill="1" applyBorder="1" applyAlignment="1">
      <alignment wrapText="1"/>
    </xf>
    <xf numFmtId="166" fontId="32" fillId="3" borderId="0" xfId="0" applyNumberFormat="1" applyFont="1" applyFill="1"/>
    <xf numFmtId="0" fontId="31" fillId="0" borderId="0" xfId="0" applyFont="1" applyFill="1" applyAlignment="1">
      <alignment vertical="center"/>
    </xf>
    <xf numFmtId="0" fontId="31" fillId="3" borderId="0" xfId="0" applyFont="1" applyFill="1" applyAlignment="1">
      <alignment vertical="center"/>
    </xf>
    <xf numFmtId="0" fontId="34" fillId="0" borderId="0" xfId="0" quotePrefix="1" applyFont="1" applyFill="1" applyBorder="1" applyAlignment="1">
      <alignment horizontal="left"/>
    </xf>
    <xf numFmtId="0" fontId="34" fillId="0" borderId="0" xfId="0" applyFont="1" applyFill="1" applyBorder="1"/>
    <xf numFmtId="0" fontId="31" fillId="0" borderId="0" xfId="0" applyFont="1" applyFill="1" applyBorder="1" applyAlignment="1">
      <alignment horizontal="left"/>
    </xf>
    <xf numFmtId="1" fontId="31" fillId="0" borderId="0" xfId="0" applyNumberFormat="1" applyFont="1" applyFill="1" applyBorder="1"/>
    <xf numFmtId="2" fontId="31" fillId="22" borderId="8" xfId="0" applyNumberFormat="1" applyFont="1" applyFill="1" applyBorder="1"/>
    <xf numFmtId="2" fontId="31" fillId="22" borderId="29" xfId="0" applyNumberFormat="1" applyFont="1" applyFill="1" applyBorder="1"/>
    <xf numFmtId="165" fontId="31" fillId="22" borderId="0" xfId="3" applyNumberFormat="1" applyFont="1" applyFill="1"/>
    <xf numFmtId="0" fontId="11" fillId="20" borderId="38" xfId="0" applyFont="1" applyFill="1" applyBorder="1" applyAlignment="1">
      <alignment horizontal="center" wrapText="1"/>
    </xf>
    <xf numFmtId="0" fontId="32" fillId="9" borderId="28" xfId="0" applyFont="1" applyFill="1" applyBorder="1"/>
    <xf numFmtId="166" fontId="31" fillId="16" borderId="40" xfId="0" applyNumberFormat="1" applyFont="1" applyFill="1" applyBorder="1"/>
    <xf numFmtId="10" fontId="31" fillId="22" borderId="0" xfId="3" applyNumberFormat="1" applyFont="1" applyFill="1"/>
    <xf numFmtId="0" fontId="31" fillId="22" borderId="0" xfId="0" applyFont="1" applyFill="1" applyAlignment="1">
      <alignment vertical="center"/>
    </xf>
    <xf numFmtId="1" fontId="31" fillId="24" borderId="0" xfId="0" applyNumberFormat="1" applyFont="1" applyFill="1"/>
    <xf numFmtId="169" fontId="31" fillId="24" borderId="0" xfId="0" applyNumberFormat="1" applyFont="1" applyFill="1"/>
    <xf numFmtId="0" fontId="32" fillId="16" borderId="0" xfId="0" applyNumberFormat="1" applyFont="1" applyFill="1" applyBorder="1" applyAlignment="1"/>
    <xf numFmtId="0" fontId="31" fillId="16" borderId="0" xfId="0" applyFont="1" applyFill="1" applyAlignment="1">
      <alignment vertical="center"/>
    </xf>
    <xf numFmtId="169" fontId="31" fillId="10" borderId="0" xfId="0" applyNumberFormat="1" applyFont="1" applyFill="1"/>
    <xf numFmtId="168" fontId="31" fillId="0" borderId="0" xfId="3" applyNumberFormat="1" applyFont="1" applyFill="1" applyAlignment="1">
      <alignment horizontal="left"/>
    </xf>
    <xf numFmtId="0" fontId="31" fillId="22" borderId="34" xfId="2" applyFont="1" applyFill="1" applyBorder="1"/>
    <xf numFmtId="0" fontId="31" fillId="22" borderId="0" xfId="2" applyFont="1" applyFill="1" applyBorder="1"/>
    <xf numFmtId="1" fontId="31" fillId="22" borderId="0" xfId="2" applyNumberFormat="1" applyFont="1" applyFill="1" applyBorder="1"/>
    <xf numFmtId="0" fontId="31" fillId="22" borderId="35" xfId="0" applyFont="1" applyFill="1" applyBorder="1"/>
    <xf numFmtId="0" fontId="31" fillId="22" borderId="32" xfId="2" applyFont="1" applyFill="1" applyBorder="1"/>
    <xf numFmtId="0" fontId="31" fillId="22" borderId="31" xfId="2" applyFont="1" applyFill="1" applyBorder="1"/>
    <xf numFmtId="1" fontId="31" fillId="22" borderId="31" xfId="2" applyNumberFormat="1" applyFont="1" applyFill="1" applyBorder="1"/>
    <xf numFmtId="0" fontId="31" fillId="22" borderId="33" xfId="0" applyFont="1" applyFill="1" applyBorder="1"/>
    <xf numFmtId="0" fontId="31" fillId="22" borderId="36" xfId="2" applyFont="1" applyFill="1" applyBorder="1"/>
    <xf numFmtId="0" fontId="31" fillId="22" borderId="2" xfId="2" applyFont="1" applyFill="1" applyBorder="1"/>
    <xf numFmtId="1" fontId="31" fillId="22" borderId="2" xfId="2" applyNumberFormat="1" applyFont="1" applyFill="1" applyBorder="1"/>
    <xf numFmtId="0" fontId="31" fillId="22" borderId="37" xfId="0" applyFont="1" applyFill="1" applyBorder="1"/>
    <xf numFmtId="0" fontId="32" fillId="23" borderId="32" xfId="2" applyFont="1" applyFill="1" applyBorder="1" applyAlignment="1">
      <alignment horizontal="right"/>
    </xf>
    <xf numFmtId="0" fontId="32" fillId="23" borderId="31" xfId="2" applyFont="1" applyFill="1" applyBorder="1" applyAlignment="1">
      <alignment horizontal="right"/>
    </xf>
    <xf numFmtId="0" fontId="32" fillId="23" borderId="33" xfId="2" applyFont="1" applyFill="1" applyBorder="1" applyAlignment="1">
      <alignment horizontal="right"/>
    </xf>
    <xf numFmtId="0" fontId="10" fillId="16" borderId="0" xfId="0" applyFont="1" applyFill="1"/>
    <xf numFmtId="170" fontId="31" fillId="16" borderId="0" xfId="0" applyNumberFormat="1" applyFont="1" applyFill="1" applyBorder="1" applyAlignment="1">
      <alignment horizontal="left"/>
    </xf>
    <xf numFmtId="38" fontId="47" fillId="0" borderId="0" xfId="0" applyNumberFormat="1" applyFont="1" applyAlignment="1">
      <alignment horizontal="left" wrapText="1"/>
    </xf>
    <xf numFmtId="38" fontId="48" fillId="0" borderId="41" xfId="0" applyNumberFormat="1" applyFont="1" applyBorder="1" applyAlignment="1">
      <alignment horizontal="center" wrapText="1"/>
    </xf>
    <xf numFmtId="38" fontId="48" fillId="0" borderId="42" xfId="0" applyNumberFormat="1" applyFont="1" applyFill="1" applyBorder="1" applyAlignment="1">
      <alignment horizontal="center" textRotation="90" wrapText="1"/>
    </xf>
    <xf numFmtId="38" fontId="48" fillId="0" borderId="43" xfId="0" applyNumberFormat="1" applyFont="1" applyFill="1" applyBorder="1" applyAlignment="1">
      <alignment horizontal="center" textRotation="90" wrapText="1"/>
    </xf>
    <xf numFmtId="38" fontId="48" fillId="0" borderId="44" xfId="0" applyNumberFormat="1" applyFont="1" applyFill="1" applyBorder="1" applyAlignment="1">
      <alignment horizontal="center" textRotation="90" wrapText="1"/>
    </xf>
    <xf numFmtId="38" fontId="48" fillId="0" borderId="45" xfId="0" applyNumberFormat="1" applyFont="1" applyFill="1" applyBorder="1" applyAlignment="1">
      <alignment horizontal="center" textRotation="90" wrapText="1"/>
    </xf>
    <xf numFmtId="38" fontId="48" fillId="0" borderId="46" xfId="0" applyNumberFormat="1" applyFont="1" applyFill="1" applyBorder="1" applyAlignment="1">
      <alignment horizontal="center" textRotation="90" wrapText="1"/>
    </xf>
    <xf numFmtId="38" fontId="48" fillId="0" borderId="2" xfId="0" applyNumberFormat="1" applyFont="1" applyFill="1" applyBorder="1" applyAlignment="1">
      <alignment horizontal="center" textRotation="90" wrapText="1"/>
    </xf>
    <xf numFmtId="38" fontId="48" fillId="0" borderId="47" xfId="0" applyNumberFormat="1" applyFont="1" applyFill="1" applyBorder="1" applyAlignment="1">
      <alignment horizontal="center" textRotation="90" wrapText="1"/>
    </xf>
    <xf numFmtId="38" fontId="48" fillId="0" borderId="36" xfId="0" applyNumberFormat="1" applyFont="1" applyFill="1" applyBorder="1" applyAlignment="1">
      <alignment horizontal="center" textRotation="90" wrapText="1"/>
    </xf>
    <xf numFmtId="38" fontId="49" fillId="0" borderId="0" xfId="0" applyNumberFormat="1" applyFont="1" applyAlignment="1"/>
    <xf numFmtId="38" fontId="50" fillId="16" borderId="0" xfId="0" applyNumberFormat="1" applyFont="1" applyFill="1" applyAlignment="1"/>
    <xf numFmtId="38" fontId="49" fillId="0" borderId="48" xfId="0" applyNumberFormat="1" applyFont="1" applyFill="1" applyBorder="1" applyAlignment="1">
      <alignment horizontal="left"/>
    </xf>
    <xf numFmtId="38" fontId="48" fillId="0" borderId="49" xfId="0" applyNumberFormat="1" applyFont="1" applyFill="1" applyBorder="1" applyAlignment="1">
      <alignment horizontal="center"/>
    </xf>
    <xf numFmtId="38" fontId="49" fillId="0" borderId="57" xfId="0" applyNumberFormat="1" applyFont="1" applyFill="1" applyBorder="1" applyAlignment="1">
      <alignment horizontal="center"/>
    </xf>
    <xf numFmtId="38" fontId="49" fillId="0" borderId="0" xfId="0" applyNumberFormat="1" applyFont="1" applyFill="1"/>
    <xf numFmtId="38" fontId="49" fillId="0" borderId="58" xfId="0" applyNumberFormat="1" applyFont="1" applyFill="1" applyBorder="1" applyAlignment="1">
      <alignment horizontal="left"/>
    </xf>
    <xf numFmtId="38" fontId="48" fillId="0" borderId="59" xfId="0" applyNumberFormat="1" applyFont="1" applyFill="1" applyBorder="1" applyAlignment="1">
      <alignment horizontal="center"/>
    </xf>
    <xf numFmtId="38" fontId="49" fillId="0" borderId="66" xfId="0" applyNumberFormat="1" applyFont="1" applyFill="1" applyBorder="1" applyAlignment="1">
      <alignment horizontal="center"/>
    </xf>
    <xf numFmtId="38" fontId="49" fillId="0" borderId="67" xfId="0" applyNumberFormat="1" applyFont="1" applyFill="1" applyBorder="1" applyAlignment="1">
      <alignment horizontal="left"/>
    </xf>
    <xf numFmtId="38" fontId="48" fillId="0" borderId="68" xfId="0" applyNumberFormat="1" applyFont="1" applyFill="1" applyBorder="1" applyAlignment="1">
      <alignment horizontal="center"/>
    </xf>
    <xf numFmtId="38" fontId="49" fillId="0" borderId="74" xfId="0" applyNumberFormat="1" applyFont="1" applyFill="1" applyBorder="1" applyAlignment="1">
      <alignment horizontal="center"/>
    </xf>
    <xf numFmtId="38" fontId="48" fillId="0" borderId="31" xfId="0" applyNumberFormat="1" applyFont="1" applyFill="1" applyBorder="1" applyAlignment="1">
      <alignment horizontal="left"/>
    </xf>
    <xf numFmtId="38" fontId="48" fillId="0" borderId="27" xfId="0" applyNumberFormat="1" applyFont="1" applyFill="1" applyBorder="1" applyAlignment="1">
      <alignment horizontal="center"/>
    </xf>
    <xf numFmtId="38" fontId="48" fillId="0" borderId="32" xfId="0" applyNumberFormat="1" applyFont="1" applyFill="1" applyBorder="1" applyAlignment="1">
      <alignment horizontal="center"/>
    </xf>
    <xf numFmtId="38" fontId="48" fillId="0" borderId="0" xfId="0" applyNumberFormat="1" applyFont="1" applyFill="1"/>
    <xf numFmtId="38" fontId="48" fillId="0" borderId="4" xfId="0" applyNumberFormat="1" applyFont="1" applyFill="1" applyBorder="1" applyAlignment="1">
      <alignment horizontal="left"/>
    </xf>
    <xf numFmtId="38" fontId="48" fillId="0" borderId="23" xfId="0" applyNumberFormat="1" applyFont="1" applyFill="1" applyBorder="1" applyAlignment="1">
      <alignment horizontal="center"/>
    </xf>
    <xf numFmtId="38" fontId="48" fillId="0" borderId="80" xfId="0" applyNumberFormat="1" applyFont="1" applyFill="1" applyBorder="1" applyAlignment="1">
      <alignment horizontal="center"/>
    </xf>
    <xf numFmtId="38" fontId="48" fillId="0" borderId="82" xfId="0" applyNumberFormat="1" applyFont="1" applyFill="1" applyBorder="1" applyAlignment="1">
      <alignment horizontal="center"/>
    </xf>
    <xf numFmtId="38" fontId="49" fillId="0" borderId="83" xfId="0" applyNumberFormat="1" applyFont="1" applyFill="1" applyBorder="1" applyAlignment="1">
      <alignment horizontal="left"/>
    </xf>
    <xf numFmtId="38" fontId="48" fillId="0" borderId="84" xfId="0" applyNumberFormat="1" applyFont="1" applyFill="1" applyBorder="1" applyAlignment="1">
      <alignment horizontal="center"/>
    </xf>
    <xf numFmtId="38" fontId="49" fillId="0" borderId="91" xfId="0" applyNumberFormat="1" applyFont="1" applyFill="1" applyBorder="1" applyAlignment="1">
      <alignment horizontal="center"/>
    </xf>
    <xf numFmtId="38" fontId="49" fillId="0" borderId="93" xfId="0" applyNumberFormat="1" applyFont="1" applyFill="1" applyBorder="1" applyAlignment="1">
      <alignment horizontal="left"/>
    </xf>
    <xf numFmtId="38" fontId="48" fillId="0" borderId="94" xfId="0" applyNumberFormat="1" applyFont="1" applyFill="1" applyBorder="1" applyAlignment="1">
      <alignment horizontal="center"/>
    </xf>
    <xf numFmtId="38" fontId="49" fillId="0" borderId="101" xfId="0" applyNumberFormat="1" applyFont="1" applyFill="1" applyBorder="1" applyAlignment="1">
      <alignment horizontal="center"/>
    </xf>
    <xf numFmtId="38" fontId="48" fillId="0" borderId="0" xfId="0" applyNumberFormat="1" applyFont="1" applyFill="1" applyBorder="1" applyAlignment="1">
      <alignment horizontal="left"/>
    </xf>
    <xf numFmtId="38" fontId="48" fillId="0" borderId="41" xfId="0" applyNumberFormat="1" applyFont="1" applyFill="1" applyBorder="1" applyAlignment="1">
      <alignment horizontal="center"/>
    </xf>
    <xf numFmtId="38" fontId="48" fillId="0" borderId="0" xfId="0" applyNumberFormat="1" applyFont="1" applyFill="1" applyBorder="1" applyAlignment="1">
      <alignment horizontal="center"/>
    </xf>
    <xf numFmtId="38" fontId="48" fillId="0" borderId="34" xfId="0" applyNumberFormat="1" applyFont="1" applyFill="1" applyBorder="1" applyAlignment="1">
      <alignment horizontal="center"/>
    </xf>
    <xf numFmtId="38" fontId="49" fillId="0" borderId="108" xfId="0" applyNumberFormat="1" applyFont="1" applyFill="1" applyBorder="1" applyAlignment="1">
      <alignment horizontal="center"/>
    </xf>
    <xf numFmtId="38" fontId="49" fillId="0" borderId="0" xfId="0" applyNumberFormat="1" applyFont="1" applyFill="1" applyBorder="1"/>
    <xf numFmtId="38" fontId="48" fillId="0" borderId="6" xfId="0" applyNumberFormat="1" applyFont="1" applyFill="1" applyBorder="1" applyAlignment="1">
      <alignment horizontal="left"/>
    </xf>
    <xf numFmtId="38" fontId="48" fillId="0" borderId="109" xfId="0" applyNumberFormat="1" applyFont="1" applyFill="1" applyBorder="1" applyAlignment="1">
      <alignment horizontal="center"/>
    </xf>
    <xf numFmtId="38" fontId="49" fillId="0" borderId="114" xfId="0" applyNumberFormat="1" applyFont="1" applyFill="1" applyBorder="1" applyAlignment="1">
      <alignment horizontal="center"/>
    </xf>
    <xf numFmtId="38" fontId="49" fillId="0" borderId="0" xfId="0" applyNumberFormat="1" applyFont="1" applyFill="1" applyBorder="1" applyAlignment="1">
      <alignment horizontal="left"/>
    </xf>
    <xf numFmtId="38" fontId="49" fillId="0" borderId="34" xfId="0" applyNumberFormat="1" applyFont="1" applyFill="1" applyBorder="1" applyAlignment="1">
      <alignment horizontal="center"/>
    </xf>
    <xf numFmtId="38" fontId="48" fillId="0" borderId="10" xfId="0" applyNumberFormat="1" applyFont="1" applyFill="1" applyBorder="1" applyAlignment="1">
      <alignment horizontal="left"/>
    </xf>
    <xf numFmtId="38" fontId="48" fillId="0" borderId="14" xfId="0" applyNumberFormat="1" applyFont="1" applyFill="1" applyBorder="1" applyAlignment="1">
      <alignment horizontal="center"/>
    </xf>
    <xf numFmtId="38" fontId="48" fillId="0" borderId="13" xfId="0" applyNumberFormat="1" applyFont="1" applyFill="1" applyBorder="1" applyAlignment="1">
      <alignment horizontal="center"/>
    </xf>
    <xf numFmtId="38" fontId="48" fillId="0" borderId="121" xfId="0" applyNumberFormat="1" applyFont="1" applyFill="1" applyBorder="1" applyAlignment="1">
      <alignment horizontal="center"/>
    </xf>
    <xf numFmtId="38" fontId="48" fillId="0" borderId="122" xfId="0" applyNumberFormat="1" applyFont="1" applyFill="1" applyBorder="1" applyAlignment="1">
      <alignment horizontal="center"/>
    </xf>
    <xf numFmtId="38" fontId="48" fillId="0" borderId="11" xfId="0" applyNumberFormat="1" applyFont="1" applyFill="1" applyBorder="1" applyAlignment="1">
      <alignment horizontal="center"/>
    </xf>
    <xf numFmtId="38" fontId="48" fillId="0" borderId="10" xfId="0" applyNumberFormat="1" applyFont="1" applyFill="1" applyBorder="1" applyAlignment="1">
      <alignment horizontal="center"/>
    </xf>
    <xf numFmtId="38" fontId="48" fillId="0" borderId="123" xfId="0" applyNumberFormat="1" applyFont="1" applyFill="1" applyBorder="1" applyAlignment="1">
      <alignment horizontal="center"/>
    </xf>
    <xf numFmtId="38" fontId="48" fillId="0" borderId="9" xfId="0" applyNumberFormat="1" applyFont="1" applyFill="1" applyBorder="1" applyAlignment="1">
      <alignment horizontal="center"/>
    </xf>
    <xf numFmtId="38" fontId="49" fillId="0" borderId="6" xfId="0" applyNumberFormat="1" applyFont="1" applyFill="1" applyBorder="1" applyAlignment="1">
      <alignment horizontal="left"/>
    </xf>
    <xf numFmtId="38" fontId="49" fillId="0" borderId="109" xfId="0" applyNumberFormat="1" applyFont="1" applyFill="1" applyBorder="1" applyAlignment="1">
      <alignment horizontal="center"/>
    </xf>
    <xf numFmtId="38" fontId="48" fillId="0" borderId="38" xfId="0" applyNumberFormat="1" applyFont="1" applyFill="1" applyBorder="1" applyAlignment="1">
      <alignment horizontal="left"/>
    </xf>
    <xf numFmtId="38" fontId="48" fillId="0" borderId="18" xfId="0" applyNumberFormat="1" applyFont="1" applyFill="1" applyBorder="1" applyAlignment="1">
      <alignment horizontal="center"/>
    </xf>
    <xf numFmtId="38" fontId="48" fillId="0" borderId="0" xfId="0" applyNumberFormat="1" applyFont="1" applyFill="1" applyBorder="1"/>
    <xf numFmtId="38" fontId="49" fillId="0" borderId="127" xfId="0" applyNumberFormat="1" applyFont="1" applyBorder="1" applyAlignment="1">
      <alignment horizontal="left" vertical="top" wrapText="1"/>
    </xf>
    <xf numFmtId="38" fontId="49" fillId="0" borderId="128" xfId="0" applyNumberFormat="1" applyFont="1" applyBorder="1" applyAlignment="1">
      <alignment vertical="top"/>
    </xf>
    <xf numFmtId="38" fontId="48" fillId="11" borderId="131" xfId="0" applyNumberFormat="1" applyFont="1" applyFill="1" applyBorder="1" applyAlignment="1">
      <alignment horizontal="center"/>
    </xf>
    <xf numFmtId="38" fontId="49" fillId="11" borderId="89" xfId="0" applyNumberFormat="1" applyFont="1" applyFill="1" applyBorder="1" applyAlignment="1">
      <alignment horizontal="center"/>
    </xf>
    <xf numFmtId="38" fontId="49" fillId="0" borderId="0" xfId="0" applyNumberFormat="1" applyFont="1"/>
    <xf numFmtId="38" fontId="51" fillId="16" borderId="0" xfId="0" applyNumberFormat="1" applyFont="1" applyFill="1"/>
    <xf numFmtId="38" fontId="49" fillId="2" borderId="58" xfId="0" applyNumberFormat="1" applyFont="1" applyFill="1" applyBorder="1" applyAlignment="1">
      <alignment horizontal="left" vertical="top" wrapText="1"/>
    </xf>
    <xf numFmtId="38" fontId="49" fillId="0" borderId="59" xfId="0" applyNumberFormat="1" applyFont="1" applyBorder="1" applyAlignment="1">
      <alignment horizontal="left" vertical="top"/>
    </xf>
    <xf numFmtId="38" fontId="48" fillId="11" borderId="63" xfId="0" applyNumberFormat="1" applyFont="1" applyFill="1" applyBorder="1" applyAlignment="1">
      <alignment horizontal="center"/>
    </xf>
    <xf numFmtId="38" fontId="49" fillId="11" borderId="63" xfId="0" applyNumberFormat="1" applyFont="1" applyFill="1" applyBorder="1" applyAlignment="1">
      <alignment horizontal="center"/>
    </xf>
    <xf numFmtId="38" fontId="49" fillId="0" borderId="58" xfId="0" applyNumberFormat="1" applyFont="1" applyBorder="1" applyAlignment="1">
      <alignment horizontal="left" vertical="top" wrapText="1"/>
    </xf>
    <xf numFmtId="38" fontId="49" fillId="0" borderId="59" xfId="0" applyNumberFormat="1" applyFont="1" applyBorder="1" applyAlignment="1">
      <alignment vertical="top"/>
    </xf>
    <xf numFmtId="38" fontId="49" fillId="11" borderId="131" xfId="0" applyNumberFormat="1" applyFont="1" applyFill="1" applyBorder="1" applyAlignment="1">
      <alignment horizontal="center"/>
    </xf>
    <xf numFmtId="38" fontId="49" fillId="11" borderId="106" xfId="0" applyNumberFormat="1" applyFont="1" applyFill="1" applyBorder="1" applyAlignment="1">
      <alignment horizontal="center"/>
    </xf>
    <xf numFmtId="38" fontId="49" fillId="2" borderId="93" xfId="0" applyNumberFormat="1" applyFont="1" applyFill="1" applyBorder="1" applyAlignment="1">
      <alignment horizontal="left" vertical="top" wrapText="1"/>
    </xf>
    <xf numFmtId="38" fontId="49" fillId="0" borderId="94" xfId="0" applyNumberFormat="1" applyFont="1" applyBorder="1" applyAlignment="1">
      <alignment vertical="top"/>
    </xf>
    <xf numFmtId="38" fontId="48" fillId="11" borderId="137" xfId="0" applyNumberFormat="1" applyFont="1" applyFill="1" applyBorder="1" applyAlignment="1">
      <alignment horizontal="center"/>
    </xf>
    <xf numFmtId="38" fontId="49" fillId="11" borderId="99" xfId="0" applyNumberFormat="1" applyFont="1" applyFill="1" applyBorder="1" applyAlignment="1">
      <alignment horizontal="center"/>
    </xf>
    <xf numFmtId="38" fontId="49" fillId="0" borderId="141" xfId="0" applyNumberFormat="1" applyFont="1" applyFill="1" applyBorder="1" applyAlignment="1">
      <alignment horizontal="center"/>
    </xf>
    <xf numFmtId="38" fontId="48" fillId="0" borderId="144" xfId="0" applyNumberFormat="1" applyFont="1" applyFill="1" applyBorder="1" applyAlignment="1">
      <alignment horizontal="center"/>
    </xf>
    <xf numFmtId="38" fontId="49" fillId="0" borderId="83" xfId="0" applyNumberFormat="1" applyFont="1" applyFill="1" applyBorder="1" applyAlignment="1">
      <alignment horizontal="left" vertical="top" wrapText="1"/>
    </xf>
    <xf numFmtId="38" fontId="49" fillId="0" borderId="127" xfId="0" applyNumberFormat="1" applyFont="1" applyFill="1" applyBorder="1" applyAlignment="1">
      <alignment horizontal="left" vertical="top" wrapText="1"/>
    </xf>
    <xf numFmtId="38" fontId="48" fillId="0" borderId="128" xfId="0" applyNumberFormat="1" applyFont="1" applyFill="1" applyBorder="1" applyAlignment="1">
      <alignment horizontal="center"/>
    </xf>
    <xf numFmtId="38" fontId="49" fillId="0" borderId="58" xfId="0" applyNumberFormat="1" applyFont="1" applyFill="1" applyBorder="1" applyAlignment="1">
      <alignment horizontal="left" vertical="top" wrapText="1"/>
    </xf>
    <xf numFmtId="38" fontId="49" fillId="0" borderId="59" xfId="0" applyNumberFormat="1" applyFont="1" applyFill="1" applyBorder="1" applyAlignment="1">
      <alignment vertical="top"/>
    </xf>
    <xf numFmtId="38" fontId="48" fillId="0" borderId="3" xfId="0" applyNumberFormat="1" applyFont="1" applyFill="1" applyBorder="1" applyAlignment="1">
      <alignment horizontal="left"/>
    </xf>
    <xf numFmtId="38" fontId="48" fillId="0" borderId="20" xfId="0" applyNumberFormat="1" applyFont="1" applyFill="1" applyBorder="1" applyAlignment="1">
      <alignment horizontal="center"/>
    </xf>
    <xf numFmtId="38" fontId="48" fillId="0" borderId="93" xfId="0" applyNumberFormat="1" applyFont="1" applyFill="1" applyBorder="1" applyAlignment="1">
      <alignment horizontal="left" vertical="top" wrapText="1"/>
    </xf>
    <xf numFmtId="38" fontId="48" fillId="0" borderId="101" xfId="0" applyNumberFormat="1" applyFont="1" applyFill="1" applyBorder="1" applyAlignment="1">
      <alignment horizontal="center"/>
    </xf>
    <xf numFmtId="38" fontId="48" fillId="0" borderId="12" xfId="0" applyNumberFormat="1" applyFont="1" applyFill="1" applyBorder="1" applyAlignment="1">
      <alignment horizontal="center"/>
    </xf>
    <xf numFmtId="38" fontId="52" fillId="16" borderId="0" xfId="0" applyNumberFormat="1" applyFont="1" applyFill="1"/>
    <xf numFmtId="38" fontId="0" fillId="0" borderId="0" xfId="0" applyNumberFormat="1"/>
    <xf numFmtId="38" fontId="0" fillId="0" borderId="0" xfId="0" applyNumberFormat="1" applyFill="1"/>
    <xf numFmtId="38" fontId="48" fillId="0" borderId="0" xfId="0" applyNumberFormat="1" applyFont="1" applyBorder="1" applyAlignment="1">
      <alignment horizontal="center"/>
    </xf>
    <xf numFmtId="172" fontId="48" fillId="0" borderId="0" xfId="3" applyNumberFormat="1" applyFont="1" applyFill="1" applyBorder="1" applyAlignment="1">
      <alignment horizontal="center"/>
    </xf>
    <xf numFmtId="38" fontId="48" fillId="0" borderId="0" xfId="0" applyNumberFormat="1" applyFont="1"/>
    <xf numFmtId="173" fontId="48" fillId="31" borderId="0" xfId="0" applyNumberFormat="1" applyFont="1" applyFill="1" applyBorder="1" applyAlignment="1">
      <alignment horizontal="left"/>
    </xf>
    <xf numFmtId="173" fontId="48" fillId="0" borderId="0" xfId="0" applyNumberFormat="1" applyFont="1" applyFill="1" applyBorder="1" applyAlignment="1">
      <alignment horizontal="left"/>
    </xf>
    <xf numFmtId="38" fontId="0" fillId="31" borderId="0" xfId="0" applyNumberFormat="1" applyFill="1"/>
    <xf numFmtId="38" fontId="48" fillId="31" borderId="0" xfId="0" applyNumberFormat="1" applyFont="1" applyFill="1"/>
    <xf numFmtId="38" fontId="49" fillId="0" borderId="0" xfId="0" applyNumberFormat="1" applyFont="1" applyFill="1"/>
    <xf numFmtId="38" fontId="48" fillId="0" borderId="0" xfId="0" applyNumberFormat="1" applyFont="1" applyFill="1"/>
    <xf numFmtId="40" fontId="49" fillId="0" borderId="0" xfId="0" applyNumberFormat="1" applyFont="1" applyFill="1"/>
    <xf numFmtId="38" fontId="48" fillId="0" borderId="0" xfId="0" applyNumberFormat="1" applyFont="1" applyBorder="1"/>
    <xf numFmtId="40" fontId="48" fillId="0" borderId="0" xfId="0" applyNumberFormat="1" applyFont="1" applyFill="1"/>
    <xf numFmtId="40" fontId="48" fillId="0" borderId="0" xfId="0" applyNumberFormat="1" applyFont="1" applyFill="1" applyBorder="1"/>
    <xf numFmtId="38" fontId="49" fillId="0" borderId="0" xfId="0" applyNumberFormat="1" applyFont="1" applyAlignment="1">
      <alignment horizontal="left"/>
    </xf>
    <xf numFmtId="38" fontId="48" fillId="0" borderId="0" xfId="0" applyNumberFormat="1" applyFont="1" applyFill="1" applyAlignment="1">
      <alignment horizontal="center"/>
    </xf>
    <xf numFmtId="38" fontId="49" fillId="0" borderId="0" xfId="0" applyNumberFormat="1" applyFont="1" applyFill="1" applyAlignment="1">
      <alignment horizontal="center"/>
    </xf>
    <xf numFmtId="38" fontId="48" fillId="0" borderId="0" xfId="0" applyNumberFormat="1" applyFont="1" applyFill="1" applyBorder="1"/>
    <xf numFmtId="38" fontId="51" fillId="16" borderId="0" xfId="0" applyNumberFormat="1" applyFont="1" applyFill="1" applyBorder="1"/>
    <xf numFmtId="38" fontId="52" fillId="16" borderId="0" xfId="0" applyNumberFormat="1" applyFont="1" applyFill="1" applyBorder="1"/>
    <xf numFmtId="165" fontId="58" fillId="22" borderId="0" xfId="0" applyNumberFormat="1" applyFont="1" applyFill="1" applyBorder="1" applyProtection="1"/>
    <xf numFmtId="165" fontId="38" fillId="22" borderId="0" xfId="0" applyNumberFormat="1" applyFont="1" applyFill="1" applyBorder="1" applyProtection="1"/>
    <xf numFmtId="0" fontId="55" fillId="0" borderId="0" xfId="0" applyFont="1" applyFill="1" applyBorder="1" applyAlignment="1" applyProtection="1">
      <alignment horizontal="left"/>
      <protection locked="0"/>
    </xf>
    <xf numFmtId="0" fontId="38" fillId="2" borderId="0" xfId="0" applyFont="1" applyFill="1" applyBorder="1" applyAlignment="1" applyProtection="1">
      <alignment horizontal="left" wrapText="1"/>
      <protection locked="0"/>
    </xf>
    <xf numFmtId="2" fontId="38" fillId="22" borderId="4" xfId="0" applyNumberFormat="1" applyFont="1" applyFill="1" applyBorder="1" applyAlignment="1" applyProtection="1">
      <alignment horizontal="right"/>
      <protection locked="0"/>
    </xf>
    <xf numFmtId="2" fontId="38" fillId="28" borderId="0" xfId="0" applyNumberFormat="1" applyFont="1" applyFill="1" applyBorder="1" applyAlignment="1" applyProtection="1">
      <alignment horizontal="right"/>
      <protection locked="0"/>
    </xf>
    <xf numFmtId="0" fontId="38" fillId="2" borderId="4" xfId="0" applyFont="1" applyFill="1" applyBorder="1" applyAlignment="1" applyProtection="1">
      <alignment horizontal="center"/>
      <protection locked="0"/>
    </xf>
    <xf numFmtId="0" fontId="38" fillId="0" borderId="0" xfId="0" applyFont="1" applyBorder="1" applyProtection="1">
      <protection locked="0"/>
    </xf>
    <xf numFmtId="167" fontId="38" fillId="0" borderId="0" xfId="0" applyNumberFormat="1" applyFont="1" applyBorder="1" applyProtection="1">
      <protection locked="0"/>
    </xf>
    <xf numFmtId="1" fontId="38" fillId="2" borderId="0" xfId="0" applyNumberFormat="1" applyFont="1" applyFill="1" applyBorder="1" applyProtection="1">
      <protection locked="0"/>
    </xf>
    <xf numFmtId="0" fontId="38" fillId="2" borderId="0" xfId="0" applyFont="1" applyFill="1" applyBorder="1" applyProtection="1">
      <protection locked="0"/>
    </xf>
    <xf numFmtId="0" fontId="38" fillId="22" borderId="4" xfId="0" applyFont="1" applyFill="1" applyBorder="1" applyAlignment="1" applyProtection="1">
      <alignment horizontal="center"/>
      <protection locked="0"/>
    </xf>
    <xf numFmtId="0" fontId="53" fillId="2" borderId="0" xfId="0" applyFont="1" applyFill="1" applyBorder="1" applyProtection="1">
      <protection locked="0"/>
    </xf>
    <xf numFmtId="164" fontId="38" fillId="0" borderId="0" xfId="1" applyFont="1" applyBorder="1" applyProtection="1">
      <protection locked="0"/>
    </xf>
    <xf numFmtId="0" fontId="38" fillId="28" borderId="0" xfId="0" applyFont="1" applyFill="1" applyBorder="1" applyAlignment="1" applyProtection="1">
      <alignment horizontal="center"/>
      <protection locked="0"/>
    </xf>
    <xf numFmtId="1" fontId="38" fillId="2" borderId="4" xfId="0" applyNumberFormat="1" applyFont="1" applyFill="1" applyBorder="1" applyAlignment="1" applyProtection="1">
      <alignment horizontal="left"/>
      <protection locked="0"/>
    </xf>
    <xf numFmtId="0" fontId="38" fillId="16" borderId="0" xfId="0" applyFont="1" applyFill="1" applyBorder="1" applyAlignment="1" applyProtection="1">
      <alignment horizontal="left"/>
      <protection locked="0"/>
    </xf>
    <xf numFmtId="0" fontId="38" fillId="2" borderId="4" xfId="0" applyFont="1" applyFill="1" applyBorder="1" applyProtection="1">
      <protection locked="0"/>
    </xf>
    <xf numFmtId="0" fontId="33" fillId="5" borderId="0" xfId="0" applyFont="1" applyFill="1" applyBorder="1" applyAlignment="1">
      <alignment horizontal="left"/>
    </xf>
    <xf numFmtId="174" fontId="38" fillId="0" borderId="0" xfId="0" applyNumberFormat="1" applyFont="1" applyBorder="1" applyProtection="1">
      <protection locked="0"/>
    </xf>
    <xf numFmtId="0" fontId="33" fillId="5" borderId="0" xfId="0" quotePrefix="1" applyFont="1" applyFill="1" applyBorder="1" applyAlignment="1" applyProtection="1">
      <alignment horizontal="left"/>
      <protection locked="0"/>
    </xf>
    <xf numFmtId="0" fontId="38" fillId="5" borderId="0" xfId="0" applyFont="1" applyFill="1" applyBorder="1" applyProtection="1">
      <protection locked="0"/>
    </xf>
    <xf numFmtId="165" fontId="58" fillId="2" borderId="0" xfId="0" applyNumberFormat="1" applyFont="1" applyFill="1" applyBorder="1" applyProtection="1"/>
    <xf numFmtId="165" fontId="38" fillId="4" borderId="0" xfId="0" applyNumberFormat="1" applyFont="1" applyFill="1" applyBorder="1" applyProtection="1"/>
    <xf numFmtId="0" fontId="53" fillId="0" borderId="0" xfId="0" applyFont="1" applyBorder="1" applyProtection="1">
      <protection locked="0"/>
    </xf>
    <xf numFmtId="0" fontId="38" fillId="2" borderId="0" xfId="0" applyFont="1" applyFill="1" applyBorder="1" applyAlignment="1" applyProtection="1">
      <alignment horizontal="left" vertical="center" wrapText="1"/>
      <protection locked="0"/>
    </xf>
    <xf numFmtId="0" fontId="55" fillId="2" borderId="0" xfId="0" applyFont="1" applyFill="1" applyBorder="1" applyAlignment="1" applyProtection="1">
      <alignment horizontal="left" vertical="center" wrapText="1"/>
      <protection locked="0"/>
    </xf>
    <xf numFmtId="2" fontId="38" fillId="2" borderId="4" xfId="0" applyNumberFormat="1" applyFont="1" applyFill="1" applyBorder="1" applyAlignment="1" applyProtection="1">
      <alignment horizontal="right"/>
      <protection locked="0"/>
    </xf>
    <xf numFmtId="2" fontId="38" fillId="13" borderId="0" xfId="0" applyNumberFormat="1" applyFont="1" applyFill="1" applyBorder="1" applyAlignment="1" applyProtection="1">
      <alignment horizontal="right"/>
      <protection locked="0"/>
    </xf>
    <xf numFmtId="0" fontId="38" fillId="22" borderId="4" xfId="0" applyFont="1" applyFill="1" applyBorder="1" applyAlignment="1" applyProtection="1">
      <alignment horizontal="center" wrapText="1"/>
      <protection locked="0"/>
    </xf>
    <xf numFmtId="0" fontId="38" fillId="0" borderId="0" xfId="0" applyFont="1" applyProtection="1">
      <protection locked="0"/>
    </xf>
    <xf numFmtId="167" fontId="38" fillId="2" borderId="0" xfId="0" applyNumberFormat="1" applyFont="1" applyFill="1" applyBorder="1" applyProtection="1">
      <protection locked="0"/>
    </xf>
    <xf numFmtId="0" fontId="38" fillId="2" borderId="4" xfId="0" applyFont="1" applyFill="1" applyBorder="1" applyAlignment="1" applyProtection="1">
      <alignment horizontal="left"/>
      <protection locked="0"/>
    </xf>
    <xf numFmtId="9" fontId="38" fillId="2" borderId="0" xfId="3" applyFont="1" applyFill="1" applyBorder="1" applyAlignment="1" applyProtection="1">
      <alignment horizontal="right"/>
      <protection locked="0"/>
    </xf>
    <xf numFmtId="2" fontId="38" fillId="0" borderId="0" xfId="0" applyNumberFormat="1" applyFont="1" applyBorder="1" applyProtection="1">
      <protection locked="0"/>
    </xf>
    <xf numFmtId="0" fontId="38" fillId="0" borderId="0" xfId="0" quotePrefix="1" applyFont="1"/>
    <xf numFmtId="0" fontId="57" fillId="2" borderId="0" xfId="0" applyNumberFormat="1" applyFont="1" applyFill="1" applyBorder="1" applyAlignment="1" applyProtection="1">
      <protection locked="0"/>
    </xf>
    <xf numFmtId="0" fontId="38" fillId="2" borderId="0" xfId="0" applyFont="1" applyFill="1" applyAlignment="1" applyProtection="1">
      <alignment horizontal="left"/>
      <protection locked="0"/>
    </xf>
    <xf numFmtId="0" fontId="38" fillId="2" borderId="0" xfId="0" applyFont="1" applyFill="1" applyBorder="1" applyAlignment="1" applyProtection="1">
      <alignment horizontal="left"/>
      <protection locked="0"/>
    </xf>
    <xf numFmtId="166" fontId="56" fillId="2" borderId="0" xfId="0" applyNumberFormat="1" applyFont="1" applyFill="1" applyBorder="1" applyAlignment="1" applyProtection="1">
      <alignment horizontal="right"/>
    </xf>
    <xf numFmtId="2" fontId="55" fillId="6" borderId="0" xfId="0" applyNumberFormat="1" applyFont="1" applyFill="1" applyBorder="1" applyProtection="1">
      <protection locked="0"/>
    </xf>
    <xf numFmtId="2" fontId="55" fillId="8" borderId="0" xfId="0" applyNumberFormat="1" applyFont="1" applyFill="1" applyBorder="1" applyProtection="1">
      <protection locked="0"/>
    </xf>
    <xf numFmtId="0" fontId="38" fillId="7" borderId="0" xfId="0" applyFont="1" applyFill="1" applyBorder="1" applyAlignment="1" applyProtection="1">
      <alignment horizontal="center"/>
      <protection locked="0"/>
    </xf>
    <xf numFmtId="0" fontId="33" fillId="5" borderId="0" xfId="0" applyFont="1" applyFill="1" applyBorder="1" applyProtection="1">
      <protection locked="0"/>
    </xf>
    <xf numFmtId="2" fontId="38" fillId="2" borderId="0" xfId="0" applyNumberFormat="1" applyFont="1" applyFill="1" applyBorder="1" applyAlignment="1" applyProtection="1">
      <alignment horizontal="right"/>
      <protection locked="0"/>
    </xf>
    <xf numFmtId="0" fontId="38" fillId="16" borderId="0" xfId="0" applyFont="1" applyFill="1" applyBorder="1" applyAlignment="1" applyProtection="1">
      <alignment horizontal="left" wrapText="1"/>
      <protection locked="0"/>
    </xf>
    <xf numFmtId="2" fontId="38" fillId="12" borderId="0" xfId="0" applyNumberFormat="1" applyFont="1" applyFill="1" applyBorder="1" applyAlignment="1" applyProtection="1">
      <alignment horizontal="right"/>
      <protection locked="0"/>
    </xf>
    <xf numFmtId="0" fontId="38" fillId="2" borderId="4" xfId="0" applyFont="1" applyFill="1" applyBorder="1" applyAlignment="1" applyProtection="1">
      <alignment vertical="center"/>
      <protection locked="0"/>
    </xf>
    <xf numFmtId="0" fontId="38" fillId="2" borderId="4" xfId="0" applyFont="1" applyFill="1" applyBorder="1" applyAlignment="1" applyProtection="1">
      <alignment horizontal="center" wrapText="1"/>
      <protection locked="0"/>
    </xf>
    <xf numFmtId="1" fontId="38" fillId="0" borderId="0" xfId="0" applyNumberFormat="1" applyFont="1" applyBorder="1" applyProtection="1">
      <protection locked="0"/>
    </xf>
    <xf numFmtId="0" fontId="54" fillId="5" borderId="0" xfId="0" applyFont="1" applyFill="1" applyBorder="1" applyProtection="1">
      <protection locked="0"/>
    </xf>
    <xf numFmtId="0" fontId="9" fillId="0" borderId="0" xfId="0" applyFont="1" applyAlignment="1">
      <alignment vertical="center"/>
    </xf>
    <xf numFmtId="0" fontId="27" fillId="0" borderId="0" xfId="0" applyFont="1" applyAlignment="1">
      <alignment vertical="center"/>
    </xf>
    <xf numFmtId="0" fontId="9" fillId="0" borderId="0" xfId="0" applyFont="1"/>
    <xf numFmtId="38" fontId="48" fillId="15" borderId="3" xfId="0" applyNumberFormat="1" applyFont="1" applyFill="1" applyBorder="1" applyAlignment="1">
      <alignment horizontal="left"/>
    </xf>
    <xf numFmtId="38" fontId="48" fillId="15" borderId="20" xfId="0" applyNumberFormat="1" applyFont="1" applyFill="1" applyBorder="1" applyAlignment="1">
      <alignment horizontal="center"/>
    </xf>
    <xf numFmtId="38" fontId="48" fillId="15" borderId="144" xfId="0" applyNumberFormat="1" applyFont="1" applyFill="1" applyBorder="1" applyAlignment="1">
      <alignment horizontal="center"/>
    </xf>
    <xf numFmtId="38" fontId="49" fillId="15" borderId="83" xfId="0" applyNumberFormat="1" applyFont="1" applyFill="1" applyBorder="1" applyAlignment="1">
      <alignment horizontal="left" vertical="top" wrapText="1"/>
    </xf>
    <xf numFmtId="38" fontId="48" fillId="15" borderId="84" xfId="0" applyNumberFormat="1" applyFont="1" applyFill="1" applyBorder="1" applyAlignment="1">
      <alignment horizontal="center"/>
    </xf>
    <xf numFmtId="38" fontId="49" fillId="15" borderId="108" xfId="0" applyNumberFormat="1" applyFont="1" applyFill="1" applyBorder="1" applyAlignment="1">
      <alignment horizontal="center"/>
    </xf>
    <xf numFmtId="38" fontId="49" fillId="15" borderId="93" xfId="0" applyNumberFormat="1" applyFont="1" applyFill="1" applyBorder="1" applyAlignment="1">
      <alignment horizontal="left" vertical="top" wrapText="1"/>
    </xf>
    <xf numFmtId="38" fontId="48" fillId="15" borderId="94" xfId="0" applyNumberFormat="1" applyFont="1" applyFill="1" applyBorder="1" applyAlignment="1">
      <alignment horizontal="center"/>
    </xf>
    <xf numFmtId="38" fontId="49" fillId="15" borderId="101" xfId="0" applyNumberFormat="1" applyFont="1" applyFill="1" applyBorder="1" applyAlignment="1">
      <alignment horizontal="center"/>
    </xf>
    <xf numFmtId="170" fontId="30" fillId="16" borderId="6" xfId="0" applyNumberFormat="1" applyFont="1" applyFill="1" applyBorder="1"/>
    <xf numFmtId="170" fontId="31" fillId="16" borderId="6" xfId="0" applyNumberFormat="1" applyFont="1" applyFill="1" applyBorder="1"/>
    <xf numFmtId="170" fontId="31" fillId="16" borderId="6" xfId="0" quotePrefix="1" applyNumberFormat="1" applyFont="1" applyFill="1" applyBorder="1" applyAlignment="1">
      <alignment horizontal="left"/>
    </xf>
    <xf numFmtId="9" fontId="31" fillId="16" borderId="0" xfId="3" applyFont="1" applyFill="1" applyBorder="1"/>
    <xf numFmtId="9" fontId="31" fillId="3" borderId="0" xfId="3" applyFont="1" applyFill="1"/>
    <xf numFmtId="2" fontId="17" fillId="6" borderId="0" xfId="0" applyNumberFormat="1" applyFont="1" applyFill="1" applyBorder="1" applyProtection="1">
      <protection locked="0"/>
    </xf>
    <xf numFmtId="165" fontId="31" fillId="0" borderId="0" xfId="0" applyNumberFormat="1" applyFont="1"/>
    <xf numFmtId="165" fontId="31" fillId="33" borderId="0" xfId="0" applyNumberFormat="1" applyFont="1" applyFill="1"/>
    <xf numFmtId="0" fontId="26" fillId="0" borderId="0" xfId="0" applyFont="1"/>
    <xf numFmtId="9" fontId="0" fillId="0" borderId="0" xfId="3" applyFont="1" applyFill="1"/>
    <xf numFmtId="0" fontId="59" fillId="0" borderId="0" xfId="0" applyFont="1" applyFill="1" applyBorder="1" applyProtection="1">
      <protection locked="0"/>
    </xf>
    <xf numFmtId="0" fontId="62" fillId="34" borderId="0" xfId="4" applyFont="1" applyFill="1" applyBorder="1" applyAlignment="1">
      <alignment vertical="center"/>
    </xf>
    <xf numFmtId="0" fontId="61" fillId="34" borderId="0" xfId="4" applyFont="1" applyFill="1" applyBorder="1" applyAlignment="1">
      <alignment vertical="center"/>
    </xf>
    <xf numFmtId="0" fontId="32" fillId="34" borderId="0" xfId="4" applyFont="1" applyFill="1" applyBorder="1" applyAlignment="1">
      <alignment vertical="center"/>
    </xf>
    <xf numFmtId="0" fontId="63" fillId="34" borderId="0" xfId="4" applyFont="1" applyFill="1" applyBorder="1" applyAlignment="1">
      <alignment vertical="center"/>
    </xf>
    <xf numFmtId="0" fontId="64" fillId="16" borderId="0" xfId="0" applyFont="1" applyFill="1" applyBorder="1" applyAlignment="1">
      <alignment vertical="center"/>
    </xf>
    <xf numFmtId="0" fontId="31" fillId="34" borderId="0" xfId="4" applyFont="1" applyFill="1" applyBorder="1" applyAlignment="1">
      <alignment vertical="center"/>
    </xf>
    <xf numFmtId="0" fontId="65" fillId="34" borderId="0" xfId="4" applyFont="1" applyFill="1" applyBorder="1" applyAlignment="1">
      <alignment vertical="center"/>
    </xf>
    <xf numFmtId="0" fontId="29" fillId="31" borderId="0" xfId="0" applyFont="1" applyFill="1" applyAlignment="1">
      <alignment vertical="center"/>
    </xf>
    <xf numFmtId="0" fontId="35" fillId="16" borderId="0" xfId="0" applyFont="1" applyFill="1" applyAlignment="1">
      <alignment vertical="center"/>
    </xf>
    <xf numFmtId="0" fontId="35" fillId="34" borderId="0" xfId="0" applyFont="1" applyFill="1" applyAlignment="1">
      <alignment vertical="center"/>
    </xf>
    <xf numFmtId="0" fontId="27" fillId="0" borderId="0" xfId="0" applyFont="1" applyAlignment="1">
      <alignment horizontal="left" wrapText="1"/>
    </xf>
    <xf numFmtId="0" fontId="0" fillId="0" borderId="0" xfId="0" applyAlignment="1"/>
    <xf numFmtId="0" fontId="0" fillId="0" borderId="0" xfId="0"/>
    <xf numFmtId="0" fontId="60" fillId="35" borderId="1" xfId="0" applyFont="1" applyFill="1" applyBorder="1" applyAlignment="1">
      <alignment horizontal="left" wrapText="1"/>
    </xf>
    <xf numFmtId="0" fontId="60" fillId="35" borderId="1" xfId="0" applyFont="1" applyFill="1" applyBorder="1" applyAlignment="1"/>
    <xf numFmtId="0" fontId="27" fillId="0" borderId="1" xfId="0" applyFont="1" applyBorder="1" applyAlignment="1">
      <alignment horizontal="left" wrapText="1"/>
    </xf>
    <xf numFmtId="175" fontId="0" fillId="0" borderId="1" xfId="0" applyNumberFormat="1" applyFont="1" applyBorder="1" applyAlignment="1"/>
    <xf numFmtId="0" fontId="0" fillId="0" borderId="1" xfId="0" applyFont="1" applyBorder="1" applyAlignment="1"/>
    <xf numFmtId="0" fontId="0" fillId="0" borderId="1" xfId="0" applyBorder="1" applyAlignment="1"/>
    <xf numFmtId="175" fontId="60" fillId="35" borderId="1" xfId="0" applyNumberFormat="1" applyFont="1" applyFill="1" applyBorder="1" applyAlignment="1"/>
    <xf numFmtId="0" fontId="27" fillId="0" borderId="1" xfId="0" applyFont="1" applyBorder="1" applyAlignment="1">
      <alignment horizontal="left" wrapText="1" indent="1"/>
    </xf>
    <xf numFmtId="9" fontId="0" fillId="0" borderId="1" xfId="0" applyNumberFormat="1" applyBorder="1" applyAlignment="1"/>
    <xf numFmtId="0" fontId="46" fillId="35" borderId="1" xfId="0" applyFont="1" applyFill="1" applyBorder="1" applyAlignment="1"/>
    <xf numFmtId="164" fontId="46" fillId="35" borderId="1" xfId="0" applyNumberFormat="1" applyFont="1" applyFill="1" applyBorder="1" applyAlignment="1"/>
    <xf numFmtId="166" fontId="0" fillId="0" borderId="1" xfId="0" applyNumberFormat="1" applyBorder="1" applyAlignment="1"/>
    <xf numFmtId="0" fontId="60" fillId="35" borderId="1" xfId="0" applyFont="1" applyFill="1" applyBorder="1" applyAlignment="1">
      <alignment horizontal="left" wrapText="1" indent="1"/>
    </xf>
    <xf numFmtId="0" fontId="46" fillId="35" borderId="1" xfId="0" applyFont="1" applyFill="1" applyBorder="1" applyAlignment="1">
      <alignment horizontal="left" wrapText="1"/>
    </xf>
    <xf numFmtId="0" fontId="46" fillId="35" borderId="0" xfId="0" applyFont="1" applyFill="1"/>
    <xf numFmtId="9" fontId="27" fillId="0" borderId="1" xfId="0" applyNumberFormat="1" applyFont="1" applyBorder="1" applyAlignment="1">
      <alignment horizontal="left" wrapText="1"/>
    </xf>
    <xf numFmtId="0" fontId="0" fillId="16" borderId="0" xfId="0" applyFill="1"/>
    <xf numFmtId="0" fontId="0" fillId="16" borderId="32" xfId="0" applyFill="1" applyBorder="1"/>
    <xf numFmtId="0" fontId="0" fillId="16" borderId="31" xfId="0" applyFill="1" applyBorder="1"/>
    <xf numFmtId="0" fontId="0" fillId="16" borderId="33" xfId="0" applyFill="1" applyBorder="1"/>
    <xf numFmtId="0" fontId="0" fillId="16" borderId="34" xfId="0" applyFill="1" applyBorder="1"/>
    <xf numFmtId="0" fontId="0" fillId="16" borderId="0" xfId="0" applyFill="1" applyBorder="1"/>
    <xf numFmtId="0" fontId="0" fillId="16" borderId="35" xfId="0" applyFill="1" applyBorder="1"/>
    <xf numFmtId="0" fontId="66" fillId="16" borderId="34" xfId="0" applyFont="1" applyFill="1" applyBorder="1" applyAlignment="1">
      <alignment horizontal="left" vertical="center" indent="2"/>
    </xf>
    <xf numFmtId="0" fontId="67" fillId="16" borderId="0" xfId="0" applyFont="1" applyFill="1"/>
    <xf numFmtId="0" fontId="0" fillId="16" borderId="36" xfId="0" applyFill="1" applyBorder="1"/>
    <xf numFmtId="0" fontId="0" fillId="16" borderId="2" xfId="0" applyFill="1" applyBorder="1"/>
    <xf numFmtId="0" fontId="0" fillId="16" borderId="37" xfId="0" applyFill="1" applyBorder="1"/>
    <xf numFmtId="0" fontId="69" fillId="0" borderId="0" xfId="0" applyFont="1"/>
    <xf numFmtId="0" fontId="68" fillId="0" borderId="0" xfId="0" applyFont="1" applyAlignment="1"/>
    <xf numFmtId="0" fontId="70" fillId="0" borderId="0" xfId="0" applyFont="1" applyAlignment="1">
      <alignment horizontal="right"/>
    </xf>
    <xf numFmtId="0" fontId="71" fillId="0" borderId="0" xfId="0" applyFont="1" applyAlignment="1">
      <alignment horizontal="right"/>
    </xf>
    <xf numFmtId="3" fontId="69" fillId="0" borderId="0" xfId="0" applyNumberFormat="1" applyFont="1"/>
    <xf numFmtId="3" fontId="68" fillId="0" borderId="0" xfId="0" applyNumberFormat="1" applyFont="1"/>
    <xf numFmtId="0" fontId="68" fillId="0" borderId="0" xfId="0" applyFont="1" applyAlignment="1">
      <alignment horizontal="left"/>
    </xf>
    <xf numFmtId="0" fontId="69" fillId="0" borderId="0" xfId="0" applyFont="1" applyAlignment="1">
      <alignment horizontal="left"/>
    </xf>
    <xf numFmtId="0" fontId="38" fillId="0" borderId="0" xfId="0" applyFont="1" applyFill="1" applyBorder="1" applyProtection="1">
      <protection locked="0"/>
    </xf>
    <xf numFmtId="1" fontId="38" fillId="24" borderId="0" xfId="0" applyNumberFormat="1" applyFont="1" applyFill="1" applyBorder="1" applyProtection="1">
      <protection locked="0"/>
    </xf>
    <xf numFmtId="1" fontId="38" fillId="22" borderId="0" xfId="0" applyNumberFormat="1" applyFont="1" applyFill="1" applyBorder="1" applyProtection="1">
      <protection locked="0"/>
    </xf>
    <xf numFmtId="172" fontId="38" fillId="24" borderId="0" xfId="3" applyNumberFormat="1" applyFont="1" applyFill="1" applyBorder="1" applyProtection="1">
      <protection locked="0"/>
    </xf>
    <xf numFmtId="0" fontId="32" fillId="23" borderId="8" xfId="2" applyFont="1" applyFill="1" applyBorder="1" applyAlignment="1">
      <alignment horizontal="right"/>
    </xf>
    <xf numFmtId="9" fontId="32" fillId="0" borderId="0" xfId="3" applyNumberFormat="1" applyFont="1"/>
    <xf numFmtId="0" fontId="61" fillId="0" borderId="0" xfId="4" applyFill="1"/>
    <xf numFmtId="0" fontId="29" fillId="0" borderId="0" xfId="0" applyFont="1" applyFill="1" applyBorder="1"/>
    <xf numFmtId="0" fontId="60" fillId="0" borderId="0" xfId="0" applyFont="1" applyFill="1" applyBorder="1" applyAlignment="1"/>
    <xf numFmtId="172" fontId="38" fillId="0" borderId="0" xfId="3" applyNumberFormat="1" applyFont="1" applyFill="1" applyBorder="1" applyProtection="1">
      <protection locked="0"/>
    </xf>
    <xf numFmtId="9" fontId="31" fillId="24" borderId="30" xfId="3" applyFont="1" applyFill="1" applyBorder="1"/>
    <xf numFmtId="0" fontId="31" fillId="0" borderId="8" xfId="2" applyFont="1" applyFill="1" applyBorder="1"/>
    <xf numFmtId="0" fontId="31" fillId="0" borderId="29" xfId="2" applyFont="1" applyFill="1" applyBorder="1"/>
    <xf numFmtId="166" fontId="38" fillId="0" borderId="0" xfId="0" applyNumberFormat="1" applyFont="1" applyBorder="1" applyProtection="1">
      <protection locked="0"/>
    </xf>
    <xf numFmtId="1" fontId="0" fillId="0" borderId="1" xfId="0" applyNumberFormat="1" applyBorder="1" applyAlignment="1"/>
    <xf numFmtId="0" fontId="0" fillId="0" borderId="0" xfId="0"/>
    <xf numFmtId="0" fontId="0" fillId="0" borderId="0" xfId="0" applyBorder="1"/>
    <xf numFmtId="0" fontId="27" fillId="0" borderId="0" xfId="0" applyFont="1"/>
    <xf numFmtId="0" fontId="0" fillId="0" borderId="1" xfId="0" applyBorder="1"/>
    <xf numFmtId="0" fontId="0" fillId="0" borderId="1" xfId="0" applyBorder="1" applyAlignment="1">
      <alignment vertical="center"/>
    </xf>
    <xf numFmtId="0" fontId="0" fillId="0" borderId="1" xfId="0" applyFont="1" applyBorder="1"/>
    <xf numFmtId="3" fontId="0" fillId="0" borderId="1" xfId="0" applyNumberFormat="1" applyBorder="1"/>
    <xf numFmtId="3" fontId="0" fillId="0" borderId="1" xfId="0" applyNumberFormat="1" applyBorder="1" applyAlignment="1">
      <alignment vertical="center"/>
    </xf>
    <xf numFmtId="0" fontId="27" fillId="0" borderId="1" xfId="0" applyFont="1" applyBorder="1"/>
    <xf numFmtId="166" fontId="0" fillId="0" borderId="0" xfId="0" applyNumberFormat="1"/>
    <xf numFmtId="1" fontId="0" fillId="0" borderId="0" xfId="0" applyNumberFormat="1"/>
    <xf numFmtId="0" fontId="0" fillId="15" borderId="1" xfId="0" applyFont="1" applyFill="1" applyBorder="1"/>
    <xf numFmtId="3" fontId="0" fillId="0" borderId="0" xfId="0" applyNumberFormat="1"/>
    <xf numFmtId="9" fontId="7" fillId="0" borderId="0" xfId="3" applyFont="1"/>
    <xf numFmtId="1" fontId="38" fillId="0" borderId="0" xfId="0" applyNumberFormat="1" applyFont="1" applyFill="1" applyBorder="1" applyProtection="1">
      <protection locked="0"/>
    </xf>
    <xf numFmtId="9" fontId="38" fillId="0" borderId="0" xfId="3" applyFont="1" applyFill="1" applyBorder="1" applyAlignment="1" applyProtection="1">
      <alignment horizontal="right"/>
      <protection locked="0"/>
    </xf>
    <xf numFmtId="9" fontId="38" fillId="2" borderId="4" xfId="3" applyFont="1" applyFill="1" applyBorder="1" applyProtection="1">
      <protection locked="0"/>
    </xf>
    <xf numFmtId="172" fontId="38" fillId="22" borderId="0" xfId="3" applyNumberFormat="1" applyFont="1" applyFill="1" applyBorder="1" applyProtection="1">
      <protection locked="0"/>
    </xf>
    <xf numFmtId="1" fontId="38" fillId="2" borderId="4" xfId="0" applyNumberFormat="1" applyFont="1" applyFill="1" applyBorder="1" applyProtection="1">
      <protection locked="0"/>
    </xf>
    <xf numFmtId="10" fontId="38" fillId="0" borderId="0" xfId="0" applyNumberFormat="1" applyFont="1" applyFill="1" applyBorder="1" applyProtection="1">
      <protection locked="0"/>
    </xf>
    <xf numFmtId="1" fontId="32" fillId="3" borderId="0" xfId="0" applyNumberFormat="1" applyFont="1" applyFill="1"/>
    <xf numFmtId="0" fontId="32" fillId="0" borderId="82" xfId="0" applyFont="1" applyBorder="1"/>
    <xf numFmtId="0" fontId="32" fillId="0" borderId="18" xfId="0" applyFont="1" applyBorder="1"/>
    <xf numFmtId="0" fontId="31" fillId="0" borderId="34" xfId="0" applyFont="1" applyBorder="1"/>
    <xf numFmtId="0" fontId="31" fillId="0" borderId="41" xfId="0" applyFont="1" applyBorder="1"/>
    <xf numFmtId="0" fontId="73" fillId="0" borderId="0" xfId="0" applyFont="1"/>
    <xf numFmtId="0" fontId="74" fillId="0" borderId="0" xfId="0" applyFont="1"/>
    <xf numFmtId="0" fontId="74" fillId="0" borderId="0" xfId="0" quotePrefix="1" applyFont="1" applyAlignment="1">
      <alignment horizontal="left"/>
    </xf>
    <xf numFmtId="0" fontId="75" fillId="5" borderId="0" xfId="0" applyFont="1" applyFill="1" applyAlignment="1">
      <alignment horizontal="left"/>
    </xf>
    <xf numFmtId="0" fontId="76" fillId="5" borderId="0" xfId="0" applyFont="1" applyFill="1"/>
    <xf numFmtId="0" fontId="74" fillId="0" borderId="0" xfId="0" applyFont="1" applyFill="1"/>
    <xf numFmtId="0" fontId="77" fillId="17" borderId="4" xfId="0" applyFont="1" applyFill="1" applyBorder="1"/>
    <xf numFmtId="0" fontId="77" fillId="25" borderId="4" xfId="0" applyFont="1" applyFill="1" applyBorder="1"/>
    <xf numFmtId="0" fontId="77" fillId="26" borderId="4" xfId="0" applyFont="1" applyFill="1" applyBorder="1"/>
    <xf numFmtId="0" fontId="77" fillId="27" borderId="4" xfId="0" applyFont="1" applyFill="1" applyBorder="1"/>
    <xf numFmtId="0" fontId="73" fillId="20" borderId="4" xfId="0" applyFont="1" applyFill="1" applyBorder="1" applyAlignment="1">
      <alignment vertical="center"/>
    </xf>
    <xf numFmtId="0" fontId="73" fillId="20" borderId="4" xfId="0" applyFont="1" applyFill="1" applyBorder="1" applyAlignment="1">
      <alignment vertical="center" wrapText="1"/>
    </xf>
    <xf numFmtId="0" fontId="73" fillId="16" borderId="0" xfId="0" applyFont="1" applyFill="1" applyAlignment="1">
      <alignment wrapText="1"/>
    </xf>
    <xf numFmtId="0" fontId="73" fillId="16" borderId="0" xfId="0" applyFont="1" applyFill="1"/>
    <xf numFmtId="0" fontId="73" fillId="16" borderId="0" xfId="0" applyFont="1" applyFill="1" applyBorder="1"/>
    <xf numFmtId="2" fontId="73" fillId="16" borderId="0" xfId="0" applyNumberFormat="1" applyFont="1" applyFill="1"/>
    <xf numFmtId="0" fontId="73" fillId="16" borderId="3" xfId="0" applyFont="1" applyFill="1" applyBorder="1" applyAlignment="1">
      <alignment wrapText="1"/>
    </xf>
    <xf numFmtId="0" fontId="73" fillId="16" borderId="3" xfId="0" applyFont="1" applyFill="1" applyBorder="1"/>
    <xf numFmtId="2" fontId="73" fillId="16" borderId="3" xfId="0" applyNumberFormat="1" applyFont="1" applyFill="1" applyBorder="1"/>
    <xf numFmtId="0" fontId="73" fillId="16" borderId="5" xfId="0" applyFont="1" applyFill="1" applyBorder="1"/>
    <xf numFmtId="0" fontId="73" fillId="16" borderId="6" xfId="0" applyFont="1" applyFill="1" applyBorder="1" applyAlignment="1">
      <alignment wrapText="1"/>
    </xf>
    <xf numFmtId="0" fontId="73" fillId="16" borderId="6" xfId="0" applyFont="1" applyFill="1" applyBorder="1"/>
    <xf numFmtId="2" fontId="73" fillId="16" borderId="6" xfId="0" applyNumberFormat="1" applyFont="1" applyFill="1" applyBorder="1"/>
    <xf numFmtId="165" fontId="73" fillId="16" borderId="6" xfId="0" applyNumberFormat="1" applyFont="1" applyFill="1" applyBorder="1"/>
    <xf numFmtId="0" fontId="73" fillId="0" borderId="0" xfId="0" applyFont="1" applyFill="1"/>
    <xf numFmtId="2" fontId="73" fillId="16" borderId="5" xfId="0" applyNumberFormat="1" applyFont="1" applyFill="1" applyBorder="1"/>
    <xf numFmtId="1" fontId="73" fillId="16" borderId="5" xfId="0" applyNumberFormat="1" applyFont="1" applyFill="1" applyBorder="1"/>
    <xf numFmtId="0" fontId="73" fillId="16" borderId="3" xfId="0" quotePrefix="1" applyFont="1" applyFill="1" applyBorder="1" applyAlignment="1">
      <alignment horizontal="left" wrapText="1"/>
    </xf>
    <xf numFmtId="0" fontId="73" fillId="0" borderId="0" xfId="0" quotePrefix="1" applyFont="1" applyFill="1"/>
    <xf numFmtId="4" fontId="73" fillId="0" borderId="0" xfId="0" applyNumberFormat="1" applyFont="1" applyFill="1"/>
    <xf numFmtId="0" fontId="73" fillId="0" borderId="0" xfId="0" applyFont="1" applyFill="1" applyAlignment="1">
      <alignment wrapText="1"/>
    </xf>
    <xf numFmtId="2" fontId="73" fillId="0" borderId="0" xfId="0" applyNumberFormat="1" applyFont="1" applyFill="1"/>
    <xf numFmtId="1" fontId="73" fillId="16" borderId="0" xfId="0" applyNumberFormat="1" applyFont="1" applyFill="1"/>
    <xf numFmtId="0" fontId="73" fillId="16" borderId="31" xfId="0" applyFont="1" applyFill="1" applyBorder="1"/>
    <xf numFmtId="0" fontId="73" fillId="0" borderId="0" xfId="0" applyFont="1" applyFill="1" applyProtection="1">
      <protection locked="0"/>
    </xf>
    <xf numFmtId="1" fontId="73" fillId="16" borderId="0" xfId="0" applyNumberFormat="1" applyFont="1" applyFill="1" applyBorder="1"/>
    <xf numFmtId="2" fontId="73" fillId="16" borderId="0" xfId="0" applyNumberFormat="1" applyFont="1" applyFill="1" applyBorder="1"/>
    <xf numFmtId="0" fontId="74" fillId="16" borderId="0" xfId="0" applyFont="1" applyFill="1" applyBorder="1"/>
    <xf numFmtId="0" fontId="73" fillId="16" borderId="0" xfId="0" applyFont="1" applyFill="1" applyBorder="1" applyAlignment="1">
      <alignment wrapText="1"/>
    </xf>
    <xf numFmtId="0" fontId="78" fillId="0" borderId="0" xfId="0" applyFont="1"/>
    <xf numFmtId="0" fontId="79" fillId="0" borderId="0" xfId="0" applyFont="1"/>
    <xf numFmtId="0" fontId="73" fillId="32" borderId="0" xfId="0" applyFont="1" applyFill="1"/>
    <xf numFmtId="0" fontId="73" fillId="32" borderId="0" xfId="0" quotePrefix="1" applyFont="1" applyFill="1" applyAlignment="1">
      <alignment horizontal="left"/>
    </xf>
    <xf numFmtId="1" fontId="73" fillId="32" borderId="0" xfId="0" applyNumberFormat="1" applyFont="1" applyFill="1"/>
    <xf numFmtId="2" fontId="73" fillId="32" borderId="0" xfId="0" applyNumberFormat="1" applyFont="1" applyFill="1"/>
    <xf numFmtId="0" fontId="80" fillId="32" borderId="0" xfId="0" quotePrefix="1" applyFont="1" applyFill="1" applyAlignment="1">
      <alignment horizontal="right"/>
    </xf>
    <xf numFmtId="0" fontId="80" fillId="32" borderId="0" xfId="0" applyFont="1" applyFill="1"/>
    <xf numFmtId="0" fontId="81" fillId="37" borderId="7" xfId="0" applyFont="1" applyFill="1" applyBorder="1" applyAlignment="1">
      <alignment vertical="center"/>
    </xf>
    <xf numFmtId="0" fontId="81" fillId="37" borderId="146" xfId="0" applyFont="1" applyFill="1" applyBorder="1" applyAlignment="1">
      <alignment vertical="center"/>
    </xf>
    <xf numFmtId="0" fontId="32" fillId="0" borderId="7" xfId="0" applyFont="1" applyFill="1" applyBorder="1" applyAlignment="1">
      <alignment vertical="center"/>
    </xf>
    <xf numFmtId="0" fontId="32" fillId="0" borderId="146" xfId="0" applyFont="1" applyFill="1" applyBorder="1" applyAlignment="1">
      <alignment vertical="center"/>
    </xf>
    <xf numFmtId="0" fontId="6" fillId="0" borderId="0" xfId="0" applyFont="1"/>
    <xf numFmtId="0" fontId="38" fillId="0" borderId="147" xfId="0" applyFont="1" applyFill="1" applyBorder="1" applyAlignment="1">
      <alignment vertical="center"/>
    </xf>
    <xf numFmtId="0" fontId="38" fillId="0" borderId="106" xfId="0" applyFont="1" applyFill="1" applyBorder="1" applyAlignment="1">
      <alignment vertical="center"/>
    </xf>
    <xf numFmtId="0" fontId="38" fillId="0" borderId="149" xfId="0" applyFont="1" applyFill="1" applyBorder="1" applyAlignment="1">
      <alignment vertical="center"/>
    </xf>
    <xf numFmtId="0" fontId="6" fillId="0" borderId="0" xfId="0" applyFont="1" applyBorder="1"/>
    <xf numFmtId="0" fontId="81" fillId="36" borderId="7" xfId="0" applyFont="1" applyFill="1" applyBorder="1" applyAlignment="1">
      <alignment vertical="center"/>
    </xf>
    <xf numFmtId="0" fontId="81" fillId="36" borderId="146" xfId="0" applyFont="1" applyFill="1" applyBorder="1" applyAlignment="1">
      <alignment vertical="center"/>
    </xf>
    <xf numFmtId="0" fontId="6" fillId="0" borderId="150" xfId="0" applyFont="1" applyBorder="1"/>
    <xf numFmtId="0" fontId="6" fillId="0" borderId="151" xfId="0" applyFont="1" applyBorder="1"/>
    <xf numFmtId="0" fontId="81" fillId="36" borderId="148" xfId="0" applyFont="1" applyFill="1" applyBorder="1" applyAlignment="1">
      <alignment vertical="center"/>
    </xf>
    <xf numFmtId="0" fontId="81" fillId="36" borderId="150" xfId="0" applyFont="1" applyFill="1" applyBorder="1" applyAlignment="1">
      <alignment vertical="center"/>
    </xf>
    <xf numFmtId="0" fontId="6" fillId="0" borderId="117" xfId="0" applyFont="1" applyBorder="1"/>
    <xf numFmtId="0" fontId="6" fillId="0" borderId="151" xfId="0" applyFont="1" applyBorder="1" applyAlignment="1">
      <alignment horizontal="left"/>
    </xf>
    <xf numFmtId="0" fontId="27" fillId="0" borderId="147" xfId="0" applyFont="1" applyBorder="1"/>
    <xf numFmtId="0" fontId="27" fillId="0" borderId="106" xfId="0" applyFont="1" applyBorder="1"/>
    <xf numFmtId="0" fontId="27" fillId="0" borderId="149" xfId="0" applyFont="1" applyBorder="1"/>
    <xf numFmtId="0" fontId="6" fillId="37" borderId="147" xfId="0" applyFont="1" applyFill="1" applyBorder="1"/>
    <xf numFmtId="0" fontId="29" fillId="36" borderId="149" xfId="0" applyFont="1" applyFill="1" applyBorder="1"/>
    <xf numFmtId="0" fontId="31" fillId="22" borderId="147" xfId="0" applyFont="1" applyFill="1" applyBorder="1" applyAlignment="1">
      <alignment horizontal="left"/>
    </xf>
    <xf numFmtId="169" fontId="31" fillId="24" borderId="149" xfId="0" applyNumberFormat="1" applyFont="1" applyFill="1" applyBorder="1"/>
    <xf numFmtId="0" fontId="6" fillId="16" borderId="0" xfId="0" applyFont="1" applyFill="1" applyAlignment="1">
      <alignment vertical="center"/>
    </xf>
    <xf numFmtId="0" fontId="6" fillId="34" borderId="0" xfId="0" applyFont="1" applyFill="1" applyAlignment="1">
      <alignment vertical="center"/>
    </xf>
    <xf numFmtId="0" fontId="6" fillId="31" borderId="0" xfId="0" applyFont="1" applyFill="1" applyAlignment="1">
      <alignment vertical="center"/>
    </xf>
    <xf numFmtId="0" fontId="83" fillId="0" borderId="0" xfId="0" applyFont="1"/>
    <xf numFmtId="9" fontId="83" fillId="0" borderId="0" xfId="0" applyNumberFormat="1" applyFont="1"/>
    <xf numFmtId="0" fontId="4" fillId="16" borderId="0" xfId="0" applyFont="1" applyFill="1"/>
    <xf numFmtId="0" fontId="4" fillId="16" borderId="0" xfId="0" applyFont="1" applyFill="1" applyBorder="1"/>
    <xf numFmtId="0" fontId="5" fillId="16" borderId="0" xfId="0" applyFont="1" applyFill="1" applyBorder="1"/>
    <xf numFmtId="0" fontId="10" fillId="16" borderId="0" xfId="0" applyFont="1" applyFill="1" applyBorder="1"/>
    <xf numFmtId="0" fontId="31" fillId="16" borderId="0" xfId="0" quotePrefix="1" applyFont="1" applyFill="1" applyBorder="1" applyAlignment="1">
      <alignment horizontal="left" wrapText="1"/>
    </xf>
    <xf numFmtId="0" fontId="10" fillId="16" borderId="5" xfId="0" applyFont="1" applyFill="1" applyBorder="1"/>
    <xf numFmtId="0" fontId="4" fillId="16" borderId="5" xfId="0" applyFont="1" applyFill="1" applyBorder="1"/>
    <xf numFmtId="9" fontId="31" fillId="16" borderId="0" xfId="3" applyFont="1" applyFill="1" applyAlignment="1">
      <alignment horizontal="left"/>
    </xf>
    <xf numFmtId="38" fontId="48" fillId="0" borderId="50" xfId="0" applyNumberFormat="1" applyFont="1" applyBorder="1" applyAlignment="1">
      <alignment horizontal="center"/>
    </xf>
    <xf numFmtId="38" fontId="48" fillId="0" borderId="51" xfId="0" applyNumberFormat="1" applyFont="1" applyBorder="1" applyAlignment="1">
      <alignment horizontal="center"/>
    </xf>
    <xf numFmtId="38" fontId="48" fillId="0" borderId="52" xfId="0" applyNumberFormat="1" applyFont="1" applyBorder="1" applyAlignment="1">
      <alignment horizontal="center"/>
    </xf>
    <xf numFmtId="38" fontId="49" fillId="0" borderId="53" xfId="0" applyNumberFormat="1" applyFont="1" applyBorder="1" applyAlignment="1">
      <alignment horizontal="center"/>
    </xf>
    <xf numFmtId="38" fontId="48" fillId="0" borderId="54" xfId="0" applyNumberFormat="1" applyFont="1" applyBorder="1" applyAlignment="1">
      <alignment horizontal="center"/>
    </xf>
    <xf numFmtId="38" fontId="49" fillId="0" borderId="51" xfId="0" applyNumberFormat="1" applyFont="1" applyBorder="1" applyAlignment="1">
      <alignment horizontal="center"/>
    </xf>
    <xf numFmtId="38" fontId="49" fillId="38" borderId="52" xfId="0" applyNumberFormat="1" applyFont="1" applyFill="1" applyBorder="1" applyAlignment="1">
      <alignment horizontal="center"/>
    </xf>
    <xf numFmtId="38" fontId="49" fillId="0" borderId="52" xfId="0" applyNumberFormat="1" applyFont="1" applyBorder="1" applyAlignment="1">
      <alignment horizontal="center"/>
    </xf>
    <xf numFmtId="38" fontId="49" fillId="0" borderId="55" xfId="0" applyNumberFormat="1" applyFont="1" applyBorder="1" applyAlignment="1">
      <alignment horizontal="center"/>
    </xf>
    <xf numFmtId="38" fontId="48" fillId="0" borderId="48" xfId="0" applyNumberFormat="1" applyFont="1" applyBorder="1" applyAlignment="1">
      <alignment horizontal="center"/>
    </xf>
    <xf numFmtId="38" fontId="49" fillId="0" borderId="56" xfId="0" applyNumberFormat="1" applyFont="1" applyBorder="1" applyAlignment="1">
      <alignment horizontal="center"/>
    </xf>
    <xf numFmtId="38" fontId="49" fillId="0" borderId="54" xfId="0" applyNumberFormat="1" applyFont="1" applyBorder="1" applyAlignment="1">
      <alignment horizontal="center"/>
    </xf>
    <xf numFmtId="38" fontId="48" fillId="0" borderId="60" xfId="0" applyNumberFormat="1" applyFont="1" applyBorder="1" applyAlignment="1">
      <alignment horizontal="center"/>
    </xf>
    <xf numFmtId="38" fontId="48" fillId="0" borderId="61" xfId="0" applyNumberFormat="1" applyFont="1" applyBorder="1" applyAlignment="1">
      <alignment horizontal="center"/>
    </xf>
    <xf numFmtId="38" fontId="48" fillId="0" borderId="62" xfId="0" applyNumberFormat="1" applyFont="1" applyBorder="1" applyAlignment="1">
      <alignment horizontal="center"/>
    </xf>
    <xf numFmtId="38" fontId="49" fillId="0" borderId="62" xfId="0" applyNumberFormat="1" applyFont="1" applyBorder="1" applyAlignment="1">
      <alignment horizontal="center"/>
    </xf>
    <xf numFmtId="38" fontId="48" fillId="0" borderId="63" xfId="0" applyNumberFormat="1" applyFont="1" applyBorder="1" applyAlignment="1">
      <alignment horizontal="center"/>
    </xf>
    <xf numFmtId="38" fontId="49" fillId="0" borderId="61" xfId="0" applyNumberFormat="1" applyFont="1" applyBorder="1" applyAlignment="1">
      <alignment horizontal="center"/>
    </xf>
    <xf numFmtId="38" fontId="49" fillId="38" borderId="64" xfId="0" applyNumberFormat="1" applyFont="1" applyFill="1" applyBorder="1" applyAlignment="1">
      <alignment horizontal="center"/>
    </xf>
    <xf numFmtId="38" fontId="49" fillId="0" borderId="64" xfId="0" applyNumberFormat="1" applyFont="1" applyBorder="1" applyAlignment="1">
      <alignment horizontal="center"/>
    </xf>
    <xf numFmtId="38" fontId="48" fillId="0" borderId="58" xfId="0" applyNumberFormat="1" applyFont="1" applyBorder="1" applyAlignment="1">
      <alignment horizontal="center"/>
    </xf>
    <xf numFmtId="38" fontId="49" fillId="0" borderId="65" xfId="0" applyNumberFormat="1" applyFont="1" applyBorder="1" applyAlignment="1">
      <alignment horizontal="center"/>
    </xf>
    <xf numFmtId="38" fontId="49" fillId="0" borderId="63" xfId="0" applyNumberFormat="1" applyFont="1" applyBorder="1" applyAlignment="1">
      <alignment horizontal="center"/>
    </xf>
    <xf numFmtId="38" fontId="48" fillId="0" borderId="64" xfId="0" applyNumberFormat="1" applyFont="1" applyBorder="1" applyAlignment="1">
      <alignment horizontal="center"/>
    </xf>
    <xf numFmtId="38" fontId="48" fillId="0" borderId="69" xfId="0" applyNumberFormat="1" applyFont="1" applyBorder="1" applyAlignment="1">
      <alignment horizontal="center"/>
    </xf>
    <xf numFmtId="38" fontId="49" fillId="0" borderId="70" xfId="0" applyNumberFormat="1" applyFont="1" applyBorder="1" applyAlignment="1">
      <alignment horizontal="center"/>
    </xf>
    <xf numFmtId="38" fontId="48" fillId="0" borderId="71" xfId="0" applyNumberFormat="1" applyFont="1" applyBorder="1" applyAlignment="1">
      <alignment horizontal="center"/>
    </xf>
    <xf numFmtId="38" fontId="49" fillId="0" borderId="69" xfId="0" applyNumberFormat="1" applyFont="1" applyBorder="1" applyAlignment="1">
      <alignment horizontal="center"/>
    </xf>
    <xf numFmtId="38" fontId="49" fillId="38" borderId="69" xfId="0" applyNumberFormat="1" applyFont="1" applyFill="1" applyBorder="1" applyAlignment="1">
      <alignment horizontal="center"/>
    </xf>
    <xf numFmtId="38" fontId="48" fillId="0" borderId="67" xfId="0" applyNumberFormat="1" applyFont="1" applyBorder="1" applyAlignment="1">
      <alignment horizontal="center"/>
    </xf>
    <xf numFmtId="38" fontId="49" fillId="0" borderId="72" xfId="0" applyNumberFormat="1" applyFont="1" applyBorder="1" applyAlignment="1">
      <alignment horizontal="center"/>
    </xf>
    <xf numFmtId="38" fontId="49" fillId="0" borderId="73" xfId="0" applyNumberFormat="1" applyFont="1" applyBorder="1" applyAlignment="1">
      <alignment horizontal="center"/>
    </xf>
    <xf numFmtId="38" fontId="49" fillId="0" borderId="71" xfId="0" applyNumberFormat="1" applyFont="1" applyBorder="1" applyAlignment="1">
      <alignment horizontal="center"/>
    </xf>
    <xf numFmtId="38" fontId="48" fillId="0" borderId="26" xfId="0" applyNumberFormat="1" applyFont="1" applyBorder="1" applyAlignment="1">
      <alignment horizontal="center"/>
    </xf>
    <xf numFmtId="38" fontId="48" fillId="0" borderId="31" xfId="0" applyNumberFormat="1" applyFont="1" applyBorder="1" applyAlignment="1">
      <alignment horizontal="center"/>
    </xf>
    <xf numFmtId="38" fontId="48" fillId="0" borderId="55" xfId="0" applyNumberFormat="1" applyFont="1" applyBorder="1" applyAlignment="1">
      <alignment horizontal="center"/>
    </xf>
    <xf numFmtId="38" fontId="48" fillId="0" borderId="24" xfId="0" applyNumberFormat="1" applyFont="1" applyBorder="1" applyAlignment="1">
      <alignment horizontal="center"/>
    </xf>
    <xf numFmtId="38" fontId="48" fillId="38" borderId="55" xfId="0" applyNumberFormat="1" applyFont="1" applyFill="1" applyBorder="1" applyAlignment="1">
      <alignment horizontal="center"/>
    </xf>
    <xf numFmtId="38" fontId="48" fillId="0" borderId="75" xfId="0" applyNumberFormat="1" applyFont="1" applyBorder="1" applyAlignment="1">
      <alignment horizontal="center"/>
    </xf>
    <xf numFmtId="38" fontId="48" fillId="0" borderId="76" xfId="0" applyNumberFormat="1" applyFont="1" applyBorder="1" applyAlignment="1">
      <alignment horizontal="center"/>
    </xf>
    <xf numFmtId="38" fontId="48" fillId="0" borderId="22" xfId="0" applyNumberFormat="1" applyFont="1" applyBorder="1" applyAlignment="1">
      <alignment horizontal="center"/>
    </xf>
    <xf numFmtId="38" fontId="48" fillId="0" borderId="4" xfId="0" applyNumberFormat="1" applyFont="1" applyBorder="1" applyAlignment="1">
      <alignment horizontal="center"/>
    </xf>
    <xf numFmtId="38" fontId="48" fillId="0" borderId="77" xfId="0" applyNumberFormat="1" applyFont="1" applyBorder="1" applyAlignment="1">
      <alignment horizontal="center"/>
    </xf>
    <xf numFmtId="38" fontId="48" fillId="0" borderId="78" xfId="0" applyNumberFormat="1" applyFont="1" applyBorder="1" applyAlignment="1">
      <alignment horizontal="center"/>
    </xf>
    <xf numFmtId="38" fontId="48" fillId="0" borderId="21" xfId="0" applyNumberFormat="1" applyFont="1" applyBorder="1" applyAlignment="1">
      <alignment horizontal="center"/>
    </xf>
    <xf numFmtId="38" fontId="48" fillId="38" borderId="77" xfId="0" applyNumberFormat="1" applyFont="1" applyFill="1" applyBorder="1" applyAlignment="1">
      <alignment horizontal="center"/>
    </xf>
    <xf numFmtId="38" fontId="49" fillId="0" borderId="21" xfId="0" applyNumberFormat="1" applyFont="1" applyBorder="1" applyAlignment="1">
      <alignment horizontal="center"/>
    </xf>
    <xf numFmtId="38" fontId="48" fillId="0" borderId="79" xfId="0" applyNumberFormat="1" applyFont="1" applyBorder="1" applyAlignment="1">
      <alignment horizontal="center"/>
    </xf>
    <xf numFmtId="38" fontId="48" fillId="0" borderId="81" xfId="0" applyNumberFormat="1" applyFont="1" applyBorder="1" applyAlignment="1">
      <alignment horizontal="center"/>
    </xf>
    <xf numFmtId="38" fontId="48" fillId="0" borderId="25" xfId="0" applyNumberFormat="1" applyFont="1" applyBorder="1" applyAlignment="1">
      <alignment horizontal="center"/>
    </xf>
    <xf numFmtId="38" fontId="48" fillId="0" borderId="85" xfId="0" applyNumberFormat="1" applyFont="1" applyBorder="1" applyAlignment="1">
      <alignment horizontal="center"/>
    </xf>
    <xf numFmtId="38" fontId="49" fillId="0" borderId="86" xfId="0" applyNumberFormat="1" applyFont="1" applyBorder="1" applyAlignment="1">
      <alignment horizontal="center"/>
    </xf>
    <xf numFmtId="38" fontId="49" fillId="0" borderId="87" xfId="0" applyNumberFormat="1" applyFont="1" applyBorder="1" applyAlignment="1">
      <alignment horizontal="center"/>
    </xf>
    <xf numFmtId="38" fontId="49" fillId="0" borderId="88" xfId="0" applyNumberFormat="1" applyFont="1" applyBorder="1" applyAlignment="1">
      <alignment horizontal="center"/>
    </xf>
    <xf numFmtId="38" fontId="48" fillId="0" borderId="89" xfId="0" applyNumberFormat="1" applyFont="1" applyBorder="1" applyAlignment="1">
      <alignment horizontal="center"/>
    </xf>
    <xf numFmtId="38" fontId="49" fillId="38" borderId="87" xfId="0" applyNumberFormat="1" applyFont="1" applyFill="1" applyBorder="1" applyAlignment="1">
      <alignment horizontal="center"/>
    </xf>
    <xf numFmtId="38" fontId="48" fillId="0" borderId="83" xfId="0" applyNumberFormat="1" applyFont="1" applyBorder="1" applyAlignment="1">
      <alignment horizontal="center"/>
    </xf>
    <xf numFmtId="38" fontId="49" fillId="0" borderId="90" xfId="0" applyNumberFormat="1" applyFont="1" applyBorder="1" applyAlignment="1">
      <alignment horizontal="center"/>
    </xf>
    <xf numFmtId="38" fontId="49" fillId="0" borderId="89" xfId="0" applyNumberFormat="1" applyFont="1" applyBorder="1" applyAlignment="1">
      <alignment horizontal="center"/>
    </xf>
    <xf numFmtId="38" fontId="49" fillId="0" borderId="92" xfId="0" applyNumberFormat="1" applyFont="1" applyBorder="1" applyAlignment="1">
      <alignment horizontal="center"/>
    </xf>
    <xf numFmtId="38" fontId="48" fillId="0" borderId="95" xfId="0" applyNumberFormat="1" applyFont="1" applyBorder="1" applyAlignment="1">
      <alignment horizontal="center"/>
    </xf>
    <xf numFmtId="38" fontId="49" fillId="0" borderId="96" xfId="0" applyNumberFormat="1" applyFont="1" applyBorder="1" applyAlignment="1">
      <alignment horizontal="center"/>
    </xf>
    <xf numFmtId="38" fontId="49" fillId="0" borderId="97" xfId="0" applyNumberFormat="1" applyFont="1" applyBorder="1" applyAlignment="1">
      <alignment horizontal="center"/>
    </xf>
    <xf numFmtId="38" fontId="49" fillId="0" borderId="98" xfId="0" applyNumberFormat="1" applyFont="1" applyBorder="1" applyAlignment="1">
      <alignment horizontal="center"/>
    </xf>
    <xf numFmtId="38" fontId="48" fillId="0" borderId="99" xfId="0" applyNumberFormat="1" applyFont="1" applyBorder="1" applyAlignment="1">
      <alignment horizontal="center"/>
    </xf>
    <xf numFmtId="38" fontId="49" fillId="38" borderId="97" xfId="0" applyNumberFormat="1" applyFont="1" applyFill="1" applyBorder="1" applyAlignment="1">
      <alignment horizontal="center"/>
    </xf>
    <xf numFmtId="38" fontId="48" fillId="0" borderId="93" xfId="0" applyNumberFormat="1" applyFont="1" applyBorder="1" applyAlignment="1">
      <alignment horizontal="center"/>
    </xf>
    <xf numFmtId="38" fontId="49" fillId="0" borderId="100" xfId="0" applyNumberFormat="1" applyFont="1" applyBorder="1" applyAlignment="1">
      <alignment horizontal="center"/>
    </xf>
    <xf numFmtId="38" fontId="49" fillId="0" borderId="99" xfId="0" applyNumberFormat="1" applyFont="1" applyBorder="1" applyAlignment="1">
      <alignment horizontal="center"/>
    </xf>
    <xf numFmtId="38" fontId="48" fillId="0" borderId="102" xfId="0" applyNumberFormat="1" applyFont="1" applyBorder="1" applyAlignment="1">
      <alignment horizontal="center"/>
    </xf>
    <xf numFmtId="38" fontId="48" fillId="0" borderId="103" xfId="0" applyNumberFormat="1" applyFont="1" applyBorder="1" applyAlignment="1">
      <alignment horizontal="center"/>
    </xf>
    <xf numFmtId="38" fontId="48" fillId="0" borderId="104" xfId="0" applyNumberFormat="1" applyFont="1" applyBorder="1" applyAlignment="1">
      <alignment horizontal="center"/>
    </xf>
    <xf numFmtId="38" fontId="48" fillId="0" borderId="105" xfId="0" applyNumberFormat="1" applyFont="1" applyBorder="1" applyAlignment="1">
      <alignment horizontal="center"/>
    </xf>
    <xf numFmtId="38" fontId="48" fillId="0" borderId="106" xfId="0" applyNumberFormat="1" applyFont="1" applyBorder="1" applyAlignment="1">
      <alignment horizontal="center"/>
    </xf>
    <xf numFmtId="38" fontId="48" fillId="38" borderId="104" xfId="0" applyNumberFormat="1" applyFont="1" applyFill="1" applyBorder="1" applyAlignment="1">
      <alignment horizontal="center"/>
    </xf>
    <xf numFmtId="38" fontId="48" fillId="0" borderId="0" xfId="0" applyNumberFormat="1" applyFont="1" applyAlignment="1">
      <alignment horizontal="center"/>
    </xf>
    <xf numFmtId="38" fontId="48" fillId="0" borderId="39" xfId="0" applyNumberFormat="1" applyFont="1" applyBorder="1" applyAlignment="1">
      <alignment horizontal="center"/>
    </xf>
    <xf numFmtId="38" fontId="48" fillId="0" borderId="107" xfId="0" applyNumberFormat="1" applyFont="1" applyBorder="1" applyAlignment="1">
      <alignment horizontal="center"/>
    </xf>
    <xf numFmtId="1" fontId="49" fillId="0" borderId="63" xfId="0" applyNumberFormat="1" applyFont="1" applyBorder="1" applyAlignment="1">
      <alignment horizontal="center"/>
    </xf>
    <xf numFmtId="38" fontId="48" fillId="0" borderId="110" xfId="0" applyNumberFormat="1" applyFont="1" applyBorder="1" applyAlignment="1">
      <alignment horizontal="center"/>
    </xf>
    <xf numFmtId="38" fontId="49" fillId="0" borderId="111" xfId="0" applyNumberFormat="1" applyFont="1" applyBorder="1" applyAlignment="1">
      <alignment horizontal="center"/>
    </xf>
    <xf numFmtId="38" fontId="49" fillId="0" borderId="112" xfId="0" applyNumberFormat="1" applyFont="1" applyBorder="1" applyAlignment="1">
      <alignment horizontal="center"/>
    </xf>
    <xf numFmtId="38" fontId="49" fillId="0" borderId="113" xfId="0" applyNumberFormat="1" applyFont="1" applyBorder="1" applyAlignment="1">
      <alignment horizontal="center"/>
    </xf>
    <xf numFmtId="38" fontId="48" fillId="0" borderId="155" xfId="0" applyNumberFormat="1" applyFont="1" applyBorder="1" applyAlignment="1">
      <alignment horizontal="center"/>
    </xf>
    <xf numFmtId="38" fontId="49" fillId="38" borderId="112" xfId="0" applyNumberFormat="1" applyFont="1" applyFill="1" applyBorder="1" applyAlignment="1">
      <alignment horizontal="center"/>
    </xf>
    <xf numFmtId="38" fontId="48" fillId="0" borderId="153" xfId="0" applyNumberFormat="1" applyFont="1" applyBorder="1" applyAlignment="1">
      <alignment horizontal="center"/>
    </xf>
    <xf numFmtId="38" fontId="49" fillId="0" borderId="148" xfId="0" applyNumberFormat="1" applyFont="1" applyBorder="1" applyAlignment="1">
      <alignment horizontal="center"/>
    </xf>
    <xf numFmtId="38" fontId="49" fillId="0" borderId="107" xfId="0" applyNumberFormat="1" applyFont="1" applyBorder="1" applyAlignment="1">
      <alignment horizontal="center"/>
    </xf>
    <xf numFmtId="38" fontId="49" fillId="0" borderId="155" xfId="0" applyNumberFormat="1" applyFont="1" applyBorder="1" applyAlignment="1">
      <alignment horizontal="center"/>
    </xf>
    <xf numFmtId="38" fontId="48" fillId="0" borderId="115" xfId="0" applyNumberFormat="1" applyFont="1" applyBorder="1" applyAlignment="1">
      <alignment horizontal="center"/>
    </xf>
    <xf numFmtId="38" fontId="48" fillId="0" borderId="116" xfId="0" applyNumberFormat="1" applyFont="1" applyBorder="1" applyAlignment="1">
      <alignment horizontal="center"/>
    </xf>
    <xf numFmtId="38" fontId="48" fillId="0" borderId="87" xfId="0" applyNumberFormat="1" applyFont="1" applyBorder="1" applyAlignment="1">
      <alignment horizontal="center"/>
    </xf>
    <xf numFmtId="38" fontId="49" fillId="0" borderId="83" xfId="0" applyNumberFormat="1" applyFont="1" applyBorder="1" applyAlignment="1">
      <alignment horizontal="center"/>
    </xf>
    <xf numFmtId="38" fontId="48" fillId="0" borderId="117" xfId="0" applyNumberFormat="1" applyFont="1" applyBorder="1" applyAlignment="1">
      <alignment horizontal="center"/>
    </xf>
    <xf numFmtId="38" fontId="48" fillId="0" borderId="118" xfId="0" applyNumberFormat="1" applyFont="1" applyBorder="1" applyAlignment="1">
      <alignment horizontal="center"/>
    </xf>
    <xf numFmtId="38" fontId="49" fillId="0" borderId="105" xfId="0" applyNumberFormat="1" applyFont="1" applyBorder="1" applyAlignment="1">
      <alignment horizontal="center"/>
    </xf>
    <xf numFmtId="38" fontId="49" fillId="0" borderId="0" xfId="0" applyNumberFormat="1" applyFont="1" applyAlignment="1">
      <alignment horizontal="center"/>
    </xf>
    <xf numFmtId="38" fontId="49" fillId="38" borderId="104" xfId="0" applyNumberFormat="1" applyFont="1" applyFill="1" applyBorder="1" applyAlignment="1">
      <alignment horizontal="center"/>
    </xf>
    <xf numFmtId="38" fontId="49" fillId="0" borderId="104" xfId="0" applyNumberFormat="1" applyFont="1" applyBorder="1" applyAlignment="1">
      <alignment horizontal="center"/>
    </xf>
    <xf numFmtId="38" fontId="49" fillId="0" borderId="39" xfId="0" applyNumberFormat="1" applyFont="1" applyBorder="1" applyAlignment="1">
      <alignment horizontal="center"/>
    </xf>
    <xf numFmtId="38" fontId="49" fillId="0" borderId="103" xfId="0" applyNumberFormat="1" applyFont="1" applyBorder="1" applyAlignment="1">
      <alignment horizontal="center"/>
    </xf>
    <xf numFmtId="38" fontId="49" fillId="0" borderId="106" xfId="0" applyNumberFormat="1" applyFont="1" applyBorder="1" applyAlignment="1">
      <alignment horizontal="center"/>
    </xf>
    <xf numFmtId="38" fontId="48" fillId="0" borderId="119" xfId="0" applyNumberFormat="1" applyFont="1" applyBorder="1" applyAlignment="1">
      <alignment horizontal="center"/>
    </xf>
    <xf numFmtId="38" fontId="49" fillId="0" borderId="120" xfId="0" applyNumberFormat="1" applyFont="1" applyBorder="1" applyAlignment="1">
      <alignment horizontal="center"/>
    </xf>
    <xf numFmtId="38" fontId="49" fillId="0" borderId="67" xfId="0" applyNumberFormat="1" applyFont="1" applyBorder="1" applyAlignment="1">
      <alignment horizontal="center"/>
    </xf>
    <xf numFmtId="38" fontId="49" fillId="38" borderId="73" xfId="0" applyNumberFormat="1" applyFont="1" applyFill="1" applyBorder="1" applyAlignment="1">
      <alignment horizontal="center"/>
    </xf>
    <xf numFmtId="38" fontId="48" fillId="0" borderId="13" xfId="0" applyNumberFormat="1" applyFont="1" applyBorder="1" applyAlignment="1">
      <alignment horizontal="center"/>
    </xf>
    <xf numFmtId="38" fontId="48" fillId="0" borderId="121" xfId="0" applyNumberFormat="1" applyFont="1" applyBorder="1" applyAlignment="1">
      <alignment horizontal="center"/>
    </xf>
    <xf numFmtId="38" fontId="48" fillId="0" borderId="122" xfId="0" applyNumberFormat="1" applyFont="1" applyBorder="1" applyAlignment="1">
      <alignment horizontal="center"/>
    </xf>
    <xf numFmtId="38" fontId="48" fillId="0" borderId="11" xfId="0" applyNumberFormat="1" applyFont="1" applyBorder="1" applyAlignment="1">
      <alignment horizontal="center"/>
    </xf>
    <xf numFmtId="38" fontId="48" fillId="38" borderId="122" xfId="0" applyNumberFormat="1" applyFont="1" applyFill="1" applyBorder="1" applyAlignment="1">
      <alignment horizontal="center"/>
    </xf>
    <xf numFmtId="38" fontId="48" fillId="0" borderId="10" xfId="0" applyNumberFormat="1" applyFont="1" applyBorder="1" applyAlignment="1">
      <alignment horizontal="center"/>
    </xf>
    <xf numFmtId="38" fontId="48" fillId="0" borderId="123" xfId="0" applyNumberFormat="1" applyFont="1" applyBorder="1" applyAlignment="1">
      <alignment horizontal="center"/>
    </xf>
    <xf numFmtId="38" fontId="49" fillId="0" borderId="110" xfId="0" applyNumberFormat="1" applyFont="1" applyBorder="1" applyAlignment="1">
      <alignment horizontal="center"/>
    </xf>
    <xf numFmtId="38" fontId="49" fillId="0" borderId="153" xfId="0" applyNumberFormat="1" applyFont="1" applyBorder="1" applyAlignment="1">
      <alignment horizontal="center"/>
    </xf>
    <xf numFmtId="38" fontId="48" fillId="38" borderId="75" xfId="0" applyNumberFormat="1" applyFont="1" applyFill="1" applyBorder="1" applyAlignment="1">
      <alignment horizontal="center"/>
    </xf>
    <xf numFmtId="38" fontId="48" fillId="0" borderId="17" xfId="0" applyNumberFormat="1" applyFont="1" applyBorder="1" applyAlignment="1">
      <alignment horizontal="center"/>
    </xf>
    <xf numFmtId="38" fontId="48" fillId="0" borderId="124" xfId="0" applyNumberFormat="1" applyFont="1" applyBorder="1" applyAlignment="1">
      <alignment horizontal="center"/>
    </xf>
    <xf numFmtId="38" fontId="48" fillId="0" borderId="125" xfId="0" applyNumberFormat="1" applyFont="1" applyBorder="1" applyAlignment="1">
      <alignment horizontal="center"/>
    </xf>
    <xf numFmtId="38" fontId="48" fillId="0" borderId="15" xfId="0" applyNumberFormat="1" applyFont="1" applyBorder="1" applyAlignment="1">
      <alignment horizontal="center"/>
    </xf>
    <xf numFmtId="38" fontId="48" fillId="0" borderId="126" xfId="0" applyNumberFormat="1" applyFont="1" applyBorder="1" applyAlignment="1">
      <alignment horizontal="center"/>
    </xf>
    <xf numFmtId="38" fontId="48" fillId="38" borderId="124" xfId="0" applyNumberFormat="1" applyFont="1" applyFill="1" applyBorder="1" applyAlignment="1">
      <alignment horizontal="center"/>
    </xf>
    <xf numFmtId="38" fontId="48" fillId="0" borderId="38" xfId="0" applyNumberFormat="1" applyFont="1" applyBorder="1" applyAlignment="1">
      <alignment horizontal="center"/>
    </xf>
    <xf numFmtId="38" fontId="48" fillId="0" borderId="16" xfId="0" applyNumberFormat="1" applyFont="1" applyBorder="1" applyAlignment="1">
      <alignment horizontal="center"/>
    </xf>
    <xf numFmtId="38" fontId="48" fillId="0" borderId="129" xfId="0" applyNumberFormat="1" applyFont="1" applyBorder="1" applyAlignment="1">
      <alignment horizontal="center"/>
    </xf>
    <xf numFmtId="38" fontId="49" fillId="0" borderId="130" xfId="0" applyNumberFormat="1" applyFont="1" applyBorder="1" applyAlignment="1">
      <alignment horizontal="center"/>
    </xf>
    <xf numFmtId="38" fontId="48" fillId="0" borderId="131" xfId="0" applyNumberFormat="1" applyFont="1" applyBorder="1" applyAlignment="1">
      <alignment horizontal="center"/>
    </xf>
    <xf numFmtId="38" fontId="49" fillId="0" borderId="132" xfId="0" applyNumberFormat="1" applyFont="1" applyBorder="1" applyAlignment="1">
      <alignment horizontal="center"/>
    </xf>
    <xf numFmtId="38" fontId="49" fillId="38" borderId="92" xfId="0" applyNumberFormat="1" applyFont="1" applyFill="1" applyBorder="1" applyAlignment="1">
      <alignment horizontal="center"/>
    </xf>
    <xf numFmtId="38" fontId="48" fillId="0" borderId="127" xfId="0" applyNumberFormat="1" applyFont="1" applyBorder="1" applyAlignment="1">
      <alignment horizontal="center"/>
    </xf>
    <xf numFmtId="38" fontId="49" fillId="0" borderId="133" xfId="0" applyNumberFormat="1" applyFont="1" applyBorder="1" applyAlignment="1">
      <alignment horizontal="center"/>
    </xf>
    <xf numFmtId="38" fontId="49" fillId="0" borderId="58" xfId="0" applyNumberFormat="1" applyFont="1" applyBorder="1" applyAlignment="1">
      <alignment horizontal="center"/>
    </xf>
    <xf numFmtId="38" fontId="49" fillId="0" borderId="127" xfId="0" applyNumberFormat="1" applyFont="1" applyBorder="1" applyAlignment="1">
      <alignment horizontal="center"/>
    </xf>
    <xf numFmtId="38" fontId="49" fillId="0" borderId="131" xfId="0" applyNumberFormat="1" applyFont="1" applyBorder="1" applyAlignment="1">
      <alignment horizontal="center"/>
    </xf>
    <xf numFmtId="38" fontId="48" fillId="0" borderId="134" xfId="0" applyNumberFormat="1" applyFont="1" applyBorder="1" applyAlignment="1">
      <alignment horizontal="center"/>
    </xf>
    <xf numFmtId="38" fontId="49" fillId="0" borderId="135" xfId="0" applyNumberFormat="1" applyFont="1" applyBorder="1" applyAlignment="1">
      <alignment horizontal="center"/>
    </xf>
    <xf numFmtId="38" fontId="49" fillId="0" borderId="136" xfId="0" applyNumberFormat="1" applyFont="1" applyBorder="1" applyAlignment="1">
      <alignment horizontal="center"/>
    </xf>
    <xf numFmtId="38" fontId="48" fillId="0" borderId="137" xfId="0" applyNumberFormat="1" applyFont="1" applyBorder="1" applyAlignment="1">
      <alignment horizontal="center"/>
    </xf>
    <xf numFmtId="38" fontId="49" fillId="0" borderId="138" xfId="0" applyNumberFormat="1" applyFont="1" applyBorder="1" applyAlignment="1">
      <alignment horizontal="center"/>
    </xf>
    <xf numFmtId="38" fontId="49" fillId="38" borderId="135" xfId="0" applyNumberFormat="1" applyFont="1" applyFill="1" applyBorder="1" applyAlignment="1">
      <alignment horizontal="center"/>
    </xf>
    <xf numFmtId="38" fontId="48" fillId="0" borderId="139" xfId="0" applyNumberFormat="1" applyFont="1" applyBorder="1" applyAlignment="1">
      <alignment horizontal="center"/>
    </xf>
    <xf numFmtId="38" fontId="49" fillId="0" borderId="140" xfId="0" applyNumberFormat="1" applyFont="1" applyBorder="1" applyAlignment="1">
      <alignment horizontal="center"/>
    </xf>
    <xf numFmtId="38" fontId="49" fillId="0" borderId="93" xfId="0" applyNumberFormat="1" applyFont="1" applyBorder="1" applyAlignment="1">
      <alignment horizontal="center"/>
    </xf>
    <xf numFmtId="38" fontId="48" fillId="0" borderId="19" xfId="0" applyNumberFormat="1" applyFont="1" applyBorder="1" applyAlignment="1">
      <alignment horizontal="center"/>
    </xf>
    <xf numFmtId="38" fontId="48" fillId="0" borderId="142" xfId="0" applyNumberFormat="1" applyFont="1" applyBorder="1" applyAlignment="1">
      <alignment horizontal="center"/>
    </xf>
    <xf numFmtId="38" fontId="48" fillId="0" borderId="152" xfId="0" applyNumberFormat="1" applyFont="1" applyBorder="1" applyAlignment="1">
      <alignment horizontal="center"/>
    </xf>
    <xf numFmtId="38" fontId="48" fillId="0" borderId="143" xfId="0" applyNumberFormat="1" applyFont="1" applyBorder="1" applyAlignment="1">
      <alignment horizontal="center"/>
    </xf>
    <xf numFmtId="38" fontId="48" fillId="38" borderId="107" xfId="0" applyNumberFormat="1" applyFont="1" applyFill="1" applyBorder="1" applyAlignment="1">
      <alignment horizontal="center"/>
    </xf>
    <xf numFmtId="38" fontId="48" fillId="0" borderId="156" xfId="0" applyNumberFormat="1" applyFont="1" applyBorder="1" applyAlignment="1">
      <alignment horizontal="center"/>
    </xf>
    <xf numFmtId="38" fontId="48" fillId="0" borderId="154" xfId="0" applyNumberFormat="1" applyFont="1" applyBorder="1" applyAlignment="1">
      <alignment horizontal="center"/>
    </xf>
    <xf numFmtId="38" fontId="48" fillId="0" borderId="86" xfId="0" applyNumberFormat="1" applyFont="1" applyBorder="1" applyAlignment="1">
      <alignment horizontal="center"/>
    </xf>
    <xf numFmtId="38" fontId="48" fillId="0" borderId="132" xfId="0" applyNumberFormat="1" applyFont="1" applyBorder="1" applyAlignment="1">
      <alignment horizontal="center"/>
    </xf>
    <xf numFmtId="38" fontId="48" fillId="0" borderId="92" xfId="0" applyNumberFormat="1" applyFont="1" applyBorder="1" applyAlignment="1">
      <alignment horizontal="center"/>
    </xf>
    <xf numFmtId="38" fontId="48" fillId="0" borderId="96" xfId="0" applyNumberFormat="1" applyFont="1" applyBorder="1" applyAlignment="1">
      <alignment horizontal="center"/>
    </xf>
    <xf numFmtId="38" fontId="48" fillId="0" borderId="97" xfId="0" applyNumberFormat="1" applyFont="1" applyBorder="1" applyAlignment="1">
      <alignment horizontal="center"/>
    </xf>
    <xf numFmtId="38" fontId="48" fillId="38" borderId="143" xfId="0" applyNumberFormat="1" applyFont="1" applyFill="1" applyBorder="1" applyAlignment="1">
      <alignment horizontal="center"/>
    </xf>
    <xf numFmtId="38" fontId="48" fillId="0" borderId="111" xfId="0" applyNumberFormat="1" applyFont="1" applyBorder="1" applyAlignment="1">
      <alignment horizontal="center"/>
    </xf>
    <xf numFmtId="38" fontId="48" fillId="0" borderId="112" xfId="0" applyNumberFormat="1" applyFont="1" applyBorder="1" applyAlignment="1">
      <alignment horizontal="center"/>
    </xf>
    <xf numFmtId="38" fontId="48" fillId="0" borderId="113" xfId="0" applyNumberFormat="1" applyFont="1" applyBorder="1" applyAlignment="1">
      <alignment horizontal="center"/>
    </xf>
    <xf numFmtId="38" fontId="48" fillId="38" borderId="112" xfId="0" applyNumberFormat="1" applyFont="1" applyFill="1" applyBorder="1" applyAlignment="1">
      <alignment horizontal="center"/>
    </xf>
    <xf numFmtId="38" fontId="48" fillId="0" borderId="148" xfId="0" applyNumberFormat="1" applyFont="1" applyBorder="1" applyAlignment="1">
      <alignment horizontal="center"/>
    </xf>
    <xf numFmtId="38" fontId="49" fillId="0" borderId="0" xfId="0" applyNumberFormat="1" applyFont="1" applyAlignment="1">
      <alignment horizontal="left"/>
    </xf>
    <xf numFmtId="173" fontId="48" fillId="0" borderId="0" xfId="0" applyNumberFormat="1" applyFont="1" applyAlignment="1">
      <alignment horizontal="left"/>
    </xf>
    <xf numFmtId="173" fontId="49" fillId="39" borderId="0" xfId="0" applyNumberFormat="1" applyFont="1" applyFill="1" applyAlignment="1">
      <alignment horizontal="left"/>
    </xf>
    <xf numFmtId="173" fontId="49" fillId="11" borderId="0" xfId="0" applyNumberFormat="1" applyFont="1" applyFill="1" applyAlignment="1">
      <alignment horizontal="left"/>
    </xf>
    <xf numFmtId="38" fontId="49" fillId="38" borderId="0" xfId="0" applyNumberFormat="1" applyFont="1" applyFill="1" applyAlignment="1">
      <alignment horizontal="left"/>
    </xf>
    <xf numFmtId="173" fontId="49" fillId="31" borderId="0" xfId="0" applyNumberFormat="1" applyFont="1" applyFill="1" applyAlignment="1">
      <alignment horizontal="left"/>
    </xf>
    <xf numFmtId="0" fontId="3" fillId="25" borderId="4" xfId="0" applyFont="1" applyFill="1" applyBorder="1"/>
    <xf numFmtId="0" fontId="31" fillId="0" borderId="36" xfId="0" applyFont="1" applyBorder="1"/>
    <xf numFmtId="0" fontId="31" fillId="0" borderId="145" xfId="0" applyFont="1" applyBorder="1"/>
    <xf numFmtId="9" fontId="8" fillId="0" borderId="0" xfId="3" applyFont="1"/>
    <xf numFmtId="175" fontId="0" fillId="0" borderId="0" xfId="0" applyNumberFormat="1"/>
    <xf numFmtId="3" fontId="0" fillId="0" borderId="1" xfId="0" applyNumberFormat="1" applyBorder="1" applyAlignment="1"/>
    <xf numFmtId="0" fontId="31" fillId="0" borderId="1" xfId="0" applyFont="1" applyBorder="1"/>
    <xf numFmtId="0" fontId="2" fillId="0" borderId="1" xfId="0" applyFont="1" applyBorder="1"/>
    <xf numFmtId="9" fontId="7" fillId="0" borderId="1" xfId="3" applyFont="1" applyBorder="1"/>
    <xf numFmtId="0" fontId="0" fillId="0" borderId="0" xfId="0" applyBorder="1" applyAlignment="1">
      <alignment vertical="center"/>
    </xf>
    <xf numFmtId="0" fontId="2" fillId="0" borderId="1" xfId="0" applyFont="1" applyBorder="1" applyAlignment="1">
      <alignment vertical="center"/>
    </xf>
    <xf numFmtId="0" fontId="61" fillId="0" borderId="0" xfId="4"/>
    <xf numFmtId="0" fontId="2" fillId="0" borderId="0" xfId="0" applyFont="1"/>
    <xf numFmtId="0" fontId="68" fillId="0" borderId="156" xfId="0" applyFont="1" applyBorder="1" applyAlignment="1">
      <alignment horizontal="left" vertical="center"/>
    </xf>
    <xf numFmtId="0" fontId="68" fillId="0" borderId="156" xfId="0" applyFont="1" applyBorder="1" applyAlignment="1">
      <alignment horizontal="right" wrapText="1"/>
    </xf>
    <xf numFmtId="3" fontId="69" fillId="0" borderId="0" xfId="0" applyNumberFormat="1" applyFont="1"/>
    <xf numFmtId="3" fontId="68" fillId="0" borderId="0" xfId="0" applyNumberFormat="1" applyFont="1"/>
    <xf numFmtId="2" fontId="68" fillId="0" borderId="0" xfId="0" applyNumberFormat="1" applyFont="1" applyAlignment="1">
      <alignment horizontal="left"/>
    </xf>
    <xf numFmtId="3" fontId="69" fillId="0" borderId="0" xfId="0" applyNumberFormat="1" applyFont="1" applyAlignment="1">
      <alignment horizontal="right"/>
    </xf>
    <xf numFmtId="0" fontId="68" fillId="0" borderId="5" xfId="0" applyFont="1" applyBorder="1" applyAlignment="1">
      <alignment horizontal="left"/>
    </xf>
    <xf numFmtId="3" fontId="68" fillId="0" borderId="5" xfId="0" applyNumberFormat="1" applyFont="1" applyBorder="1"/>
    <xf numFmtId="2" fontId="94" fillId="6" borderId="0" xfId="0" applyNumberFormat="1" applyFont="1" applyFill="1" applyBorder="1" applyProtection="1">
      <protection locked="0"/>
    </xf>
    <xf numFmtId="2" fontId="95" fillId="6" borderId="0" xfId="0" applyNumberFormat="1" applyFont="1" applyFill="1" applyBorder="1" applyProtection="1">
      <protection locked="0"/>
    </xf>
    <xf numFmtId="2" fontId="94" fillId="8" borderId="0" xfId="0" applyNumberFormat="1" applyFont="1" applyFill="1" applyBorder="1" applyProtection="1">
      <protection locked="0"/>
    </xf>
    <xf numFmtId="0" fontId="82" fillId="16" borderId="0" xfId="0" applyFont="1" applyFill="1" applyAlignment="1">
      <alignment horizontal="left" vertical="center"/>
    </xf>
    <xf numFmtId="0" fontId="62" fillId="16" borderId="0" xfId="4" applyFont="1" applyFill="1" applyBorder="1" applyAlignment="1">
      <alignment horizontal="center" vertical="center"/>
    </xf>
    <xf numFmtId="0" fontId="32" fillId="16" borderId="0" xfId="4" applyFont="1" applyFill="1" applyBorder="1" applyAlignment="1">
      <alignment vertical="center"/>
    </xf>
    <xf numFmtId="0" fontId="31" fillId="16" borderId="0" xfId="4" applyFont="1" applyFill="1" applyBorder="1" applyAlignment="1">
      <alignment vertical="center"/>
    </xf>
    <xf numFmtId="0" fontId="38" fillId="0" borderId="0" xfId="0" applyFont="1" applyFill="1" applyAlignment="1">
      <alignment horizontal="left"/>
    </xf>
    <xf numFmtId="0" fontId="11" fillId="25" borderId="4" xfId="0" applyFont="1" applyFill="1" applyBorder="1" applyAlignment="1">
      <alignment horizontal="center"/>
    </xf>
    <xf numFmtId="0" fontId="27" fillId="16" borderId="34" xfId="0" applyFont="1" applyFill="1" applyBorder="1" applyAlignment="1">
      <alignment horizontal="left" vertical="center" indent="2"/>
    </xf>
    <xf numFmtId="0" fontId="27" fillId="16" borderId="0" xfId="0" applyFont="1" applyFill="1" applyBorder="1" applyAlignment="1">
      <alignment horizontal="left" vertical="center" indent="2"/>
    </xf>
    <xf numFmtId="0" fontId="27" fillId="16" borderId="35" xfId="0" applyFont="1" applyFill="1" applyBorder="1" applyAlignment="1">
      <alignment horizontal="left" vertical="center" indent="2"/>
    </xf>
    <xf numFmtId="14" fontId="27" fillId="16" borderId="34" xfId="0" applyNumberFormat="1" applyFont="1" applyFill="1" applyBorder="1" applyAlignment="1">
      <alignment horizontal="left" vertical="center" wrapText="1" indent="2"/>
    </xf>
    <xf numFmtId="14" fontId="27" fillId="16" borderId="0" xfId="0" applyNumberFormat="1" applyFont="1" applyFill="1" applyBorder="1" applyAlignment="1">
      <alignment horizontal="left" vertical="center" wrapText="1" indent="2"/>
    </xf>
    <xf numFmtId="14" fontId="27" fillId="16" borderId="35" xfId="0" applyNumberFormat="1" applyFont="1" applyFill="1" applyBorder="1" applyAlignment="1">
      <alignment horizontal="left" vertical="center" wrapText="1" indent="2"/>
    </xf>
    <xf numFmtId="0" fontId="68" fillId="0" borderId="0" xfId="0" applyFont="1" applyAlignment="1"/>
    <xf numFmtId="0" fontId="69" fillId="0" borderId="0" xfId="0" applyFont="1" applyAlignment="1"/>
    <xf numFmtId="3" fontId="69" fillId="0" borderId="6" xfId="0" applyNumberFormat="1" applyFont="1" applyBorder="1" applyAlignment="1">
      <alignment horizontal="left"/>
    </xf>
    <xf numFmtId="2" fontId="73" fillId="16" borderId="156" xfId="0" applyNumberFormat="1" applyFont="1" applyFill="1" applyBorder="1"/>
    <xf numFmtId="0" fontId="1" fillId="25" borderId="4" xfId="0" applyFont="1" applyFill="1" applyBorder="1"/>
    <xf numFmtId="1" fontId="73" fillId="16" borderId="153" xfId="0" applyNumberFormat="1" applyFont="1" applyFill="1" applyBorder="1"/>
    <xf numFmtId="0" fontId="31" fillId="20" borderId="4" xfId="0" applyFont="1" applyFill="1" applyBorder="1" applyAlignment="1">
      <alignment vertical="center"/>
    </xf>
    <xf numFmtId="1" fontId="31" fillId="16" borderId="0" xfId="0" applyNumberFormat="1" applyFont="1" applyFill="1"/>
  </cellXfs>
  <cellStyles count="37">
    <cellStyle name="20% - Accent1" xfId="20" builtinId="30" customBuiltin="1"/>
    <cellStyle name="20% - Accent2" xfId="23" builtinId="34" customBuiltin="1"/>
    <cellStyle name="20% - Accent3" xfId="26" builtinId="38" customBuiltin="1"/>
    <cellStyle name="20% - Accent4" xfId="29" builtinId="42" customBuiltin="1"/>
    <cellStyle name="20% - Accent5" xfId="32" builtinId="46" customBuiltin="1"/>
    <cellStyle name="20% - Accent6" xfId="35" builtinId="50" customBuiltin="1"/>
    <cellStyle name="40% - Accent1" xfId="21" builtinId="31" customBuiltin="1"/>
    <cellStyle name="40% - Accent2" xfId="24" builtinId="35" customBuiltin="1"/>
    <cellStyle name="40% - Accent3" xfId="27" builtinId="39" customBuiltin="1"/>
    <cellStyle name="40% - Accent4" xfId="30" builtinId="43" customBuiltin="1"/>
    <cellStyle name="40% - Accent5" xfId="33" builtinId="47" customBuiltin="1"/>
    <cellStyle name="40% - Accent6" xfId="36" builtinId="51" customBuiltin="1"/>
    <cellStyle name="Accent1" xfId="19" builtinId="29" customBuiltin="1"/>
    <cellStyle name="Accent2" xfId="22" builtinId="33" customBuiltin="1"/>
    <cellStyle name="Accent3" xfId="25" builtinId="37" customBuiltin="1"/>
    <cellStyle name="Accent4" xfId="28" builtinId="41" customBuiltin="1"/>
    <cellStyle name="Accent5" xfId="31" builtinId="45" customBuiltin="1"/>
    <cellStyle name="Accent6" xfId="34" builtinId="49" customBuiltin="1"/>
    <cellStyle name="Bad" xfId="10" builtinId="27" customBuiltin="1"/>
    <cellStyle name="Calculation" xfId="13" builtinId="22" customBuiltin="1"/>
    <cellStyle name="Check Cell" xfId="15" builtinId="23" customBuiltin="1"/>
    <cellStyle name="Comma" xfId="1" builtinId="3"/>
    <cellStyle name="Explanatory Text" xfId="17" builtinId="53" customBuiltin="1"/>
    <cellStyle name="Good" xfId="9" builtinId="26" customBuiltin="1"/>
    <cellStyle name="Heading 1" xfId="5" builtinId="16" customBuiltin="1"/>
    <cellStyle name="Heading 2" xfId="6" builtinId="17" customBuiltin="1"/>
    <cellStyle name="Heading 3" xfId="7" builtinId="18" customBuiltin="1"/>
    <cellStyle name="Heading 4" xfId="8" builtinId="19" customBuiltin="1"/>
    <cellStyle name="Hyperlink" xfId="4" builtinId="8"/>
    <cellStyle name="Input" xfId="11" builtinId="20" customBuiltin="1"/>
    <cellStyle name="Linked Cell" xfId="14" builtinId="24" customBuiltin="1"/>
    <cellStyle name="Neutral" xfId="2" builtinId="28" customBuiltin="1"/>
    <cellStyle name="Normal" xfId="0" builtinId="0"/>
    <cellStyle name="Output" xfId="12" builtinId="21" customBuiltin="1"/>
    <cellStyle name="Percent" xfId="3" builtinId="5"/>
    <cellStyle name="Total" xfId="18" builtinId="25" customBuiltin="1"/>
    <cellStyle name="Warning Text" xfId="16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gif"/><Relationship Id="rId1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1</xdr:rowOff>
    </xdr:from>
    <xdr:to>
      <xdr:col>5</xdr:col>
      <xdr:colOff>942912</xdr:colOff>
      <xdr:row>12</xdr:row>
      <xdr:rowOff>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B8754E7-55CD-4FB4-BA9D-2608A47C8C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1"/>
          <a:ext cx="5724462" cy="2295524"/>
        </a:xfrm>
        <a:prstGeom prst="rect">
          <a:avLst/>
        </a:prstGeom>
      </xdr:spPr>
    </xdr:pic>
    <xdr:clientData/>
  </xdr:twoCellAnchor>
  <xdr:twoCellAnchor editAs="oneCell">
    <xdr:from>
      <xdr:col>4</xdr:col>
      <xdr:colOff>397565</xdr:colOff>
      <xdr:row>35</xdr:row>
      <xdr:rowOff>91109</xdr:rowOff>
    </xdr:from>
    <xdr:to>
      <xdr:col>5</xdr:col>
      <xdr:colOff>564421</xdr:colOff>
      <xdr:row>40</xdr:row>
      <xdr:rowOff>110671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01E3FC2-9A97-4EB8-B122-E10BC36C03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45665" y="8101634"/>
          <a:ext cx="1109831" cy="972062"/>
        </a:xfrm>
        <a:prstGeom prst="rect">
          <a:avLst/>
        </a:prstGeom>
      </xdr:spPr>
    </xdr:pic>
    <xdr:clientData/>
  </xdr:twoCellAnchor>
  <xdr:twoCellAnchor editAs="oneCell">
    <xdr:from>
      <xdr:col>0</xdr:col>
      <xdr:colOff>91109</xdr:colOff>
      <xdr:row>35</xdr:row>
      <xdr:rowOff>149087</xdr:rowOff>
    </xdr:from>
    <xdr:to>
      <xdr:col>2</xdr:col>
      <xdr:colOff>74544</xdr:colOff>
      <xdr:row>40</xdr:row>
      <xdr:rowOff>86457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1DC5E81-6A5D-428B-B340-36570F4D49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109" y="8159612"/>
          <a:ext cx="1945585" cy="88987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114300</xdr:colOff>
      <xdr:row>49</xdr:row>
      <xdr:rowOff>95251</xdr:rowOff>
    </xdr:from>
    <xdr:to>
      <xdr:col>3</xdr:col>
      <xdr:colOff>514350</xdr:colOff>
      <xdr:row>51</xdr:row>
      <xdr:rowOff>66663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FCFC6D1-D18D-48F9-9D3D-81ADE8179D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3900" y="295276"/>
          <a:ext cx="1704975" cy="314312"/>
        </a:xfrm>
        <a:prstGeom prst="rect">
          <a:avLst/>
        </a:prstGeom>
      </xdr:spPr>
    </xdr:pic>
    <xdr:clientData/>
  </xdr:twoCellAnchor>
  <xdr:twoCellAnchor editAs="oneCell">
    <xdr:from>
      <xdr:col>3</xdr:col>
      <xdr:colOff>857250</xdr:colOff>
      <xdr:row>53</xdr:row>
      <xdr:rowOff>86183</xdr:rowOff>
    </xdr:from>
    <xdr:to>
      <xdr:col>5</xdr:col>
      <xdr:colOff>476250</xdr:colOff>
      <xdr:row>56</xdr:row>
      <xdr:rowOff>9983</xdr:rowOff>
    </xdr:to>
    <xdr:pic>
      <xdr:nvPicPr>
        <xdr:cNvPr id="3" name="Picture 2" descr="http://www.seai.ie/SEAI_Logo_large.gif">
          <a:extLst>
            <a:ext uri="{FF2B5EF4-FFF2-40B4-BE49-F238E27FC236}">
              <a16:creationId xmlns:a16="http://schemas.microsoft.com/office/drawing/2014/main" id="{0D5CAA15-96EB-40A1-8975-FBF1D45544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19625" y="12287708"/>
          <a:ext cx="1581150" cy="514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4482</xdr:colOff>
      <xdr:row>2</xdr:row>
      <xdr:rowOff>134471</xdr:rowOff>
    </xdr:from>
    <xdr:to>
      <xdr:col>18</xdr:col>
      <xdr:colOff>114300</xdr:colOff>
      <xdr:row>52</xdr:row>
      <xdr:rowOff>78442</xdr:rowOff>
    </xdr:to>
    <xdr:pic>
      <xdr:nvPicPr>
        <xdr:cNvPr id="2" name="Picture 1" descr="http://boc.ie/clipart/Graphs/i-2015%20ps%20energy%20sankey%202015.png">
          <a:extLst>
            <a:ext uri="{FF2B5EF4-FFF2-40B4-BE49-F238E27FC236}">
              <a16:creationId xmlns:a16="http://schemas.microsoft.com/office/drawing/2014/main" id="{052DC633-FF6C-481D-86C0-4926697A74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4717" y="515471"/>
          <a:ext cx="9791701" cy="857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cso.ie/en/releasesandpublications/er/ndber/non-domesticbuildingenergyratingsq22017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s://www.seai.ie/publications/Public-Sector-Annual-Report-2019.pdf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s://www.cso.ie/en/releasesandpublications/er/ndber/non-domesticbuildingenergyratingsq42018/" TargetMode="Externa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7"/>
  </sheetPr>
  <dimension ref="A1:N43"/>
  <sheetViews>
    <sheetView showGridLines="0" zoomScale="115" zoomScaleNormal="115" zoomScalePageLayoutView="70" workbookViewId="0">
      <selection activeCell="A11" sqref="A11"/>
    </sheetView>
  </sheetViews>
  <sheetFormatPr defaultColWidth="8.85546875" defaultRowHeight="15"/>
  <cols>
    <col min="1" max="1" width="15.28515625" style="578" bestFit="1" customWidth="1"/>
    <col min="2" max="8" width="14.140625" style="578" customWidth="1"/>
    <col min="9" max="9" width="12.140625" style="578" customWidth="1"/>
    <col min="10" max="12" width="8.140625" style="578" customWidth="1"/>
    <col min="13" max="13" width="9.7109375" style="578" customWidth="1"/>
    <col min="14" max="14" width="8.140625" style="578" customWidth="1"/>
    <col min="15" max="15" width="10" style="578" customWidth="1"/>
    <col min="16" max="16" width="11.42578125" style="578" customWidth="1"/>
    <col min="17" max="17" width="13.42578125" style="578" customWidth="1"/>
    <col min="18" max="31" width="8.85546875" style="578"/>
    <col min="32" max="32" width="21.42578125" style="578" customWidth="1"/>
    <col min="33" max="38" width="8.85546875" style="578"/>
    <col min="39" max="39" width="21.28515625" style="578" customWidth="1"/>
    <col min="40" max="16384" width="8.85546875" style="578"/>
  </cols>
  <sheetData>
    <row r="1" spans="1:6">
      <c r="A1" s="577"/>
      <c r="B1" s="577"/>
      <c r="C1" s="577"/>
      <c r="D1" s="577"/>
      <c r="E1" s="577"/>
      <c r="F1" s="577"/>
    </row>
    <row r="2" spans="1:6">
      <c r="A2" s="577"/>
      <c r="B2" s="577"/>
      <c r="C2" s="577"/>
      <c r="D2" s="577"/>
      <c r="E2" s="577"/>
      <c r="F2" s="577"/>
    </row>
    <row r="3" spans="1:6">
      <c r="A3" s="577"/>
      <c r="B3" s="577"/>
      <c r="C3" s="577"/>
      <c r="D3" s="577"/>
      <c r="E3" s="577"/>
      <c r="F3" s="577"/>
    </row>
    <row r="4" spans="1:6">
      <c r="A4" s="577"/>
      <c r="B4" s="577"/>
      <c r="C4" s="577"/>
      <c r="D4" s="577"/>
      <c r="E4" s="577"/>
      <c r="F4" s="577"/>
    </row>
    <row r="5" spans="1:6">
      <c r="A5" s="577"/>
      <c r="B5" s="577"/>
      <c r="C5" s="577"/>
      <c r="D5" s="577"/>
      <c r="E5" s="577"/>
      <c r="F5" s="577"/>
    </row>
    <row r="6" spans="1:6">
      <c r="A6" s="577"/>
      <c r="B6" s="577"/>
      <c r="C6" s="577"/>
      <c r="D6" s="577"/>
      <c r="E6" s="577"/>
      <c r="F6" s="577"/>
    </row>
    <row r="7" spans="1:6">
      <c r="A7" s="577"/>
      <c r="B7" s="577"/>
      <c r="C7" s="577"/>
      <c r="D7" s="577"/>
      <c r="E7" s="577"/>
      <c r="F7" s="577"/>
    </row>
    <row r="8" spans="1:6">
      <c r="A8" s="577"/>
      <c r="B8" s="577"/>
      <c r="C8" s="577"/>
      <c r="D8" s="577"/>
      <c r="E8" s="577"/>
      <c r="F8" s="577"/>
    </row>
    <row r="9" spans="1:6">
      <c r="A9" s="577"/>
      <c r="B9" s="577"/>
      <c r="C9" s="577"/>
      <c r="D9" s="577"/>
      <c r="E9" s="577"/>
      <c r="F9" s="577"/>
    </row>
    <row r="10" spans="1:6">
      <c r="A10" s="577"/>
      <c r="B10" s="577"/>
      <c r="C10" s="577"/>
      <c r="D10" s="577"/>
      <c r="E10" s="577"/>
      <c r="F10" s="577"/>
    </row>
    <row r="11" spans="1:6">
      <c r="A11" s="577"/>
      <c r="B11" s="577"/>
      <c r="C11" s="577"/>
      <c r="D11" s="577"/>
      <c r="E11" s="577"/>
      <c r="F11" s="577"/>
    </row>
    <row r="12" spans="1:6">
      <c r="A12" s="577"/>
      <c r="B12" s="577"/>
      <c r="C12" s="577"/>
      <c r="D12" s="577"/>
      <c r="E12" s="577"/>
      <c r="F12" s="577"/>
    </row>
    <row r="13" spans="1:6">
      <c r="A13" s="577"/>
      <c r="B13" s="577"/>
      <c r="C13" s="577" t="s">
        <v>231</v>
      </c>
      <c r="D13" s="577"/>
      <c r="E13" s="577"/>
      <c r="F13" s="577"/>
    </row>
    <row r="14" spans="1:6">
      <c r="A14" s="577"/>
      <c r="B14" s="577"/>
      <c r="C14" s="577"/>
      <c r="D14" s="577"/>
      <c r="E14" s="577"/>
      <c r="F14" s="577"/>
    </row>
    <row r="15" spans="1:6">
      <c r="A15" s="577"/>
      <c r="B15" s="577"/>
      <c r="C15" s="577"/>
      <c r="D15" s="577"/>
      <c r="E15" s="577"/>
      <c r="F15" s="577"/>
    </row>
    <row r="16" spans="1:6">
      <c r="A16" s="577"/>
      <c r="B16" s="577"/>
      <c r="C16" s="577"/>
      <c r="D16" s="577"/>
      <c r="E16" s="577"/>
      <c r="F16" s="577"/>
    </row>
    <row r="17" spans="1:14" ht="102.75" customHeight="1">
      <c r="A17" s="782" t="s">
        <v>407</v>
      </c>
      <c r="B17" s="782"/>
      <c r="C17" s="782"/>
      <c r="D17" s="782"/>
      <c r="E17" s="782"/>
      <c r="F17" s="782"/>
      <c r="G17" s="417"/>
      <c r="H17" s="417"/>
      <c r="I17" s="418"/>
      <c r="J17" s="418"/>
      <c r="K17" s="418"/>
      <c r="L17" s="418"/>
      <c r="M17" s="418"/>
      <c r="N17" s="418"/>
    </row>
    <row r="18" spans="1:14" ht="17.25" customHeight="1">
      <c r="A18" s="579"/>
      <c r="B18" s="579"/>
      <c r="C18" s="579"/>
      <c r="D18" s="579"/>
      <c r="E18" s="579"/>
      <c r="F18" s="579"/>
    </row>
    <row r="19" spans="1:14" ht="17.25" customHeight="1">
      <c r="A19" s="579"/>
      <c r="B19" s="579"/>
      <c r="C19" s="579"/>
      <c r="D19" s="579"/>
      <c r="E19" s="579"/>
      <c r="F19" s="579"/>
      <c r="G19" s="419"/>
      <c r="H19" s="419"/>
      <c r="I19" s="420"/>
      <c r="J19" s="420"/>
      <c r="K19" s="420"/>
      <c r="L19" s="420"/>
      <c r="M19" s="420"/>
      <c r="N19" s="420"/>
    </row>
    <row r="20" spans="1:14" ht="17.25" customHeight="1">
      <c r="A20" s="421" t="s">
        <v>408</v>
      </c>
      <c r="B20" s="783" t="s">
        <v>409</v>
      </c>
      <c r="C20" s="783"/>
      <c r="D20" s="783"/>
      <c r="E20" s="783"/>
      <c r="F20" s="783"/>
      <c r="G20" s="422"/>
      <c r="H20" s="422"/>
      <c r="I20" s="423"/>
      <c r="J20" s="423"/>
      <c r="K20" s="423"/>
      <c r="L20" s="423"/>
      <c r="M20" s="423"/>
      <c r="N20" s="423"/>
    </row>
    <row r="21" spans="1:14" ht="17.25" customHeight="1">
      <c r="A21" s="421" t="s">
        <v>410</v>
      </c>
      <c r="B21" s="784" t="s">
        <v>542</v>
      </c>
      <c r="C21" s="784"/>
      <c r="D21" s="784"/>
      <c r="E21" s="784"/>
      <c r="F21" s="784"/>
      <c r="G21" s="422"/>
      <c r="H21" s="422"/>
      <c r="I21" s="423"/>
      <c r="J21" s="423"/>
      <c r="K21" s="423"/>
      <c r="L21" s="423"/>
      <c r="M21" s="423"/>
      <c r="N21" s="423"/>
    </row>
    <row r="22" spans="1:14" ht="17.25" customHeight="1">
      <c r="A22" s="421" t="s">
        <v>411</v>
      </c>
      <c r="B22" s="784" t="s">
        <v>412</v>
      </c>
      <c r="C22" s="784"/>
      <c r="D22" s="784"/>
      <c r="E22" s="784"/>
      <c r="F22" s="784"/>
    </row>
    <row r="23" spans="1:14" ht="17.25" customHeight="1">
      <c r="A23" s="424" t="s">
        <v>413</v>
      </c>
      <c r="B23" s="577"/>
      <c r="C23" s="577"/>
      <c r="D23" s="577"/>
      <c r="E23" s="425"/>
      <c r="F23" s="425"/>
      <c r="G23" s="426"/>
      <c r="H23" s="426"/>
    </row>
    <row r="24" spans="1:14" ht="17.25" customHeight="1">
      <c r="A24" s="785" t="s">
        <v>502</v>
      </c>
      <c r="B24" s="785"/>
      <c r="C24" s="785"/>
      <c r="D24" s="785"/>
      <c r="E24" s="785"/>
      <c r="F24" s="785"/>
      <c r="G24" s="426"/>
      <c r="H24" s="426"/>
    </row>
    <row r="25" spans="1:14" ht="17.25" customHeight="1">
      <c r="A25" s="781" t="s">
        <v>501</v>
      </c>
      <c r="B25" s="781"/>
      <c r="C25" s="781"/>
      <c r="D25" s="781"/>
      <c r="E25" s="781"/>
      <c r="F25" s="781"/>
    </row>
    <row r="26" spans="1:14">
      <c r="A26" s="577"/>
      <c r="B26" s="577"/>
      <c r="C26" s="577"/>
      <c r="D26" s="577"/>
      <c r="E26" s="577"/>
      <c r="F26" s="577"/>
    </row>
    <row r="27" spans="1:14">
      <c r="A27" s="577"/>
      <c r="B27" s="577"/>
      <c r="C27" s="577"/>
      <c r="D27" s="577"/>
      <c r="E27" s="577"/>
      <c r="F27" s="577"/>
    </row>
    <row r="28" spans="1:14">
      <c r="A28" s="577"/>
      <c r="B28" s="577"/>
      <c r="C28" s="577"/>
      <c r="D28" s="577"/>
      <c r="E28" s="577"/>
      <c r="F28" s="577"/>
    </row>
    <row r="29" spans="1:14">
      <c r="A29" s="577"/>
      <c r="B29" s="577"/>
      <c r="C29" s="577"/>
      <c r="D29" s="577"/>
      <c r="E29" s="577"/>
      <c r="F29" s="577"/>
    </row>
    <row r="30" spans="1:14">
      <c r="A30" s="577"/>
      <c r="B30" s="577"/>
      <c r="C30" s="577"/>
      <c r="D30" s="577"/>
      <c r="E30" s="577"/>
      <c r="F30" s="577"/>
    </row>
    <row r="31" spans="1:14">
      <c r="A31" s="577"/>
      <c r="B31" s="577"/>
      <c r="C31" s="577"/>
      <c r="D31" s="577"/>
      <c r="E31" s="577"/>
      <c r="F31" s="577"/>
    </row>
    <row r="32" spans="1:14">
      <c r="A32" s="577"/>
      <c r="B32" s="577"/>
      <c r="C32" s="577"/>
      <c r="D32" s="577"/>
      <c r="E32" s="577"/>
      <c r="F32" s="577"/>
    </row>
    <row r="33" spans="1:6">
      <c r="A33" s="577"/>
      <c r="B33" s="577"/>
      <c r="C33" s="577"/>
      <c r="D33" s="577"/>
      <c r="E33" s="577"/>
      <c r="F33" s="577"/>
    </row>
    <row r="34" spans="1:6">
      <c r="A34" s="577"/>
      <c r="B34" s="577"/>
      <c r="C34" s="577"/>
      <c r="D34" s="577"/>
      <c r="E34" s="577"/>
      <c r="F34" s="577"/>
    </row>
    <row r="35" spans="1:6">
      <c r="A35" s="577"/>
      <c r="B35" s="577"/>
      <c r="C35" s="577"/>
      <c r="D35" s="577"/>
      <c r="E35" s="577"/>
      <c r="F35" s="577"/>
    </row>
    <row r="36" spans="1:6">
      <c r="A36" s="577"/>
      <c r="B36" s="577"/>
      <c r="C36" s="577"/>
      <c r="D36" s="577"/>
      <c r="E36" s="577"/>
      <c r="F36" s="577"/>
    </row>
    <row r="37" spans="1:6">
      <c r="A37" s="577"/>
      <c r="B37" s="577"/>
      <c r="C37" s="577"/>
      <c r="D37" s="577"/>
      <c r="E37" s="577"/>
      <c r="F37" s="577"/>
    </row>
    <row r="38" spans="1:6">
      <c r="A38" s="577"/>
      <c r="B38" s="577"/>
      <c r="C38" s="577"/>
      <c r="D38" s="577"/>
      <c r="E38" s="577"/>
      <c r="F38" s="577"/>
    </row>
    <row r="39" spans="1:6">
      <c r="A39" s="577"/>
      <c r="B39" s="577"/>
      <c r="C39" s="577"/>
      <c r="D39" s="577"/>
      <c r="E39" s="577"/>
      <c r="F39" s="577"/>
    </row>
    <row r="40" spans="1:6">
      <c r="A40" s="577"/>
      <c r="B40" s="577"/>
      <c r="C40" s="577"/>
      <c r="D40" s="577"/>
      <c r="E40" s="577"/>
      <c r="F40" s="577"/>
    </row>
    <row r="41" spans="1:6">
      <c r="A41" s="577"/>
      <c r="B41" s="577"/>
      <c r="C41" s="577"/>
      <c r="D41" s="577"/>
      <c r="E41" s="577"/>
      <c r="F41" s="577"/>
    </row>
    <row r="42" spans="1:6">
      <c r="A42" s="577"/>
      <c r="B42" s="577"/>
      <c r="C42" s="577"/>
      <c r="D42" s="577"/>
      <c r="E42" s="577"/>
      <c r="F42" s="577"/>
    </row>
    <row r="43" spans="1:6">
      <c r="A43" s="577"/>
      <c r="B43" s="577"/>
      <c r="C43" s="577"/>
      <c r="D43" s="577"/>
      <c r="E43" s="577"/>
      <c r="F43" s="577"/>
    </row>
  </sheetData>
  <mergeCells count="6">
    <mergeCell ref="A25:F25"/>
    <mergeCell ref="A17:F17"/>
    <mergeCell ref="B20:F20"/>
    <mergeCell ref="B21:F21"/>
    <mergeCell ref="B22:F22"/>
    <mergeCell ref="A24:F24"/>
  </mergeCell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2">
    <tabColor rgb="FFFFC000"/>
  </sheetPr>
  <dimension ref="B1:V90"/>
  <sheetViews>
    <sheetView zoomScale="80" zoomScaleNormal="80" workbookViewId="0">
      <selection activeCell="E77" sqref="E77"/>
    </sheetView>
  </sheetViews>
  <sheetFormatPr defaultColWidth="9.140625" defaultRowHeight="15"/>
  <cols>
    <col min="1" max="1" width="5" style="16" customWidth="1"/>
    <col min="2" max="2" width="12.85546875" style="16" customWidth="1"/>
    <col min="3" max="3" width="20.42578125" style="16" customWidth="1"/>
    <col min="4" max="4" width="58.85546875" style="16" bestFit="1" customWidth="1"/>
    <col min="5" max="5" width="11.140625" style="16" bestFit="1" customWidth="1"/>
    <col min="6" max="12" width="12.5703125" style="16" customWidth="1"/>
    <col min="13" max="13" width="12.5703125" style="1" customWidth="1"/>
    <col min="14" max="19" width="12.5703125" style="16" customWidth="1"/>
    <col min="20" max="21" width="12.5703125" style="69" customWidth="1"/>
    <col min="22" max="22" width="11.42578125" style="69" customWidth="1"/>
    <col min="23" max="255" width="11.42578125" style="16" customWidth="1"/>
    <col min="256" max="16384" width="9.140625" style="16"/>
  </cols>
  <sheetData>
    <row r="1" spans="2:21" ht="26.25">
      <c r="B1" s="83" t="s">
        <v>242</v>
      </c>
      <c r="C1" s="65"/>
      <c r="D1" s="65"/>
      <c r="M1" s="69"/>
    </row>
    <row r="2" spans="2:21">
      <c r="M2" s="69"/>
    </row>
    <row r="3" spans="2:21" ht="18.75">
      <c r="B3" s="66" t="s">
        <v>252</v>
      </c>
      <c r="C3" s="64"/>
      <c r="D3" s="64"/>
      <c r="F3" s="78" t="s">
        <v>234</v>
      </c>
      <c r="J3" s="86"/>
      <c r="M3" s="69"/>
    </row>
    <row r="4" spans="2:21">
      <c r="B4" s="68" t="s">
        <v>80</v>
      </c>
      <c r="E4" s="75"/>
      <c r="F4" s="122" t="s">
        <v>237</v>
      </c>
      <c r="G4" s="114"/>
      <c r="I4" s="86"/>
      <c r="J4" s="87"/>
      <c r="K4" s="75"/>
      <c r="L4" s="75"/>
      <c r="M4" s="69"/>
      <c r="N4" s="75"/>
      <c r="O4" s="75"/>
      <c r="P4" s="75"/>
      <c r="Q4" s="75"/>
      <c r="R4" s="75"/>
    </row>
    <row r="5" spans="2:21" ht="16.5" thickBot="1">
      <c r="B5" s="96" t="s">
        <v>17</v>
      </c>
      <c r="C5" s="97" t="s">
        <v>78</v>
      </c>
      <c r="D5" s="99"/>
      <c r="E5" s="75"/>
      <c r="F5" s="121" t="s">
        <v>236</v>
      </c>
      <c r="G5" s="121"/>
      <c r="I5" s="87"/>
      <c r="J5" s="87"/>
      <c r="K5" s="86"/>
      <c r="L5" s="86"/>
      <c r="M5" s="69"/>
      <c r="N5" s="86"/>
      <c r="O5" s="86"/>
      <c r="P5" s="86"/>
      <c r="Q5" s="75"/>
      <c r="R5" s="75"/>
    </row>
    <row r="6" spans="2:21" ht="15.75">
      <c r="B6" s="22" t="s">
        <v>148</v>
      </c>
      <c r="C6" s="22" t="s">
        <v>10</v>
      </c>
      <c r="D6" s="98" t="s">
        <v>233</v>
      </c>
      <c r="E6" s="75"/>
      <c r="F6" s="87"/>
      <c r="G6" s="87"/>
      <c r="I6" s="87"/>
      <c r="J6" s="87"/>
      <c r="K6" s="86"/>
      <c r="L6" s="86"/>
      <c r="M6" s="69"/>
      <c r="N6" s="86"/>
      <c r="O6" s="86"/>
      <c r="P6" s="86"/>
      <c r="Q6" s="75"/>
      <c r="R6" s="75"/>
    </row>
    <row r="7" spans="2:21">
      <c r="B7" s="54" t="str">
        <f>COM_Commodities!C33</f>
        <v>CWCS</v>
      </c>
      <c r="C7" s="180">
        <f>R19*SUM(S19:S37)</f>
        <v>1.5279568491355382</v>
      </c>
      <c r="D7" s="54" t="str">
        <f>COM_Commodities!D33</f>
        <v>Commercial water heating demand - Commercial Services</v>
      </c>
      <c r="E7" s="75"/>
      <c r="F7" s="87"/>
      <c r="G7" s="87"/>
      <c r="H7" s="87"/>
      <c r="I7" s="87"/>
      <c r="J7" s="87"/>
      <c r="K7" s="87"/>
      <c r="L7" s="87"/>
      <c r="M7" s="69"/>
      <c r="N7" s="87"/>
      <c r="O7" s="87"/>
      <c r="P7" s="87"/>
      <c r="Q7" s="136"/>
      <c r="R7" s="75"/>
    </row>
    <row r="8" spans="2:21">
      <c r="B8" s="54" t="str">
        <f>COM_Commodities!C34</f>
        <v>CWPS</v>
      </c>
      <c r="C8" s="180">
        <f>R45*SUM(S45:S63)</f>
        <v>1.329249002329046</v>
      </c>
      <c r="D8" s="54" t="str">
        <f>COM_Commodities!D34</f>
        <v>Commercial water heating demand - Public Services</v>
      </c>
      <c r="E8" s="75"/>
      <c r="F8" s="87"/>
      <c r="G8" s="87"/>
      <c r="H8" s="87"/>
      <c r="I8" s="87"/>
      <c r="J8" s="87"/>
      <c r="K8" s="87"/>
      <c r="L8" s="87"/>
      <c r="M8" s="69"/>
      <c r="N8" s="87"/>
      <c r="O8" s="87"/>
      <c r="P8" s="87"/>
      <c r="Q8" s="136"/>
      <c r="R8" s="75"/>
    </row>
    <row r="9" spans="2:21">
      <c r="B9" s="137"/>
      <c r="C9" s="137"/>
      <c r="D9" s="137"/>
      <c r="E9" s="137"/>
      <c r="F9" s="137"/>
      <c r="M9" s="69"/>
    </row>
    <row r="10" spans="2:21" ht="18.75">
      <c r="B10" s="66" t="s">
        <v>581</v>
      </c>
      <c r="C10" s="64"/>
      <c r="D10" s="64"/>
      <c r="E10" s="64"/>
      <c r="F10" s="64"/>
      <c r="G10" s="64"/>
      <c r="H10" s="64"/>
      <c r="I10" s="64"/>
      <c r="J10" s="64"/>
      <c r="K10" s="64"/>
      <c r="L10" s="64"/>
      <c r="M10" s="64"/>
      <c r="N10" s="64"/>
      <c r="O10" s="64"/>
      <c r="P10" s="64"/>
      <c r="Q10" s="64"/>
      <c r="R10" s="64"/>
      <c r="S10" s="64"/>
      <c r="T10" s="64"/>
      <c r="U10" s="64"/>
    </row>
    <row r="11" spans="2:21">
      <c r="C11" s="68" t="s">
        <v>557</v>
      </c>
      <c r="M11" s="16"/>
      <c r="T11" s="16"/>
      <c r="U11" s="16"/>
    </row>
    <row r="12" spans="2:21" ht="16.5" thickBot="1">
      <c r="B12" s="96" t="s">
        <v>17</v>
      </c>
      <c r="C12" s="96" t="s">
        <v>558</v>
      </c>
      <c r="D12" s="96" t="s">
        <v>575</v>
      </c>
      <c r="E12" s="96" t="s">
        <v>576</v>
      </c>
      <c r="F12" s="97" t="s">
        <v>559</v>
      </c>
      <c r="G12" s="97" t="s">
        <v>560</v>
      </c>
      <c r="H12" s="97" t="s">
        <v>561</v>
      </c>
      <c r="I12" s="97" t="s">
        <v>562</v>
      </c>
      <c r="J12" s="97" t="s">
        <v>563</v>
      </c>
      <c r="K12" s="97" t="s">
        <v>564</v>
      </c>
      <c r="L12" s="97" t="s">
        <v>565</v>
      </c>
      <c r="M12" s="97" t="s">
        <v>566</v>
      </c>
      <c r="N12" s="97" t="s">
        <v>567</v>
      </c>
      <c r="O12" s="97" t="s">
        <v>568</v>
      </c>
      <c r="P12" s="97" t="s">
        <v>569</v>
      </c>
      <c r="Q12" s="97" t="s">
        <v>570</v>
      </c>
      <c r="R12" s="97" t="s">
        <v>571</v>
      </c>
      <c r="S12" s="97" t="s">
        <v>572</v>
      </c>
      <c r="T12" s="97" t="s">
        <v>573</v>
      </c>
      <c r="U12" s="97" t="s">
        <v>574</v>
      </c>
    </row>
    <row r="13" spans="2:21">
      <c r="B13" s="54" t="str">
        <f>B7</f>
        <v>CWCS</v>
      </c>
      <c r="C13" s="54" t="s">
        <v>577</v>
      </c>
      <c r="D13" s="54" t="s">
        <v>578</v>
      </c>
      <c r="E13" s="54" t="s">
        <v>582</v>
      </c>
      <c r="F13" s="589">
        <v>0.107921172700168</v>
      </c>
      <c r="G13" s="589">
        <v>2.1587260480756199E-2</v>
      </c>
      <c r="H13" s="589">
        <v>7.1504112093338401E-2</v>
      </c>
      <c r="I13" s="589">
        <v>5.16889769930916E-2</v>
      </c>
      <c r="J13" s="589">
        <v>0.10807836668144</v>
      </c>
      <c r="K13" s="589">
        <v>2.18649216917026E-2</v>
      </c>
      <c r="L13" s="589">
        <v>7.2102119994079603E-2</v>
      </c>
      <c r="M13" s="589">
        <v>5.16889769930916E-2</v>
      </c>
      <c r="N13" s="589">
        <v>0.100782350230339</v>
      </c>
      <c r="O13" s="589">
        <v>1.9861612635297201E-2</v>
      </c>
      <c r="P13" s="589">
        <v>6.8178559051163004E-2</v>
      </c>
      <c r="Q13" s="589">
        <v>5.07884188186856E-2</v>
      </c>
      <c r="R13" s="589">
        <v>0.10807836668144</v>
      </c>
      <c r="S13" s="589">
        <v>2.18649216917026E-2</v>
      </c>
      <c r="T13" s="589">
        <v>7.2320886270613102E-2</v>
      </c>
      <c r="U13" s="589">
        <v>5.16889769930916E-2</v>
      </c>
    </row>
    <row r="14" spans="2:21">
      <c r="B14" s="54" t="str">
        <f>B8</f>
        <v>CWPS</v>
      </c>
      <c r="C14" s="54" t="s">
        <v>577</v>
      </c>
      <c r="D14" s="54" t="s">
        <v>578</v>
      </c>
      <c r="E14" s="54" t="s">
        <v>582</v>
      </c>
      <c r="F14" s="589">
        <v>0.107921172700168</v>
      </c>
      <c r="G14" s="589">
        <v>2.1587260480756199E-2</v>
      </c>
      <c r="H14" s="589">
        <v>7.1504112093338401E-2</v>
      </c>
      <c r="I14" s="589">
        <v>5.16889769930916E-2</v>
      </c>
      <c r="J14" s="589">
        <v>0.10807836668144</v>
      </c>
      <c r="K14" s="589">
        <v>2.18649216917026E-2</v>
      </c>
      <c r="L14" s="589">
        <v>7.2102119994079603E-2</v>
      </c>
      <c r="M14" s="589">
        <v>5.16889769930916E-2</v>
      </c>
      <c r="N14" s="589">
        <v>0.100782350230339</v>
      </c>
      <c r="O14" s="589">
        <v>1.9861612635297201E-2</v>
      </c>
      <c r="P14" s="589">
        <v>6.8178559051163004E-2</v>
      </c>
      <c r="Q14" s="589">
        <v>5.07884188186856E-2</v>
      </c>
      <c r="R14" s="589">
        <v>0.10807836668144</v>
      </c>
      <c r="S14" s="589">
        <v>2.18649216917026E-2</v>
      </c>
      <c r="T14" s="589">
        <v>7.2320886270613102E-2</v>
      </c>
      <c r="U14" s="589">
        <v>5.16889769930916E-2</v>
      </c>
    </row>
    <row r="15" spans="2:21" s="69" customFormat="1">
      <c r="C15" s="141"/>
      <c r="F15" s="68"/>
    </row>
    <row r="16" spans="2:21" ht="18.75">
      <c r="B16" s="66" t="str">
        <f>"Base-year technologies for commercial water heating ("&amp;COM_Balance!$S$11&amp;")"</f>
        <v>Base-year technologies for commercial water heating (Commercial Services)</v>
      </c>
      <c r="C16" s="64"/>
      <c r="D16" s="64"/>
      <c r="E16" s="64"/>
      <c r="F16" s="68" t="s">
        <v>80</v>
      </c>
      <c r="G16" s="101"/>
      <c r="H16" s="103"/>
      <c r="I16" s="103"/>
      <c r="J16" s="104"/>
      <c r="K16" s="103"/>
      <c r="M16" s="69"/>
      <c r="N16" s="90" t="s">
        <v>238</v>
      </c>
      <c r="O16" s="90"/>
      <c r="P16" s="90"/>
      <c r="Q16" s="123" t="s">
        <v>94</v>
      </c>
      <c r="R16" s="134"/>
      <c r="S16" s="85"/>
    </row>
    <row r="17" spans="2:19" ht="45.75" thickBot="1">
      <c r="B17" s="127" t="s">
        <v>22</v>
      </c>
      <c r="C17" s="127" t="s">
        <v>15</v>
      </c>
      <c r="D17" s="127" t="s">
        <v>16</v>
      </c>
      <c r="E17" s="127" t="s">
        <v>39</v>
      </c>
      <c r="F17" s="127" t="s">
        <v>40</v>
      </c>
      <c r="G17" s="128" t="s">
        <v>82</v>
      </c>
      <c r="H17" s="128" t="s">
        <v>115</v>
      </c>
      <c r="I17" s="128" t="s">
        <v>240</v>
      </c>
      <c r="J17" s="128" t="s">
        <v>239</v>
      </c>
      <c r="K17" s="128" t="s">
        <v>111</v>
      </c>
      <c r="L17" s="128" t="s">
        <v>211</v>
      </c>
      <c r="M17" s="69"/>
      <c r="N17" s="125" t="s">
        <v>127</v>
      </c>
      <c r="O17" s="125" t="s">
        <v>129</v>
      </c>
      <c r="P17" s="125" t="s">
        <v>130</v>
      </c>
      <c r="Q17" s="167" t="s">
        <v>146</v>
      </c>
      <c r="R17" s="125" t="s">
        <v>100</v>
      </c>
      <c r="S17" s="125" t="s">
        <v>101</v>
      </c>
    </row>
    <row r="18" spans="2:19" ht="47.25">
      <c r="B18" s="131" t="s">
        <v>235</v>
      </c>
      <c r="C18" s="131"/>
      <c r="D18" s="131"/>
      <c r="E18" s="131"/>
      <c r="F18" s="131"/>
      <c r="G18" s="131"/>
      <c r="H18" s="131" t="s">
        <v>38</v>
      </c>
      <c r="I18" s="131" t="s">
        <v>114</v>
      </c>
      <c r="J18" s="131" t="s">
        <v>34</v>
      </c>
      <c r="K18" s="131" t="s">
        <v>63</v>
      </c>
      <c r="L18" s="131" t="s">
        <v>113</v>
      </c>
      <c r="M18" s="69"/>
      <c r="N18" s="133" t="s">
        <v>10</v>
      </c>
      <c r="O18" s="133" t="s">
        <v>10</v>
      </c>
      <c r="P18" s="133" t="s">
        <v>10</v>
      </c>
      <c r="Q18" s="155"/>
      <c r="R18" s="133" t="s">
        <v>38</v>
      </c>
      <c r="S18" s="133" t="s">
        <v>32</v>
      </c>
    </row>
    <row r="19" spans="2:19">
      <c r="B19" s="54" t="str">
        <f>$B$7</f>
        <v>CWCS</v>
      </c>
      <c r="C19" s="54" t="str">
        <f>LEFT(B19,5)&amp;RIGHT(E19,3)&amp;"_00_Fur"</f>
        <v>CWCSCOA_00_Fur</v>
      </c>
      <c r="D19" s="106" t="str">
        <f>"Existing commercial - "&amp;RIGHT(B19,2)&amp;" Water Heat "&amp;RIGHT(E19,3)&amp;" Furnace"</f>
        <v>Existing commercial - CS Water Heat COA Furnace</v>
      </c>
      <c r="E19" s="54" t="str">
        <f>COM_Balance!$D$13</f>
        <v>COMCOA</v>
      </c>
      <c r="F19" s="54"/>
      <c r="G19" s="158"/>
      <c r="H19" s="168">
        <f>R19</f>
        <v>2.2389631191119064E-5</v>
      </c>
      <c r="I19" s="165">
        <f>(H19*S19/K19)/L19</f>
        <v>0</v>
      </c>
      <c r="J19" s="72">
        <v>15</v>
      </c>
      <c r="K19" s="72">
        <v>0.15</v>
      </c>
      <c r="L19" s="117">
        <v>31.536000000000001</v>
      </c>
      <c r="M19" s="69"/>
      <c r="N19" s="90">
        <f t="shared" ref="N19:N27" si="0">IF(G19=0,0,I19*L19*K19/G19)</f>
        <v>0</v>
      </c>
      <c r="O19" s="90">
        <f>COM_Balance!D39</f>
        <v>0</v>
      </c>
      <c r="P19" s="90">
        <f>O19</f>
        <v>0</v>
      </c>
      <c r="Q19" s="124">
        <f t="shared" ref="Q19:Q27" si="1">G19</f>
        <v>0</v>
      </c>
      <c r="R19" s="112">
        <f>IF(S39=0,0,SUMPRODUCT(Q19:Q27,O19:O27)/(S39))</f>
        <v>2.2389631191119064E-5</v>
      </c>
      <c r="S19" s="76">
        <f t="shared" ref="S19:S27" si="2">IF($P$39=0,0,Q19*P19/SUMPRODUCT($P$19:$P$27,$Q$19:$Q$27)*$S$39)</f>
        <v>0</v>
      </c>
    </row>
    <row r="20" spans="2:19">
      <c r="B20" s="54" t="str">
        <f t="shared" ref="B20:B27" si="3">$B$7</f>
        <v>CWCS</v>
      </c>
      <c r="C20" s="54" t="str">
        <f>LEFT(B20,5)&amp;RIGHT(E20,3)&amp;"_00_Boi"</f>
        <v>CWCSLPG_00_Boi</v>
      </c>
      <c r="D20" s="106" t="str">
        <f>"Existing commercial - "&amp;RIGHT(B20,2)&amp;" Water Heat "&amp;RIGHT(E20,3)&amp;" Boiler"</f>
        <v>Existing commercial - CS Water Heat LPG Boiler</v>
      </c>
      <c r="E20" s="54" t="str">
        <f>COM_Balance!$E$13</f>
        <v>COMLPG</v>
      </c>
      <c r="F20" s="54"/>
      <c r="G20" s="158">
        <v>0.8</v>
      </c>
      <c r="H20" s="112">
        <f>H19</f>
        <v>2.2389631191119064E-5</v>
      </c>
      <c r="I20" s="165">
        <f t="shared" ref="I20:I27" si="4">(H20*S20/K20)/L20</f>
        <v>4.7157936857146754E-3</v>
      </c>
      <c r="J20" s="72">
        <v>15</v>
      </c>
      <c r="K20" s="72">
        <v>0.15</v>
      </c>
      <c r="L20" s="117">
        <v>31.536000000000001</v>
      </c>
      <c r="M20" s="69"/>
      <c r="N20" s="90">
        <f t="shared" si="0"/>
        <v>2.7884488063630874E-2</v>
      </c>
      <c r="O20" s="90">
        <f>COM_Balance!E39</f>
        <v>2.788448806363087E-2</v>
      </c>
      <c r="P20" s="90">
        <f>O20</f>
        <v>2.788448806363087E-2</v>
      </c>
      <c r="Q20" s="124">
        <f t="shared" si="1"/>
        <v>0.8</v>
      </c>
      <c r="R20" s="112"/>
      <c r="S20" s="76">
        <f t="shared" si="2"/>
        <v>996.33577080774307</v>
      </c>
    </row>
    <row r="21" spans="2:19">
      <c r="B21" s="54" t="str">
        <f t="shared" si="3"/>
        <v>CWCS</v>
      </c>
      <c r="C21" s="54" t="str">
        <f>LEFT(B21,5)&amp;RIGHT(E21,3)&amp;"_00_Boi"</f>
        <v>CWCSOIL_00_Boi</v>
      </c>
      <c r="D21" s="106" t="str">
        <f>"Existing commercial - "&amp;RIGHT(B21,2)&amp;" Water Heat "&amp;RIGHT(E21,3)&amp;" Boiler"</f>
        <v>Existing commercial - CS Water Heat OIL Boiler</v>
      </c>
      <c r="E21" s="54" t="str">
        <f>COM_Balance!$F$13</f>
        <v>COMOIL</v>
      </c>
      <c r="F21" s="54"/>
      <c r="G21" s="158">
        <v>0.8</v>
      </c>
      <c r="H21" s="112">
        <f t="shared" ref="H21:H27" si="5">H20</f>
        <v>2.2389631191119064E-5</v>
      </c>
      <c r="I21" s="165">
        <f t="shared" si="4"/>
        <v>0.11413099758913924</v>
      </c>
      <c r="J21" s="72">
        <v>15</v>
      </c>
      <c r="K21" s="72">
        <v>0.15</v>
      </c>
      <c r="L21" s="117">
        <v>31.536000000000001</v>
      </c>
      <c r="M21" s="69"/>
      <c r="N21" s="90">
        <f t="shared" si="0"/>
        <v>0.67485658874458021</v>
      </c>
      <c r="O21" s="90">
        <f>COM_Balance!F39</f>
        <v>0.67485658874458021</v>
      </c>
      <c r="P21" s="90">
        <f>O21-N31</f>
        <v>0.67485658874458021</v>
      </c>
      <c r="Q21" s="124">
        <f t="shared" si="1"/>
        <v>0.8</v>
      </c>
      <c r="R21" s="112"/>
      <c r="S21" s="76">
        <f t="shared" si="2"/>
        <v>24113.182856259456</v>
      </c>
    </row>
    <row r="22" spans="2:19">
      <c r="B22" s="54" t="str">
        <f t="shared" si="3"/>
        <v>CWCS</v>
      </c>
      <c r="C22" s="54" t="str">
        <f>LEFT(B22,5)&amp;RIGHT(E22,3)&amp;"_00_Boi"</f>
        <v>CWCSGAS_00_Boi</v>
      </c>
      <c r="D22" s="106" t="str">
        <f>"Existing commercial - "&amp;RIGHT(B22,2)&amp;" Water Heat "&amp;RIGHT(E22,3)&amp;" Boiler"</f>
        <v>Existing commercial - CS Water Heat GAS Boiler</v>
      </c>
      <c r="E22" s="54" t="str">
        <f>COM_Balance!$G$13</f>
        <v>COMGAS</v>
      </c>
      <c r="F22" s="54"/>
      <c r="G22" s="158">
        <v>0.8</v>
      </c>
      <c r="H22" s="112">
        <f t="shared" si="5"/>
        <v>2.2389631191119064E-5</v>
      </c>
      <c r="I22" s="165">
        <f t="shared" si="4"/>
        <v>0.15680926162813263</v>
      </c>
      <c r="J22" s="72">
        <v>15</v>
      </c>
      <c r="K22" s="72">
        <v>0.15</v>
      </c>
      <c r="L22" s="117">
        <v>31.536000000000001</v>
      </c>
      <c r="M22" s="69"/>
      <c r="N22" s="90">
        <f t="shared" si="0"/>
        <v>0.92721316400714826</v>
      </c>
      <c r="O22" s="90">
        <f>COM_Balance!G39</f>
        <v>0.92721316400714815</v>
      </c>
      <c r="P22" s="90">
        <f>O22-N33</f>
        <v>0.92721316400714815</v>
      </c>
      <c r="Q22" s="124">
        <f t="shared" si="1"/>
        <v>0.8</v>
      </c>
      <c r="R22" s="112"/>
      <c r="S22" s="76">
        <f t="shared" si="2"/>
        <v>33130.091553269747</v>
      </c>
    </row>
    <row r="23" spans="2:19">
      <c r="B23" s="54" t="str">
        <f t="shared" si="3"/>
        <v>CWCS</v>
      </c>
      <c r="C23" s="54" t="str">
        <f>LEFT(B23,5)&amp;RIGHT(E23,3)&amp;"_00_Boi"</f>
        <v>CWCSBIO_00_Boi</v>
      </c>
      <c r="D23" s="106" t="str">
        <f>"Existing commercial - "&amp;RIGHT(B23,2)&amp;" Water Heat "&amp;RIGHT(E23,3)&amp;" Boiler"</f>
        <v>Existing commercial - CS Water Heat BIO Boiler</v>
      </c>
      <c r="E23" s="54" t="str">
        <f>COM_Balance!$H$13</f>
        <v>COMBIO</v>
      </c>
      <c r="F23" s="54"/>
      <c r="G23" s="158">
        <v>0.8</v>
      </c>
      <c r="H23" s="112">
        <f t="shared" si="5"/>
        <v>2.2389631191119064E-5</v>
      </c>
      <c r="I23" s="165">
        <f t="shared" si="4"/>
        <v>1.2155868110028147E-2</v>
      </c>
      <c r="J23" s="72">
        <v>15</v>
      </c>
      <c r="K23" s="72">
        <v>0.15</v>
      </c>
      <c r="L23" s="117">
        <v>31.536000000000001</v>
      </c>
      <c r="M23" s="69"/>
      <c r="N23" s="90">
        <f t="shared" si="0"/>
        <v>7.187764813459642E-2</v>
      </c>
      <c r="O23" s="90">
        <f>COM_Balance!H39</f>
        <v>7.1877648134596434E-2</v>
      </c>
      <c r="P23" s="90">
        <f>O23-N35</f>
        <v>7.1877648134596434E-2</v>
      </c>
      <c r="Q23" s="124">
        <f t="shared" si="1"/>
        <v>0.8</v>
      </c>
      <c r="R23" s="112"/>
      <c r="S23" s="76">
        <f t="shared" si="2"/>
        <v>2568.2476864775508</v>
      </c>
    </row>
    <row r="24" spans="2:19">
      <c r="B24" s="54" t="str">
        <f t="shared" si="3"/>
        <v>CWCS</v>
      </c>
      <c r="C24" s="54" t="str">
        <f>LEFT(B24,5)&amp;RIGHT(E24,3)&amp;"_00_Boi"</f>
        <v>CWCSBGS_00_Boi</v>
      </c>
      <c r="D24" s="106" t="str">
        <f>"Existing commercial - "&amp;RIGHT(B24,2)&amp;" Water Heat "&amp;RIGHT(E24,3)&amp;" Boiler"</f>
        <v>Existing commercial - CS Water Heat BGS Boiler</v>
      </c>
      <c r="E24" s="54" t="str">
        <f>COM_Balance!$I$13</f>
        <v>COMBGS</v>
      </c>
      <c r="F24" s="54"/>
      <c r="G24" s="158">
        <v>0.8</v>
      </c>
      <c r="H24" s="112">
        <f t="shared" si="5"/>
        <v>2.2389631191119064E-5</v>
      </c>
      <c r="I24" s="165">
        <f>(H24*S24/K24)/L24</f>
        <v>0</v>
      </c>
      <c r="J24" s="72">
        <v>15</v>
      </c>
      <c r="K24" s="72">
        <v>0.15</v>
      </c>
      <c r="L24" s="117">
        <v>31.536000000000001</v>
      </c>
      <c r="M24" s="69"/>
      <c r="N24" s="90">
        <f>IF(G24=0,0,I24*L24*K24/G24)</f>
        <v>0</v>
      </c>
      <c r="O24" s="90">
        <f>COM_Balance!I39</f>
        <v>0</v>
      </c>
      <c r="P24" s="90">
        <f>O24-N36</f>
        <v>0</v>
      </c>
      <c r="Q24" s="124">
        <f>G24</f>
        <v>0.8</v>
      </c>
      <c r="R24" s="112"/>
      <c r="S24" s="76">
        <f t="shared" si="2"/>
        <v>0</v>
      </c>
    </row>
    <row r="25" spans="2:19">
      <c r="B25" s="54" t="str">
        <f t="shared" si="3"/>
        <v>CWCS</v>
      </c>
      <c r="C25" s="54" t="str">
        <f>LEFT(B25,5)&amp;RIGHT(E25,3)&amp;"_00"</f>
        <v>CWCSSOL_00</v>
      </c>
      <c r="D25" s="106" t="str">
        <f>"Existing commercial - "&amp;RIGHT(B25,2)&amp;" Water Heat "&amp;RIGHT(E25,3)&amp;" Thermal"</f>
        <v>Existing commercial - CS Water Heat SOL Thermal</v>
      </c>
      <c r="E25" s="54" t="str">
        <f>COM_Balance!$J$13</f>
        <v>COMSOL</v>
      </c>
      <c r="F25" s="54"/>
      <c r="G25" s="158">
        <v>1</v>
      </c>
      <c r="H25" s="112">
        <f>H23</f>
        <v>2.2389631191119064E-5</v>
      </c>
      <c r="I25" s="165">
        <f t="shared" si="4"/>
        <v>5.89446853903593E-4</v>
      </c>
      <c r="J25" s="72">
        <v>15</v>
      </c>
      <c r="K25" s="72">
        <v>0.15</v>
      </c>
      <c r="L25" s="117">
        <v>31.536000000000001</v>
      </c>
      <c r="M25" s="69"/>
      <c r="N25" s="90">
        <f t="shared" si="0"/>
        <v>2.7883193977055565E-3</v>
      </c>
      <c r="O25" s="90">
        <f>COM_Balance!J39</f>
        <v>2.788319397705556E-3</v>
      </c>
      <c r="P25" s="90">
        <f>O25</f>
        <v>2.788319397705556E-3</v>
      </c>
      <c r="Q25" s="124">
        <f t="shared" si="1"/>
        <v>1</v>
      </c>
      <c r="R25" s="112"/>
      <c r="S25" s="76">
        <f t="shared" si="2"/>
        <v>124.53619150330418</v>
      </c>
    </row>
    <row r="26" spans="2:19">
      <c r="B26" s="54" t="str">
        <f t="shared" si="3"/>
        <v>CWCS</v>
      </c>
      <c r="C26" s="54" t="str">
        <f>LEFT(B26,5)&amp;RIGHT(E26,3)&amp;"_00"</f>
        <v>CWCSGEO_00</v>
      </c>
      <c r="D26" s="106" t="str">
        <f>"Existing commercial - "&amp;RIGHT(B26,2)&amp;" Water Heat "&amp;RIGHT(E26,3)</f>
        <v>Existing commercial - CS Water Heat GEO</v>
      </c>
      <c r="E26" s="54" t="str">
        <f>COM_Balance!$K$13</f>
        <v>COMGEO</v>
      </c>
      <c r="F26" s="54"/>
      <c r="G26" s="158">
        <v>1</v>
      </c>
      <c r="H26" s="112">
        <f t="shared" si="5"/>
        <v>2.2389631191119064E-5</v>
      </c>
      <c r="I26" s="165">
        <f t="shared" si="4"/>
        <v>0</v>
      </c>
      <c r="J26" s="72">
        <v>15</v>
      </c>
      <c r="K26" s="72">
        <v>0.15</v>
      </c>
      <c r="L26" s="117">
        <v>31.536000000000001</v>
      </c>
      <c r="M26" s="69"/>
      <c r="N26" s="90">
        <f t="shared" si="0"/>
        <v>0</v>
      </c>
      <c r="O26" s="90">
        <f>COM_Balance!K39</f>
        <v>0</v>
      </c>
      <c r="P26" s="90">
        <f>O26</f>
        <v>0</v>
      </c>
      <c r="Q26" s="124">
        <f t="shared" si="1"/>
        <v>1</v>
      </c>
      <c r="R26" s="112"/>
      <c r="S26" s="76">
        <f t="shared" si="2"/>
        <v>0</v>
      </c>
    </row>
    <row r="27" spans="2:19">
      <c r="B27" s="54" t="str">
        <f t="shared" si="3"/>
        <v>CWCS</v>
      </c>
      <c r="C27" s="54" t="str">
        <f>LEFT(B27,5)&amp;RIGHT(E27,3)&amp;"_00_Boi"</f>
        <v>CWCSELC_00_Boi</v>
      </c>
      <c r="D27" s="106" t="str">
        <f>"Existing commercial - "&amp;RIGHT(B27,2)&amp;" Water Heat "&amp;RIGHT(E27,3)&amp;" Heater"</f>
        <v>Existing commercial - CS Water Heat ELC Heater</v>
      </c>
      <c r="E27" s="54" t="str">
        <f>COM_Balance!$L$13</f>
        <v>COMELC</v>
      </c>
      <c r="F27" s="54"/>
      <c r="G27" s="158">
        <v>0.85</v>
      </c>
      <c r="H27" s="112">
        <f t="shared" si="5"/>
        <v>2.2389631191119064E-5</v>
      </c>
      <c r="I27" s="165">
        <f t="shared" si="4"/>
        <v>3.4606591108123613E-2</v>
      </c>
      <c r="J27" s="72">
        <v>15</v>
      </c>
      <c r="K27" s="72">
        <v>0.15</v>
      </c>
      <c r="L27" s="117">
        <v>31.536000000000001</v>
      </c>
      <c r="M27" s="69"/>
      <c r="N27" s="90">
        <f t="shared" si="0"/>
        <v>0.19259178656219761</v>
      </c>
      <c r="O27" s="90">
        <f>COM_Balance!L39</f>
        <v>0.19259178656219761</v>
      </c>
      <c r="P27" s="90">
        <f>O27-N37</f>
        <v>0.19259178656219761</v>
      </c>
      <c r="Q27" s="124">
        <f t="shared" si="1"/>
        <v>0.85</v>
      </c>
      <c r="R27" s="112"/>
      <c r="S27" s="76">
        <f t="shared" si="2"/>
        <v>7311.554941682175</v>
      </c>
    </row>
    <row r="28" spans="2:19">
      <c r="B28" s="162" t="s">
        <v>23</v>
      </c>
      <c r="C28" s="160" t="str">
        <f>COM_CH!C42</f>
        <v>CHCSHET_00_DH</v>
      </c>
      <c r="D28" s="160" t="str">
        <f>COM_CH!D42</f>
        <v>Existing commercial - CS Space Heat HET Heat Exchanger</v>
      </c>
      <c r="E28" s="160" t="str">
        <f>COM_Balance!$M$13</f>
        <v>COMHET</v>
      </c>
      <c r="F28" s="160" t="str">
        <f>COM_CH!G42</f>
        <v>CHCS</v>
      </c>
      <c r="G28" s="161"/>
      <c r="H28" s="171"/>
      <c r="I28" s="160"/>
      <c r="J28" s="160"/>
      <c r="K28" s="160"/>
      <c r="L28" s="160"/>
      <c r="M28" s="69"/>
      <c r="N28" s="76"/>
      <c r="O28" s="54"/>
      <c r="P28" s="54"/>
      <c r="Q28" s="166"/>
      <c r="R28" s="112"/>
      <c r="S28" s="54"/>
    </row>
    <row r="29" spans="2:19">
      <c r="B29" s="162" t="s">
        <v>23</v>
      </c>
      <c r="C29" s="160"/>
      <c r="D29" s="160"/>
      <c r="E29" s="160"/>
      <c r="F29" s="160" t="str">
        <f>COM_CH!G43</f>
        <v>CWCS</v>
      </c>
      <c r="G29" s="161">
        <f>COM_CH!I43</f>
        <v>0.9</v>
      </c>
      <c r="H29" s="171"/>
      <c r="I29" s="161">
        <f>COM_CH!M42</f>
        <v>0</v>
      </c>
      <c r="J29" s="160"/>
      <c r="K29" s="160">
        <f>COM_CH!O42</f>
        <v>0.25</v>
      </c>
      <c r="L29" s="160">
        <v>31.536000000000001</v>
      </c>
      <c r="M29" s="69"/>
      <c r="N29" s="90">
        <f>IF(G29=0,0,I29*L29*K29/G29)*(1-COM_CH!J42)</f>
        <v>0</v>
      </c>
      <c r="O29" s="54"/>
      <c r="P29" s="54"/>
      <c r="Q29" s="124">
        <f>G29</f>
        <v>0.9</v>
      </c>
      <c r="R29" s="112"/>
      <c r="S29" s="76">
        <f>COM_CH!V42</f>
        <v>0</v>
      </c>
    </row>
    <row r="30" spans="2:19">
      <c r="B30" s="162" t="s">
        <v>23</v>
      </c>
      <c r="C30" s="160" t="str">
        <f>COM_CH!C22</f>
        <v>CHCSOIL_00_DBoi</v>
      </c>
      <c r="D30" s="160" t="str">
        <f>COM_CH!D22</f>
        <v>Existing commercial - CS Space Heat OIL Dual Boiler</v>
      </c>
      <c r="E30" s="160" t="str">
        <f>COM_CH!F22</f>
        <v>COMOIL</v>
      </c>
      <c r="F30" s="160" t="str">
        <f>COM_CH!G22</f>
        <v>CHCS</v>
      </c>
      <c r="G30" s="160"/>
      <c r="H30" s="171"/>
      <c r="I30" s="160"/>
      <c r="J30" s="160"/>
      <c r="K30" s="160"/>
      <c r="L30" s="160"/>
      <c r="M30" s="69"/>
      <c r="N30" s="116"/>
      <c r="O30" s="54"/>
      <c r="P30" s="54"/>
      <c r="Q30" s="166"/>
      <c r="R30" s="112"/>
      <c r="S30" s="54"/>
    </row>
    <row r="31" spans="2:19">
      <c r="B31" s="162" t="s">
        <v>23</v>
      </c>
      <c r="C31" s="160"/>
      <c r="D31" s="160"/>
      <c r="E31" s="160"/>
      <c r="F31" s="160" t="str">
        <f>COM_CH!G23</f>
        <v>CWCS</v>
      </c>
      <c r="G31" s="161">
        <f>COM_CH!I23</f>
        <v>0</v>
      </c>
      <c r="H31" s="171"/>
      <c r="I31" s="172">
        <f>COM_CH!M22</f>
        <v>0</v>
      </c>
      <c r="J31" s="160"/>
      <c r="K31" s="160">
        <f>COM_CH!O22</f>
        <v>0.25</v>
      </c>
      <c r="L31" s="160">
        <v>31.536000000000001</v>
      </c>
      <c r="M31" s="69"/>
      <c r="N31" s="90">
        <f>IF(G31=0,0,I31*L31*K31/G31)*(1-COM_CH!J22)</f>
        <v>0</v>
      </c>
      <c r="O31" s="54"/>
      <c r="P31" s="54"/>
      <c r="Q31" s="124">
        <f>G31</f>
        <v>0</v>
      </c>
      <c r="R31" s="112"/>
      <c r="S31" s="76">
        <f>COM_CH!V22</f>
        <v>0</v>
      </c>
    </row>
    <row r="32" spans="2:19">
      <c r="B32" s="162" t="s">
        <v>23</v>
      </c>
      <c r="C32" s="160" t="str">
        <f>COM_CH!C27</f>
        <v>CHCSGAS_00_DBoi</v>
      </c>
      <c r="D32" s="160" t="str">
        <f>COM_CH!D27</f>
        <v>Existing commercial - CS Space Heat GAS Dual Boiler</v>
      </c>
      <c r="E32" s="160" t="str">
        <f>COM_CH!F27</f>
        <v>COMGAS</v>
      </c>
      <c r="F32" s="160" t="str">
        <f>COM_CH!G27</f>
        <v>CHCS</v>
      </c>
      <c r="G32" s="160"/>
      <c r="H32" s="171"/>
      <c r="I32" s="163"/>
      <c r="J32" s="160"/>
      <c r="K32" s="160"/>
      <c r="L32" s="160"/>
      <c r="M32" s="69"/>
      <c r="N32" s="116"/>
      <c r="O32" s="76"/>
      <c r="P32" s="76"/>
      <c r="Q32" s="124"/>
      <c r="R32" s="112"/>
      <c r="S32" s="76"/>
    </row>
    <row r="33" spans="2:19">
      <c r="B33" s="162" t="s">
        <v>23</v>
      </c>
      <c r="C33" s="160"/>
      <c r="D33" s="160"/>
      <c r="E33" s="160"/>
      <c r="F33" s="160" t="str">
        <f>COM_CH!G28</f>
        <v>CWCS</v>
      </c>
      <c r="G33" s="161">
        <f>COM_CH!I28</f>
        <v>0</v>
      </c>
      <c r="H33" s="171"/>
      <c r="I33" s="161">
        <f>COM_CH!M27</f>
        <v>0</v>
      </c>
      <c r="J33" s="160"/>
      <c r="K33" s="160">
        <f>COM_CH!O27</f>
        <v>0.25</v>
      </c>
      <c r="L33" s="160">
        <v>31.536000000000001</v>
      </c>
      <c r="M33" s="69"/>
      <c r="N33" s="90">
        <f>IF(G33=0,0,I33*L33*K33/G33)*(1-COM_CH!J27)</f>
        <v>0</v>
      </c>
      <c r="O33" s="76"/>
      <c r="P33" s="76"/>
      <c r="Q33" s="124">
        <f>G33</f>
        <v>0</v>
      </c>
      <c r="R33" s="112"/>
      <c r="S33" s="76">
        <f>COM_CH!V27</f>
        <v>0</v>
      </c>
    </row>
    <row r="34" spans="2:19">
      <c r="B34" s="162" t="s">
        <v>23</v>
      </c>
      <c r="C34" s="160" t="str">
        <f>COM_CH!C30</f>
        <v>CHCSBIO_00_DBoi</v>
      </c>
      <c r="D34" s="160" t="str">
        <f>COM_CH!D30</f>
        <v>Existing commercial - CS Space Heat BIO Dual Boiler</v>
      </c>
      <c r="E34" s="160" t="str">
        <f>COM_CH!F30</f>
        <v>COMBIO</v>
      </c>
      <c r="F34" s="160" t="str">
        <f>COM_CH!G30</f>
        <v>CHCS</v>
      </c>
      <c r="G34" s="160"/>
      <c r="H34" s="171"/>
      <c r="I34" s="163"/>
      <c r="J34" s="160"/>
      <c r="K34" s="160"/>
      <c r="L34" s="160"/>
      <c r="M34" s="69"/>
      <c r="N34" s="116"/>
      <c r="O34" s="76"/>
      <c r="P34" s="76"/>
      <c r="Q34" s="124"/>
      <c r="R34" s="112"/>
      <c r="S34" s="76"/>
    </row>
    <row r="35" spans="2:19">
      <c r="B35" s="162" t="s">
        <v>23</v>
      </c>
      <c r="C35" s="160"/>
      <c r="D35" s="160"/>
      <c r="E35" s="160"/>
      <c r="F35" s="160" t="str">
        <f>COM_CH!G31</f>
        <v>CWCS</v>
      </c>
      <c r="G35" s="161">
        <f>COM_CH!I31</f>
        <v>0</v>
      </c>
      <c r="H35" s="171"/>
      <c r="I35" s="161">
        <f>COM_CH!M30</f>
        <v>0</v>
      </c>
      <c r="J35" s="160"/>
      <c r="K35" s="160">
        <f>COM_CH!O30</f>
        <v>0.25</v>
      </c>
      <c r="L35" s="160">
        <v>31.536000000000001</v>
      </c>
      <c r="M35" s="69"/>
      <c r="N35" s="90">
        <f>IF(G35=0,0,I35*L35*K35/G35)*(1-COM_CH!J30)</f>
        <v>0</v>
      </c>
      <c r="O35" s="76"/>
      <c r="P35" s="76"/>
      <c r="Q35" s="124">
        <f>G35</f>
        <v>0</v>
      </c>
      <c r="R35" s="112"/>
      <c r="S35" s="76">
        <f>COM_CH!V30</f>
        <v>0</v>
      </c>
    </row>
    <row r="36" spans="2:19">
      <c r="B36" s="162" t="s">
        <v>23</v>
      </c>
      <c r="C36" s="160" t="str">
        <f>COM_CH!C40</f>
        <v>CHCSELC_00_DBoi</v>
      </c>
      <c r="D36" s="160" t="str">
        <f>COM_CH!D40</f>
        <v>Existing commercial - CS Space Heat ELC Dual Boiler</v>
      </c>
      <c r="E36" s="160" t="str">
        <f>COM_CH!F40</f>
        <v>COMELC</v>
      </c>
      <c r="F36" s="160" t="str">
        <f>COM_CH!G40</f>
        <v>CHCS</v>
      </c>
      <c r="G36" s="160"/>
      <c r="H36" s="171"/>
      <c r="I36" s="163"/>
      <c r="J36" s="160"/>
      <c r="K36" s="160"/>
      <c r="L36" s="160"/>
      <c r="M36" s="69"/>
      <c r="N36" s="116"/>
      <c r="O36" s="76"/>
      <c r="P36" s="76"/>
      <c r="Q36" s="124"/>
      <c r="R36" s="112"/>
      <c r="S36" s="76"/>
    </row>
    <row r="37" spans="2:19">
      <c r="B37" s="162" t="s">
        <v>23</v>
      </c>
      <c r="C37" s="160"/>
      <c r="D37" s="160"/>
      <c r="E37" s="160"/>
      <c r="F37" s="160" t="str">
        <f>COM_CH!G41</f>
        <v>CWCS</v>
      </c>
      <c r="G37" s="161">
        <f>COM_CH!I41</f>
        <v>0</v>
      </c>
      <c r="H37" s="171"/>
      <c r="I37" s="161">
        <f>COM_CH!M40</f>
        <v>0</v>
      </c>
      <c r="J37" s="160"/>
      <c r="K37" s="160">
        <f>COM_CH!O40</f>
        <v>0.25</v>
      </c>
      <c r="L37" s="160">
        <v>31.536000000000001</v>
      </c>
      <c r="M37" s="69"/>
      <c r="N37" s="90">
        <f>IF(G37=0,0,I37*L37*K37/G37)*(1-COM_CH!J40)</f>
        <v>0</v>
      </c>
      <c r="O37" s="76"/>
      <c r="P37" s="76"/>
      <c r="Q37" s="124">
        <f>G37</f>
        <v>0</v>
      </c>
      <c r="R37" s="112"/>
      <c r="S37" s="76">
        <f>COM_CH!V40</f>
        <v>0</v>
      </c>
    </row>
    <row r="38" spans="2:19">
      <c r="B38" s="162" t="s">
        <v>23</v>
      </c>
      <c r="C38" s="160"/>
      <c r="D38" s="160"/>
      <c r="E38" s="160"/>
      <c r="F38" s="160"/>
      <c r="G38" s="160"/>
      <c r="H38" s="161"/>
      <c r="I38" s="160"/>
      <c r="J38" s="160"/>
      <c r="K38" s="160"/>
      <c r="L38" s="160"/>
      <c r="M38" s="69"/>
      <c r="N38" s="76"/>
      <c r="O38" s="54"/>
      <c r="P38" s="54"/>
      <c r="Q38" s="166"/>
      <c r="R38" s="73"/>
      <c r="S38" s="54"/>
    </row>
    <row r="39" spans="2:19">
      <c r="B39" s="108" t="s">
        <v>84</v>
      </c>
      <c r="C39" s="54"/>
      <c r="D39" s="54"/>
      <c r="E39" s="54"/>
      <c r="F39" s="54"/>
      <c r="G39" s="54"/>
      <c r="H39" s="73"/>
      <c r="I39" s="113">
        <f>SUM(I19:I37)</f>
        <v>0.32300795897504198</v>
      </c>
      <c r="J39" s="54"/>
      <c r="K39" s="54"/>
      <c r="L39" s="54"/>
      <c r="M39" s="69"/>
      <c r="N39" s="116">
        <f>SUM(N19:N27)</f>
        <v>1.8972119949098589</v>
      </c>
      <c r="O39" s="116">
        <f>SUM(O19:O37)</f>
        <v>1.8972119949098589</v>
      </c>
      <c r="P39" s="116">
        <f>SUM(P19:P37)</f>
        <v>1.8972119949098589</v>
      </c>
      <c r="Q39" s="166"/>
      <c r="R39" s="73"/>
      <c r="S39" s="174">
        <f>COM_Balance!C62-SUM(S29:S38)</f>
        <v>68243.948999999993</v>
      </c>
    </row>
    <row r="40" spans="2:19">
      <c r="H40" s="94"/>
      <c r="M40" s="69"/>
      <c r="R40" s="94"/>
    </row>
    <row r="41" spans="2:19">
      <c r="G41" s="95"/>
      <c r="H41" s="94"/>
      <c r="M41" s="69"/>
      <c r="Q41" s="25"/>
      <c r="R41" s="94"/>
    </row>
    <row r="42" spans="2:19" ht="18.75">
      <c r="B42" s="66" t="str">
        <f>"Base-year technologies for commercial water heating ("&amp;COM_Balance!$S$12&amp;")"</f>
        <v>Base-year technologies for commercial water heating (Public Services)</v>
      </c>
      <c r="C42" s="64"/>
      <c r="D42" s="64"/>
      <c r="E42" s="64"/>
      <c r="F42" s="68" t="s">
        <v>80</v>
      </c>
      <c r="G42" s="101"/>
      <c r="H42" s="103"/>
      <c r="I42" s="103"/>
      <c r="J42" s="104"/>
      <c r="K42" s="103"/>
      <c r="M42" s="69"/>
      <c r="N42" s="90" t="s">
        <v>238</v>
      </c>
      <c r="O42" s="90"/>
      <c r="P42" s="90"/>
      <c r="Q42" s="123" t="s">
        <v>94</v>
      </c>
      <c r="R42" s="134"/>
      <c r="S42" s="85"/>
    </row>
    <row r="43" spans="2:19" ht="45.75" thickBot="1">
      <c r="B43" s="127" t="s">
        <v>22</v>
      </c>
      <c r="C43" s="127" t="s">
        <v>15</v>
      </c>
      <c r="D43" s="127" t="s">
        <v>16</v>
      </c>
      <c r="E43" s="127" t="s">
        <v>39</v>
      </c>
      <c r="F43" s="127" t="s">
        <v>40</v>
      </c>
      <c r="G43" s="128" t="s">
        <v>82</v>
      </c>
      <c r="H43" s="128" t="s">
        <v>115</v>
      </c>
      <c r="I43" s="128" t="s">
        <v>29</v>
      </c>
      <c r="J43" s="128" t="s">
        <v>30</v>
      </c>
      <c r="K43" s="128" t="s">
        <v>111</v>
      </c>
      <c r="L43" s="128" t="s">
        <v>31</v>
      </c>
      <c r="M43" s="69"/>
      <c r="N43" s="125" t="s">
        <v>127</v>
      </c>
      <c r="O43" s="125" t="s">
        <v>129</v>
      </c>
      <c r="P43" s="125" t="s">
        <v>130</v>
      </c>
      <c r="Q43" s="167" t="s">
        <v>146</v>
      </c>
      <c r="R43" s="125" t="s">
        <v>100</v>
      </c>
      <c r="S43" s="125" t="s">
        <v>101</v>
      </c>
    </row>
    <row r="44" spans="2:19" ht="47.25">
      <c r="B44" s="131" t="s">
        <v>235</v>
      </c>
      <c r="C44" s="131"/>
      <c r="D44" s="131"/>
      <c r="E44" s="131"/>
      <c r="F44" s="131"/>
      <c r="G44" s="131"/>
      <c r="H44" s="131" t="s">
        <v>38</v>
      </c>
      <c r="I44" s="131" t="s">
        <v>114</v>
      </c>
      <c r="J44" s="131" t="s">
        <v>34</v>
      </c>
      <c r="K44" s="131" t="s">
        <v>63</v>
      </c>
      <c r="L44" s="131" t="s">
        <v>113</v>
      </c>
      <c r="M44" s="69"/>
      <c r="N44" s="133" t="s">
        <v>10</v>
      </c>
      <c r="O44" s="133" t="s">
        <v>10</v>
      </c>
      <c r="P44" s="133" t="s">
        <v>10</v>
      </c>
      <c r="Q44" s="155"/>
      <c r="R44" s="133" t="s">
        <v>38</v>
      </c>
      <c r="S44" s="133" t="s">
        <v>32</v>
      </c>
    </row>
    <row r="45" spans="2:19">
      <c r="B45" s="54" t="str">
        <f>$B$8</f>
        <v>CWPS</v>
      </c>
      <c r="C45" s="54" t="str">
        <f>LEFT(B45,5)&amp;RIGHT(E45,3)&amp;"_00_Fur"</f>
        <v>CWPSCOA_00_Fur</v>
      </c>
      <c r="D45" s="106" t="str">
        <f>"Existing commercial - "&amp;RIGHT(B45,2)&amp;" Water Heat "&amp;RIGHT(E45,3)&amp;" Furnace"</f>
        <v>Existing commercial - PS Water Heat COA Furnace</v>
      </c>
      <c r="E45" s="54" t="str">
        <f>COM_Balance!$D$13</f>
        <v>COMCOA</v>
      </c>
      <c r="F45" s="54"/>
      <c r="G45" s="158"/>
      <c r="H45" s="169">
        <f>R45</f>
        <v>2.8368201562796547E-5</v>
      </c>
      <c r="I45" s="165">
        <f t="shared" ref="I45:I53" si="6">(H45*S45/K45)/L45</f>
        <v>0</v>
      </c>
      <c r="J45" s="72">
        <v>15</v>
      </c>
      <c r="K45" s="72">
        <v>0.15</v>
      </c>
      <c r="L45" s="117">
        <v>31.536000000000001</v>
      </c>
      <c r="M45" s="69"/>
      <c r="N45" s="90">
        <f t="shared" ref="N45:N53" si="7">IF(G45=0,0,I45*L45*K45/G45)</f>
        <v>0</v>
      </c>
      <c r="O45" s="90">
        <f>COM_Balance!D40</f>
        <v>0</v>
      </c>
      <c r="P45" s="90">
        <f>O45</f>
        <v>0</v>
      </c>
      <c r="Q45" s="124">
        <f t="shared" ref="Q45:Q53" si="8">G45</f>
        <v>0</v>
      </c>
      <c r="R45" s="170">
        <f>IF(S65=0,0,SUMPRODUCT(Q45:Q53,O45:O53)/(S65))</f>
        <v>2.8368201562796547E-5</v>
      </c>
      <c r="S45" s="76">
        <f t="shared" ref="S45:S53" si="9">IF($P$65=0,0,Q45*P45/SUMPRODUCT($P$45:$P$53,$Q$45:$Q$53)*$S$65)</f>
        <v>0</v>
      </c>
    </row>
    <row r="46" spans="2:19">
      <c r="B46" s="54" t="str">
        <f t="shared" ref="B46:B53" si="10">$B$8</f>
        <v>CWPS</v>
      </c>
      <c r="C46" s="54" t="str">
        <f>LEFT(B46,5)&amp;RIGHT(E46,3)&amp;"_00_Boi"</f>
        <v>CWPSLPG_00_Boi</v>
      </c>
      <c r="D46" s="106" t="str">
        <f>"Existing commercial - "&amp;RIGHT(B46,2)&amp;" Water Heat "&amp;RIGHT(E46,3)&amp;" Boiler"</f>
        <v>Existing commercial - PS Water Heat LPG Boiler</v>
      </c>
      <c r="E46" s="54" t="str">
        <f>COM_Balance!$E$13</f>
        <v>COMLPG</v>
      </c>
      <c r="F46" s="54"/>
      <c r="G46" s="158">
        <v>0.8</v>
      </c>
      <c r="H46" s="170">
        <f>H45</f>
        <v>2.8368201562796547E-5</v>
      </c>
      <c r="I46" s="165">
        <f t="shared" si="6"/>
        <v>1.6193157872309892E-3</v>
      </c>
      <c r="J46" s="72">
        <v>15</v>
      </c>
      <c r="K46" s="72">
        <v>0.15</v>
      </c>
      <c r="L46" s="117">
        <v>31.536000000000001</v>
      </c>
      <c r="M46" s="69"/>
      <c r="N46" s="90">
        <f t="shared" si="7"/>
        <v>9.5750142498968391E-3</v>
      </c>
      <c r="O46" s="90">
        <f>COM_Balance!E40</f>
        <v>9.5750142498968391E-3</v>
      </c>
      <c r="P46" s="90">
        <f>O46</f>
        <v>9.5750142498968391E-3</v>
      </c>
      <c r="Q46" s="124">
        <f t="shared" si="8"/>
        <v>0.8</v>
      </c>
      <c r="R46" s="170"/>
      <c r="S46" s="76">
        <f t="shared" si="9"/>
        <v>270.02104391288543</v>
      </c>
    </row>
    <row r="47" spans="2:19">
      <c r="B47" s="54" t="str">
        <f t="shared" si="10"/>
        <v>CWPS</v>
      </c>
      <c r="C47" s="54" t="str">
        <f>LEFT(B47,5)&amp;RIGHT(E47,3)&amp;"_00_Boi"</f>
        <v>CWPSOIL_00_Boi</v>
      </c>
      <c r="D47" s="106" t="str">
        <f>"Existing commercial - "&amp;RIGHT(B47,2)&amp;" Water Heat "&amp;RIGHT(E47,3)&amp;" Boiler"</f>
        <v>Existing commercial - PS Water Heat OIL Boiler</v>
      </c>
      <c r="E47" s="54" t="str">
        <f>COM_Balance!$F$13</f>
        <v>COMOIL</v>
      </c>
      <c r="F47" s="54"/>
      <c r="G47" s="158">
        <v>0.8</v>
      </c>
      <c r="H47" s="170">
        <f t="shared" ref="H47:H53" si="11">H46</f>
        <v>2.8368201562796547E-5</v>
      </c>
      <c r="I47" s="165">
        <f t="shared" si="6"/>
        <v>5.946903852686701E-2</v>
      </c>
      <c r="J47" s="72">
        <v>15</v>
      </c>
      <c r="K47" s="72">
        <v>0.15</v>
      </c>
      <c r="L47" s="117">
        <v>31.536000000000001</v>
      </c>
      <c r="M47" s="69"/>
      <c r="N47" s="90">
        <f t="shared" si="7"/>
        <v>0.35164042480936464</v>
      </c>
      <c r="O47" s="90">
        <f>COM_Balance!F40</f>
        <v>0.35164042480936464</v>
      </c>
      <c r="P47" s="90">
        <f>O47-N57</f>
        <v>0.35164042480936464</v>
      </c>
      <c r="Q47" s="124">
        <f t="shared" si="8"/>
        <v>0.8</v>
      </c>
      <c r="R47" s="170"/>
      <c r="S47" s="76">
        <f t="shared" si="9"/>
        <v>9916.4671833274951</v>
      </c>
    </row>
    <row r="48" spans="2:19">
      <c r="B48" s="54" t="str">
        <f t="shared" si="10"/>
        <v>CWPS</v>
      </c>
      <c r="C48" s="54" t="str">
        <f>LEFT(B48,5)&amp;RIGHT(E48,3)&amp;"_00_Boi"</f>
        <v>CWPSGAS_00_Boi</v>
      </c>
      <c r="D48" s="106" t="str">
        <f>"Existing commercial - "&amp;RIGHT(B48,2)&amp;" Water Heat "&amp;RIGHT(E48,3)&amp;" Boiler"</f>
        <v>Existing commercial - PS Water Heat GAS Boiler</v>
      </c>
      <c r="E48" s="54" t="str">
        <f>COM_Balance!$G$13</f>
        <v>COMGAS</v>
      </c>
      <c r="F48" s="54"/>
      <c r="G48" s="158">
        <v>0.8</v>
      </c>
      <c r="H48" s="170">
        <f t="shared" si="11"/>
        <v>2.8368201562796547E-5</v>
      </c>
      <c r="I48" s="165">
        <f t="shared" si="6"/>
        <v>0.20102162261419371</v>
      </c>
      <c r="J48" s="72">
        <v>15</v>
      </c>
      <c r="K48" s="72">
        <v>0.15</v>
      </c>
      <c r="L48" s="117">
        <v>31.536000000000001</v>
      </c>
      <c r="M48" s="69"/>
      <c r="N48" s="90">
        <f t="shared" si="7"/>
        <v>1.1886408545177274</v>
      </c>
      <c r="O48" s="90">
        <f>COM_Balance!G40</f>
        <v>1.1886408545177274</v>
      </c>
      <c r="P48" s="90">
        <f>O48-N59</f>
        <v>1.1886408545177274</v>
      </c>
      <c r="Q48" s="124">
        <f t="shared" si="8"/>
        <v>0.8</v>
      </c>
      <c r="R48" s="170"/>
      <c r="S48" s="76">
        <f t="shared" si="9"/>
        <v>33520.372502614176</v>
      </c>
    </row>
    <row r="49" spans="2:19">
      <c r="B49" s="54" t="str">
        <f t="shared" si="10"/>
        <v>CWPS</v>
      </c>
      <c r="C49" s="54" t="str">
        <f>LEFT(B49,5)&amp;RIGHT(E49,3)&amp;"_00_Boi"</f>
        <v>CWPSBIO_00_Boi</v>
      </c>
      <c r="D49" s="106" t="str">
        <f>"Existing commercial - "&amp;RIGHT(B49,2)&amp;" Water Heat "&amp;RIGHT(E49,3)&amp;" Boiler"</f>
        <v>Existing commercial - PS Water Heat BIO Boiler</v>
      </c>
      <c r="E49" s="54" t="str">
        <f>COM_Balance!$H$13</f>
        <v>COMBIO</v>
      </c>
      <c r="F49" s="54"/>
      <c r="G49" s="158">
        <v>0.8</v>
      </c>
      <c r="H49" s="170">
        <f t="shared" si="11"/>
        <v>2.8368201562796547E-5</v>
      </c>
      <c r="I49" s="165">
        <f t="shared" si="6"/>
        <v>0</v>
      </c>
      <c r="J49" s="72">
        <v>15</v>
      </c>
      <c r="K49" s="72">
        <v>0.15</v>
      </c>
      <c r="L49" s="117">
        <v>31.536000000000001</v>
      </c>
      <c r="M49" s="69"/>
      <c r="N49" s="90">
        <f t="shared" si="7"/>
        <v>0</v>
      </c>
      <c r="O49" s="90">
        <f>COM_Balance!H40</f>
        <v>0</v>
      </c>
      <c r="P49" s="90">
        <f>O49-N61</f>
        <v>0</v>
      </c>
      <c r="Q49" s="124">
        <f t="shared" si="8"/>
        <v>0.8</v>
      </c>
      <c r="R49" s="170"/>
      <c r="S49" s="76">
        <f t="shared" si="9"/>
        <v>0</v>
      </c>
    </row>
    <row r="50" spans="2:19">
      <c r="B50" s="54" t="str">
        <f t="shared" si="10"/>
        <v>CWPS</v>
      </c>
      <c r="C50" s="54" t="str">
        <f>LEFT(B50,5)&amp;RIGHT(E50,3)&amp;"_00_Boi"</f>
        <v>CWPSBGS_00_Boi</v>
      </c>
      <c r="D50" s="106" t="str">
        <f>"Existing commercial - "&amp;RIGHT(B50,2)&amp;" Water Heat "&amp;RIGHT(E50,3)&amp;" Boiler"</f>
        <v>Existing commercial - PS Water Heat BGS Boiler</v>
      </c>
      <c r="E50" s="54" t="str">
        <f>COM_Balance!$I$13</f>
        <v>COMBGS</v>
      </c>
      <c r="F50" s="54"/>
      <c r="G50" s="158">
        <v>0.8</v>
      </c>
      <c r="H50" s="170">
        <f>H49</f>
        <v>2.8368201562796547E-5</v>
      </c>
      <c r="I50" s="165">
        <f>(H50*S50/K50)/L50</f>
        <v>5.22595331380259E-3</v>
      </c>
      <c r="J50" s="72">
        <v>15</v>
      </c>
      <c r="K50" s="72">
        <v>0.15</v>
      </c>
      <c r="L50" s="117">
        <v>31.536000000000001</v>
      </c>
      <c r="M50" s="69"/>
      <c r="N50" s="90">
        <f>IF(G50=0,0,I50*L50*K50/G50)</f>
        <v>3.0901061944514713E-2</v>
      </c>
      <c r="O50" s="90">
        <f>COM_Balance!I40</f>
        <v>3.0901061944514713E-2</v>
      </c>
      <c r="P50" s="90">
        <f>O50-N62</f>
        <v>3.0901061944514713E-2</v>
      </c>
      <c r="Q50" s="124">
        <f>G50</f>
        <v>0.8</v>
      </c>
      <c r="R50" s="170"/>
      <c r="S50" s="76">
        <f t="shared" si="9"/>
        <v>871.42815524942921</v>
      </c>
    </row>
    <row r="51" spans="2:19">
      <c r="B51" s="54" t="str">
        <f t="shared" si="10"/>
        <v>CWPS</v>
      </c>
      <c r="C51" s="54" t="str">
        <f>LEFT(B51,5)&amp;RIGHT(E51,3)&amp;"_00"</f>
        <v>CWPSSOL_00</v>
      </c>
      <c r="D51" s="106" t="str">
        <f>"Existing commercial - "&amp;RIGHT(B51,2)&amp;" Water Heat "&amp;RIGHT(E51,3)&amp;" Thermal"</f>
        <v>Existing commercial - PS Water Heat SOL Thermal</v>
      </c>
      <c r="E51" s="54" t="str">
        <f>COM_Balance!$J$13</f>
        <v>COMSOL</v>
      </c>
      <c r="F51" s="54"/>
      <c r="G51" s="158">
        <v>1</v>
      </c>
      <c r="H51" s="170">
        <f>H49</f>
        <v>2.8368201562796547E-5</v>
      </c>
      <c r="I51" s="165">
        <f t="shared" si="6"/>
        <v>0</v>
      </c>
      <c r="J51" s="72">
        <v>15</v>
      </c>
      <c r="K51" s="72">
        <v>0.15</v>
      </c>
      <c r="L51" s="117">
        <v>31.536000000000001</v>
      </c>
      <c r="M51" s="69"/>
      <c r="N51" s="90">
        <f t="shared" si="7"/>
        <v>0</v>
      </c>
      <c r="O51" s="90">
        <f>COM_Balance!J40</f>
        <v>0</v>
      </c>
      <c r="P51" s="90">
        <f>O51</f>
        <v>0</v>
      </c>
      <c r="Q51" s="124">
        <f t="shared" si="8"/>
        <v>1</v>
      </c>
      <c r="R51" s="170"/>
      <c r="S51" s="76">
        <f t="shared" si="9"/>
        <v>0</v>
      </c>
    </row>
    <row r="52" spans="2:19">
      <c r="B52" s="54" t="str">
        <f t="shared" si="10"/>
        <v>CWPS</v>
      </c>
      <c r="C52" s="54" t="str">
        <f>LEFT(B52,5)&amp;RIGHT(E52,3)&amp;"_00"</f>
        <v>CWPSGEO_00</v>
      </c>
      <c r="D52" s="106" t="str">
        <f>"Existing commercial - "&amp;RIGHT(B52,2)&amp;" Water Heat "&amp;RIGHT(E52,3)</f>
        <v>Existing commercial - PS Water Heat GEO</v>
      </c>
      <c r="E52" s="54" t="str">
        <f>COM_Balance!$K$13</f>
        <v>COMGEO</v>
      </c>
      <c r="F52" s="54"/>
      <c r="G52" s="158">
        <v>1</v>
      </c>
      <c r="H52" s="170">
        <f t="shared" si="11"/>
        <v>2.8368201562796547E-5</v>
      </c>
      <c r="I52" s="165">
        <f t="shared" si="6"/>
        <v>0</v>
      </c>
      <c r="J52" s="72">
        <v>15</v>
      </c>
      <c r="K52" s="72">
        <v>0.15</v>
      </c>
      <c r="L52" s="117">
        <v>31.536000000000001</v>
      </c>
      <c r="M52" s="69"/>
      <c r="N52" s="90">
        <f t="shared" si="7"/>
        <v>0</v>
      </c>
      <c r="O52" s="90">
        <f>COM_Balance!K40</f>
        <v>0</v>
      </c>
      <c r="P52" s="90">
        <f>O52</f>
        <v>0</v>
      </c>
      <c r="Q52" s="124">
        <f t="shared" si="8"/>
        <v>1</v>
      </c>
      <c r="R52" s="170"/>
      <c r="S52" s="76">
        <f t="shared" si="9"/>
        <v>0</v>
      </c>
    </row>
    <row r="53" spans="2:19">
      <c r="B53" s="54" t="str">
        <f t="shared" si="10"/>
        <v>CWPS</v>
      </c>
      <c r="C53" s="54" t="str">
        <f>LEFT(B53,5)&amp;RIGHT(E53,3)&amp;"_00_Boi"</f>
        <v>CWPSELC_00_Boi</v>
      </c>
      <c r="D53" s="106" t="str">
        <f>"Existing commercial - "&amp;RIGHT(B53,2)&amp;" Water Heat "&amp;RIGHT(E53,3)&amp;" Heater"</f>
        <v>Existing commercial - PS Water Heat ELC Heater</v>
      </c>
      <c r="E53" s="54" t="str">
        <f>COM_Balance!$L$13</f>
        <v>COMELC</v>
      </c>
      <c r="F53" s="54"/>
      <c r="G53" s="158">
        <v>0.85</v>
      </c>
      <c r="H53" s="170">
        <f t="shared" si="11"/>
        <v>2.8368201562796547E-5</v>
      </c>
      <c r="I53" s="165">
        <f t="shared" si="6"/>
        <v>1.3665465481110108E-2</v>
      </c>
      <c r="J53" s="72">
        <v>15</v>
      </c>
      <c r="K53" s="72">
        <v>0.15</v>
      </c>
      <c r="L53" s="117">
        <v>31.536000000000001</v>
      </c>
      <c r="M53" s="69"/>
      <c r="N53" s="90">
        <f t="shared" si="7"/>
        <v>7.6050726955109713E-2</v>
      </c>
      <c r="O53" s="90">
        <f>COM_Balance!L40</f>
        <v>7.6050726955109699E-2</v>
      </c>
      <c r="P53" s="90">
        <f>O53-N63</f>
        <v>7.6050726955109699E-2</v>
      </c>
      <c r="Q53" s="124">
        <f t="shared" si="8"/>
        <v>0.85</v>
      </c>
      <c r="R53" s="170"/>
      <c r="S53" s="76">
        <f t="shared" si="9"/>
        <v>2278.7175199932099</v>
      </c>
    </row>
    <row r="54" spans="2:19">
      <c r="B54" s="162" t="s">
        <v>23</v>
      </c>
      <c r="C54" s="160" t="str">
        <f>COM_CH!C74</f>
        <v>CHPSHET_00_DH</v>
      </c>
      <c r="D54" s="160" t="str">
        <f>COM_CH!D74</f>
        <v>Existing commercial - PS Space Heat HET Heat Exchanger</v>
      </c>
      <c r="E54" s="160" t="str">
        <f>COM_Balance!$M$13</f>
        <v>COMHET</v>
      </c>
      <c r="F54" s="160" t="str">
        <f>COM_CH!G74</f>
        <v>CHPS</v>
      </c>
      <c r="G54" s="161"/>
      <c r="H54" s="171"/>
      <c r="I54" s="160"/>
      <c r="J54" s="160"/>
      <c r="K54" s="160"/>
      <c r="L54" s="160"/>
      <c r="M54" s="69"/>
      <c r="N54" s="116"/>
      <c r="O54" s="54"/>
      <c r="P54" s="54"/>
      <c r="Q54" s="166"/>
      <c r="R54" s="170"/>
      <c r="S54" s="54"/>
    </row>
    <row r="55" spans="2:19">
      <c r="B55" s="162" t="s">
        <v>23</v>
      </c>
      <c r="C55" s="160"/>
      <c r="D55" s="160"/>
      <c r="E55" s="160"/>
      <c r="F55" s="160" t="str">
        <f>COM_CH!G75</f>
        <v>CWPS</v>
      </c>
      <c r="G55" s="161">
        <f>COM_CH!I75</f>
        <v>0.9</v>
      </c>
      <c r="H55" s="171"/>
      <c r="I55" s="161">
        <f>COM_CH!M74</f>
        <v>0</v>
      </c>
      <c r="J55" s="160"/>
      <c r="K55" s="160">
        <f>COM_CH!O74</f>
        <v>0.25</v>
      </c>
      <c r="L55" s="160">
        <v>31.536000000000001</v>
      </c>
      <c r="M55" s="69"/>
      <c r="N55" s="90">
        <f>IF(G55=0,0,I55*L55*K55/G55)*(1-COM_CH!J74)</f>
        <v>0</v>
      </c>
      <c r="O55" s="54"/>
      <c r="P55" s="54"/>
      <c r="Q55" s="124">
        <f>G55</f>
        <v>0.9</v>
      </c>
      <c r="R55" s="170"/>
      <c r="S55" s="76">
        <f>COM_CH!V74</f>
        <v>0</v>
      </c>
    </row>
    <row r="56" spans="2:19">
      <c r="B56" s="162" t="s">
        <v>23</v>
      </c>
      <c r="C56" s="160" t="str">
        <f>COM_CH!C54</f>
        <v>CHPSOIL_00_DBoi</v>
      </c>
      <c r="D56" s="160" t="str">
        <f>COM_CH!D54</f>
        <v>Existing commercial - PS Space Heat OIL Dual Boiler</v>
      </c>
      <c r="E56" s="160" t="str">
        <f>COM_CH!F54</f>
        <v>COMOIL</v>
      </c>
      <c r="F56" s="160" t="str">
        <f>COM_CH!G54</f>
        <v>CHPS</v>
      </c>
      <c r="G56" s="160"/>
      <c r="H56" s="171"/>
      <c r="I56" s="160"/>
      <c r="J56" s="160"/>
      <c r="K56" s="160"/>
      <c r="L56" s="160"/>
      <c r="M56" s="69"/>
      <c r="N56" s="116"/>
      <c r="O56" s="54"/>
      <c r="P56" s="54"/>
      <c r="Q56" s="166"/>
      <c r="R56" s="170"/>
      <c r="S56" s="54"/>
    </row>
    <row r="57" spans="2:19">
      <c r="B57" s="162" t="s">
        <v>23</v>
      </c>
      <c r="C57" s="160"/>
      <c r="D57" s="160"/>
      <c r="E57" s="160"/>
      <c r="F57" s="160" t="str">
        <f>COM_CH!G55</f>
        <v>CWPS</v>
      </c>
      <c r="G57" s="161">
        <f>COM_CH!I55</f>
        <v>0</v>
      </c>
      <c r="H57" s="171"/>
      <c r="I57" s="172">
        <f>COM_CH!M54</f>
        <v>0</v>
      </c>
      <c r="J57" s="160"/>
      <c r="K57" s="160">
        <f>COM_CH!O54</f>
        <v>0.25</v>
      </c>
      <c r="L57" s="160">
        <v>31.536000000000001</v>
      </c>
      <c r="M57" s="69"/>
      <c r="N57" s="90">
        <f>IF(G57=0,0,I57*L57*K57/G57)*(1-COM_CH!J54)</f>
        <v>0</v>
      </c>
      <c r="O57" s="54"/>
      <c r="P57" s="54"/>
      <c r="Q57" s="124">
        <f>G57</f>
        <v>0</v>
      </c>
      <c r="R57" s="170"/>
      <c r="S57" s="76">
        <f>COM_CH!V54</f>
        <v>0</v>
      </c>
    </row>
    <row r="58" spans="2:19">
      <c r="B58" s="162" t="s">
        <v>23</v>
      </c>
      <c r="C58" s="160" t="str">
        <f>COM_CH!C59</f>
        <v>CHPSGAS_00_DBoi</v>
      </c>
      <c r="D58" s="160" t="str">
        <f>COM_CH!D59</f>
        <v>Existing commercial - PS Space Heat GAS Dual Boiler</v>
      </c>
      <c r="E58" s="160" t="str">
        <f>COM_CH!F59</f>
        <v>COMGAS</v>
      </c>
      <c r="F58" s="160" t="str">
        <f>COM_CH!G59</f>
        <v>CHPS</v>
      </c>
      <c r="G58" s="160"/>
      <c r="H58" s="171"/>
      <c r="I58" s="163"/>
      <c r="J58" s="160"/>
      <c r="K58" s="160"/>
      <c r="L58" s="160"/>
      <c r="M58" s="69"/>
      <c r="N58" s="116"/>
      <c r="O58" s="76"/>
      <c r="P58" s="76"/>
      <c r="Q58" s="124"/>
      <c r="R58" s="170"/>
      <c r="S58" s="76"/>
    </row>
    <row r="59" spans="2:19">
      <c r="B59" s="162" t="s">
        <v>23</v>
      </c>
      <c r="C59" s="160"/>
      <c r="D59" s="160"/>
      <c r="E59" s="160"/>
      <c r="F59" s="160" t="str">
        <f>COM_CH!G60</f>
        <v>CWPS</v>
      </c>
      <c r="G59" s="161">
        <f>COM_CH!I60</f>
        <v>0</v>
      </c>
      <c r="H59" s="171"/>
      <c r="I59" s="161">
        <f>COM_CH!M59</f>
        <v>0</v>
      </c>
      <c r="J59" s="160"/>
      <c r="K59" s="160">
        <f>COM_CH!O59</f>
        <v>0.25</v>
      </c>
      <c r="L59" s="160">
        <v>31.536000000000001</v>
      </c>
      <c r="M59" s="69"/>
      <c r="N59" s="90">
        <f>IF(G59=0,0,I59*L59*K59/G59)*(1-COM_CH!J59)</f>
        <v>0</v>
      </c>
      <c r="O59" s="76"/>
      <c r="P59" s="76"/>
      <c r="Q59" s="124">
        <f>G59</f>
        <v>0</v>
      </c>
      <c r="R59" s="170"/>
      <c r="S59" s="76">
        <f>COM_CH!V59</f>
        <v>0</v>
      </c>
    </row>
    <row r="60" spans="2:19">
      <c r="B60" s="162" t="s">
        <v>23</v>
      </c>
      <c r="C60" s="160" t="str">
        <f>COM_CH!C62</f>
        <v>CHPSBIO_00_DBoi</v>
      </c>
      <c r="D60" s="160" t="str">
        <f>COM_CH!D62</f>
        <v>Existing commercial - PS Space Heat BIO Dual Boiler</v>
      </c>
      <c r="E60" s="160" t="str">
        <f>COM_CH!F62</f>
        <v>COMBIO</v>
      </c>
      <c r="F60" s="160" t="str">
        <f>COM_CH!G62</f>
        <v>CHPS</v>
      </c>
      <c r="G60" s="160"/>
      <c r="H60" s="171"/>
      <c r="I60" s="163"/>
      <c r="J60" s="160"/>
      <c r="K60" s="160"/>
      <c r="L60" s="160"/>
      <c r="M60" s="69"/>
      <c r="N60" s="116"/>
      <c r="O60" s="76"/>
      <c r="P60" s="76"/>
      <c r="Q60" s="124"/>
      <c r="R60" s="170"/>
      <c r="S60" s="76"/>
    </row>
    <row r="61" spans="2:19">
      <c r="B61" s="162" t="s">
        <v>23</v>
      </c>
      <c r="C61" s="160"/>
      <c r="D61" s="160"/>
      <c r="E61" s="160"/>
      <c r="F61" s="160" t="str">
        <f>COM_CH!G63</f>
        <v>CWPS</v>
      </c>
      <c r="G61" s="161">
        <f>COM_CH!I63</f>
        <v>0</v>
      </c>
      <c r="H61" s="171"/>
      <c r="I61" s="161">
        <f>COM_CH!M62</f>
        <v>0</v>
      </c>
      <c r="J61" s="160"/>
      <c r="K61" s="160">
        <f>COM_CH!O62</f>
        <v>0.25</v>
      </c>
      <c r="L61" s="160">
        <v>31.536000000000001</v>
      </c>
      <c r="M61" s="69"/>
      <c r="N61" s="90">
        <f>IF(G61=0,0,I61*L61*K61/G61)*(1-COM_CH!J62)</f>
        <v>0</v>
      </c>
      <c r="O61" s="76"/>
      <c r="P61" s="76"/>
      <c r="Q61" s="124">
        <f>G61</f>
        <v>0</v>
      </c>
      <c r="R61" s="170"/>
      <c r="S61" s="76">
        <f>COM_CH!V62</f>
        <v>0</v>
      </c>
    </row>
    <row r="62" spans="2:19">
      <c r="B62" s="162" t="s">
        <v>23</v>
      </c>
      <c r="C62" s="160" t="str">
        <f>COM_CH!C72</f>
        <v>CHPSELC_00_DBoi</v>
      </c>
      <c r="D62" s="160" t="str">
        <f>COM_CH!D72</f>
        <v>Existing commercial - PS Space Heat ELC Dual Boiler</v>
      </c>
      <c r="E62" s="160" t="str">
        <f>COM_CH!F72</f>
        <v>COMELC</v>
      </c>
      <c r="F62" s="160" t="str">
        <f>COM_CH!G72</f>
        <v>CHPS</v>
      </c>
      <c r="G62" s="160"/>
      <c r="H62" s="171"/>
      <c r="I62" s="163"/>
      <c r="J62" s="160"/>
      <c r="K62" s="160"/>
      <c r="L62" s="160"/>
      <c r="M62" s="69"/>
      <c r="N62" s="116"/>
      <c r="O62" s="76"/>
      <c r="P62" s="76"/>
      <c r="Q62" s="124"/>
      <c r="R62" s="170"/>
      <c r="S62" s="76"/>
    </row>
    <row r="63" spans="2:19">
      <c r="B63" s="162" t="s">
        <v>23</v>
      </c>
      <c r="C63" s="160"/>
      <c r="D63" s="160"/>
      <c r="E63" s="160"/>
      <c r="F63" s="160" t="str">
        <f>COM_CH!G73</f>
        <v>CWPS</v>
      </c>
      <c r="G63" s="161">
        <f>COM_CH!I73</f>
        <v>0</v>
      </c>
      <c r="H63" s="171"/>
      <c r="I63" s="161">
        <f>COM_CH!M72</f>
        <v>0</v>
      </c>
      <c r="J63" s="160"/>
      <c r="K63" s="160">
        <f>COM_CH!O72</f>
        <v>0.25</v>
      </c>
      <c r="L63" s="160">
        <v>31.536000000000001</v>
      </c>
      <c r="M63" s="69"/>
      <c r="N63" s="90">
        <f>IF(G63=0,0,I63*L63*K63/G63)*(1-COM_CH!J72)</f>
        <v>0</v>
      </c>
      <c r="O63" s="76"/>
      <c r="P63" s="76"/>
      <c r="Q63" s="124">
        <f>G63</f>
        <v>0</v>
      </c>
      <c r="R63" s="170"/>
      <c r="S63" s="76">
        <f>COM_CH!V72</f>
        <v>0</v>
      </c>
    </row>
    <row r="64" spans="2:19">
      <c r="B64" s="162" t="s">
        <v>23</v>
      </c>
      <c r="C64" s="160"/>
      <c r="D64" s="160"/>
      <c r="E64" s="160"/>
      <c r="F64" s="160"/>
      <c r="G64" s="160"/>
      <c r="H64" s="161"/>
      <c r="I64" s="160"/>
      <c r="J64" s="160"/>
      <c r="K64" s="160"/>
      <c r="L64" s="160"/>
      <c r="M64" s="69"/>
      <c r="N64" s="76"/>
      <c r="O64" s="54"/>
      <c r="P64" s="54"/>
      <c r="Q64" s="166"/>
      <c r="R64" s="73"/>
      <c r="S64" s="54"/>
    </row>
    <row r="65" spans="2:19">
      <c r="B65" s="108" t="s">
        <v>84</v>
      </c>
      <c r="C65" s="54"/>
      <c r="D65" s="54"/>
      <c r="E65" s="54"/>
      <c r="F65" s="54"/>
      <c r="G65" s="54"/>
      <c r="H65" s="73"/>
      <c r="I65" s="113">
        <f>SUM(I45:I63)</f>
        <v>0.28100139572320437</v>
      </c>
      <c r="J65" s="54"/>
      <c r="K65" s="54"/>
      <c r="L65" s="54"/>
      <c r="M65" s="69"/>
      <c r="N65" s="116">
        <f>SUM(N45:N53)</f>
        <v>1.6568080824766132</v>
      </c>
      <c r="O65" s="116">
        <f>SUM(O45:O63)</f>
        <v>1.6568080824766132</v>
      </c>
      <c r="P65" s="116">
        <f>SUM(P45:P63)</f>
        <v>1.6568080824766132</v>
      </c>
      <c r="Q65" s="166"/>
      <c r="R65" s="73"/>
      <c r="S65" s="174">
        <f>COM_Balance!C63-SUM(S55:S64)</f>
        <v>46857.006405097192</v>
      </c>
    </row>
    <row r="66" spans="2:19">
      <c r="M66" s="69"/>
    </row>
    <row r="67" spans="2:19">
      <c r="M67" s="69"/>
    </row>
    <row r="68" spans="2:19" s="75" customFormat="1">
      <c r="D68" s="151"/>
      <c r="G68" s="142"/>
      <c r="H68" s="143"/>
      <c r="I68" s="144"/>
      <c r="L68" s="152"/>
      <c r="N68" s="87"/>
      <c r="O68" s="87"/>
      <c r="P68" s="87"/>
      <c r="Q68" s="147"/>
      <c r="R68" s="144"/>
      <c r="S68" s="147"/>
    </row>
    <row r="69" spans="2:19" s="75" customFormat="1">
      <c r="B69" s="153"/>
      <c r="H69" s="143"/>
      <c r="N69" s="147"/>
      <c r="R69" s="144"/>
    </row>
    <row r="70" spans="2:19" s="75" customFormat="1">
      <c r="B70" s="153"/>
      <c r="H70" s="143"/>
      <c r="I70" s="147"/>
      <c r="N70" s="147"/>
      <c r="Q70" s="147"/>
      <c r="R70" s="144"/>
      <c r="S70" s="147"/>
    </row>
    <row r="71" spans="2:19" s="75" customFormat="1">
      <c r="B71" s="153"/>
      <c r="H71" s="143"/>
      <c r="N71" s="147"/>
      <c r="R71" s="144"/>
    </row>
    <row r="72" spans="2:19" s="75" customFormat="1">
      <c r="B72" s="153"/>
      <c r="H72" s="143"/>
      <c r="N72" s="147"/>
      <c r="R72" s="144"/>
    </row>
    <row r="73" spans="2:19" s="75" customFormat="1">
      <c r="B73" s="153"/>
      <c r="H73" s="143"/>
      <c r="I73" s="154"/>
      <c r="N73" s="147"/>
      <c r="Q73" s="147"/>
      <c r="R73" s="144"/>
      <c r="S73" s="147"/>
    </row>
    <row r="74" spans="2:19" s="75" customFormat="1">
      <c r="B74" s="153"/>
      <c r="H74" s="143"/>
      <c r="I74" s="147"/>
      <c r="O74" s="147"/>
      <c r="P74" s="147"/>
      <c r="Q74" s="147"/>
      <c r="R74" s="144"/>
      <c r="S74" s="147"/>
    </row>
    <row r="75" spans="2:19" s="75" customFormat="1">
      <c r="B75" s="153"/>
      <c r="H75" s="143"/>
      <c r="I75" s="147"/>
      <c r="N75" s="147"/>
      <c r="O75" s="147"/>
      <c r="P75" s="147"/>
      <c r="Q75" s="147"/>
      <c r="R75" s="144"/>
      <c r="S75" s="147"/>
    </row>
    <row r="76" spans="2:19" s="75" customFormat="1">
      <c r="B76" s="153"/>
      <c r="H76" s="143"/>
      <c r="I76" s="147"/>
      <c r="O76" s="147"/>
      <c r="P76" s="147"/>
      <c r="Q76" s="147"/>
      <c r="R76" s="144"/>
      <c r="S76" s="147"/>
    </row>
    <row r="77" spans="2:19" s="75" customFormat="1">
      <c r="B77" s="153"/>
      <c r="H77" s="143"/>
      <c r="I77" s="147"/>
      <c r="N77" s="147"/>
      <c r="O77" s="147"/>
      <c r="P77" s="147"/>
      <c r="Q77" s="147"/>
      <c r="R77" s="144"/>
      <c r="S77" s="147"/>
    </row>
    <row r="78" spans="2:19" s="75" customFormat="1">
      <c r="B78" s="153"/>
      <c r="H78" s="143"/>
      <c r="I78" s="147"/>
      <c r="O78" s="147"/>
      <c r="P78" s="147"/>
      <c r="Q78" s="147"/>
      <c r="R78" s="144"/>
      <c r="S78" s="147"/>
    </row>
    <row r="79" spans="2:19" s="75" customFormat="1">
      <c r="B79" s="153"/>
      <c r="H79" s="143"/>
      <c r="I79" s="147"/>
      <c r="N79" s="147"/>
      <c r="O79" s="147"/>
      <c r="P79" s="147"/>
      <c r="Q79" s="147"/>
      <c r="R79" s="144"/>
      <c r="S79" s="147"/>
    </row>
    <row r="80" spans="2:19" s="75" customFormat="1">
      <c r="B80" s="153"/>
      <c r="H80" s="143"/>
      <c r="N80" s="147"/>
      <c r="R80" s="143"/>
    </row>
    <row r="81" spans="2:19" s="75" customFormat="1">
      <c r="B81" s="145"/>
      <c r="H81" s="143"/>
      <c r="I81" s="146"/>
      <c r="N81" s="147"/>
      <c r="O81" s="147"/>
      <c r="P81" s="147"/>
      <c r="R81" s="143"/>
      <c r="S81" s="146"/>
    </row>
    <row r="82" spans="2:19" s="75" customFormat="1"/>
    <row r="83" spans="2:19" s="75" customFormat="1"/>
    <row r="84" spans="2:19" s="69" customFormat="1">
      <c r="M84" s="1"/>
    </row>
    <row r="85" spans="2:19" s="69" customFormat="1">
      <c r="M85" s="1"/>
    </row>
    <row r="86" spans="2:19" s="69" customFormat="1">
      <c r="M86" s="1"/>
    </row>
    <row r="87" spans="2:19" s="69" customFormat="1">
      <c r="M87" s="1"/>
    </row>
    <row r="88" spans="2:19" s="69" customFormat="1">
      <c r="M88" s="1"/>
    </row>
    <row r="89" spans="2:19" s="69" customFormat="1">
      <c r="M89" s="1"/>
    </row>
    <row r="90" spans="2:19" s="69" customFormat="1">
      <c r="M90" s="1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rgb="FFFFC000"/>
  </sheetPr>
  <dimension ref="B1:U277"/>
  <sheetViews>
    <sheetView zoomScale="80" zoomScaleNormal="80" workbookViewId="0">
      <selection activeCell="F54" sqref="F54"/>
    </sheetView>
  </sheetViews>
  <sheetFormatPr defaultRowHeight="12.75"/>
  <cols>
    <col min="1" max="1" width="5.140625" customWidth="1"/>
    <col min="2" max="2" width="13.85546875" customWidth="1"/>
    <col min="3" max="3" width="18" bestFit="1" customWidth="1"/>
    <col min="4" max="4" width="58.5703125" bestFit="1" customWidth="1"/>
    <col min="5" max="5" width="14.28515625" customWidth="1"/>
    <col min="6" max="21" width="11.140625" customWidth="1"/>
    <col min="22" max="255" width="11.42578125" customWidth="1"/>
  </cols>
  <sheetData>
    <row r="1" spans="2:21" ht="26.25">
      <c r="B1" s="83" t="s">
        <v>245</v>
      </c>
    </row>
    <row r="2" spans="2:21" s="16" customFormat="1" ht="15"/>
    <row r="3" spans="2:21" s="16" customFormat="1" ht="18.75">
      <c r="B3" s="66" t="s">
        <v>251</v>
      </c>
      <c r="C3" s="64"/>
      <c r="D3" s="64"/>
      <c r="F3" s="78" t="s">
        <v>234</v>
      </c>
      <c r="J3" s="86"/>
    </row>
    <row r="4" spans="2:21" s="16" customFormat="1" ht="15">
      <c r="B4" s="68" t="s">
        <v>80</v>
      </c>
      <c r="F4" s="122" t="s">
        <v>237</v>
      </c>
      <c r="G4" s="114"/>
      <c r="H4" s="114"/>
      <c r="J4" s="87"/>
      <c r="K4" s="75"/>
      <c r="L4" s="75"/>
      <c r="M4" s="75"/>
      <c r="O4" s="75"/>
      <c r="P4" s="75"/>
      <c r="Q4" s="75"/>
      <c r="R4" s="75"/>
    </row>
    <row r="5" spans="2:21" s="16" customFormat="1" ht="16.5" thickBot="1">
      <c r="B5" s="96" t="s">
        <v>17</v>
      </c>
      <c r="C5" s="97" t="s">
        <v>78</v>
      </c>
      <c r="D5" s="99"/>
      <c r="F5" s="121" t="s">
        <v>236</v>
      </c>
      <c r="G5" s="121"/>
      <c r="H5" s="121"/>
      <c r="J5" s="87"/>
      <c r="K5" s="86"/>
      <c r="L5" s="86"/>
      <c r="M5" s="86"/>
      <c r="O5" s="86"/>
      <c r="P5" s="86"/>
      <c r="Q5" s="86"/>
      <c r="R5" s="75"/>
    </row>
    <row r="6" spans="2:21" s="16" customFormat="1" ht="15.75">
      <c r="B6" s="22" t="s">
        <v>148</v>
      </c>
      <c r="C6" s="22" t="s">
        <v>10</v>
      </c>
      <c r="D6" s="98" t="s">
        <v>233</v>
      </c>
      <c r="F6" s="75"/>
      <c r="G6" s="87"/>
      <c r="H6" s="87"/>
      <c r="I6" s="87"/>
      <c r="J6" s="87"/>
      <c r="K6" s="86"/>
      <c r="L6" s="86"/>
      <c r="M6" s="86"/>
      <c r="O6" s="86"/>
      <c r="P6" s="86"/>
      <c r="Q6" s="86"/>
      <c r="R6" s="75"/>
    </row>
    <row r="7" spans="2:21" s="16" customFormat="1" ht="15">
      <c r="B7" s="54" t="str">
        <f>COM_Balance!C36</f>
        <v>CCCS</v>
      </c>
      <c r="C7" s="180">
        <f>COM_Balance!C70*COM_CC!I19</f>
        <v>5.9239600161508807</v>
      </c>
      <c r="D7" s="54" t="str">
        <f>COM_Balance!B36</f>
        <v>Commercial space cooling demand - Commercial Services</v>
      </c>
      <c r="F7" s="75"/>
      <c r="G7" s="87"/>
      <c r="H7" s="87"/>
      <c r="I7" s="87"/>
      <c r="J7" s="87"/>
      <c r="K7" s="87"/>
      <c r="L7" s="87"/>
      <c r="M7" s="87"/>
      <c r="O7" s="75"/>
      <c r="P7" s="75"/>
      <c r="Q7" s="75"/>
      <c r="R7" s="75"/>
    </row>
    <row r="8" spans="2:21" s="16" customFormat="1" ht="15">
      <c r="B8" s="54" t="str">
        <f>COM_Balance!C37</f>
        <v>CCPS</v>
      </c>
      <c r="C8" s="180">
        <f>COM_Balance!C71*COM_CC!I36</f>
        <v>2.3392558619615995</v>
      </c>
      <c r="D8" s="54" t="str">
        <f>COM_Balance!B37</f>
        <v>Commercial space cooling demand - Public Services</v>
      </c>
      <c r="F8" s="75"/>
      <c r="G8" s="87"/>
      <c r="H8" s="87"/>
      <c r="I8" s="87"/>
      <c r="J8" s="87"/>
      <c r="K8" s="87"/>
      <c r="L8" s="87"/>
      <c r="M8" s="87"/>
      <c r="O8" s="75"/>
      <c r="P8" s="75"/>
      <c r="Q8" s="75"/>
      <c r="R8" s="75"/>
    </row>
    <row r="9" spans="2:21" s="16" customFormat="1" ht="15">
      <c r="B9" s="102"/>
      <c r="C9" s="69"/>
      <c r="D9" s="69"/>
      <c r="G9" s="137"/>
    </row>
    <row r="10" spans="2:21" s="16" customFormat="1" ht="18.75">
      <c r="B10" s="66" t="s">
        <v>584</v>
      </c>
      <c r="C10" s="64"/>
      <c r="D10" s="64"/>
      <c r="E10" s="64"/>
      <c r="F10" s="64"/>
      <c r="G10" s="64"/>
      <c r="H10" s="64"/>
      <c r="I10" s="64"/>
      <c r="J10" s="64"/>
      <c r="K10" s="64"/>
      <c r="L10" s="64"/>
      <c r="M10" s="64"/>
      <c r="N10" s="64"/>
      <c r="O10" s="64"/>
      <c r="P10" s="64"/>
      <c r="Q10" s="64"/>
      <c r="R10" s="64"/>
      <c r="S10" s="64"/>
      <c r="T10" s="64"/>
      <c r="U10" s="64"/>
    </row>
    <row r="11" spans="2:21" s="16" customFormat="1" ht="15">
      <c r="C11" s="68" t="s">
        <v>557</v>
      </c>
    </row>
    <row r="12" spans="2:21" s="16" customFormat="1" ht="16.5" thickBot="1">
      <c r="B12" s="96" t="s">
        <v>17</v>
      </c>
      <c r="C12" s="96" t="s">
        <v>558</v>
      </c>
      <c r="D12" s="96" t="s">
        <v>575</v>
      </c>
      <c r="E12" s="96" t="s">
        <v>576</v>
      </c>
      <c r="F12" s="97" t="s">
        <v>559</v>
      </c>
      <c r="G12" s="97" t="s">
        <v>560</v>
      </c>
      <c r="H12" s="97" t="s">
        <v>561</v>
      </c>
      <c r="I12" s="97" t="s">
        <v>562</v>
      </c>
      <c r="J12" s="97" t="s">
        <v>563</v>
      </c>
      <c r="K12" s="97" t="s">
        <v>564</v>
      </c>
      <c r="L12" s="97" t="s">
        <v>565</v>
      </c>
      <c r="M12" s="97" t="s">
        <v>566</v>
      </c>
      <c r="N12" s="97" t="s">
        <v>567</v>
      </c>
      <c r="O12" s="97" t="s">
        <v>568</v>
      </c>
      <c r="P12" s="97" t="s">
        <v>569</v>
      </c>
      <c r="Q12" s="97" t="s">
        <v>570</v>
      </c>
      <c r="R12" s="97" t="s">
        <v>571</v>
      </c>
      <c r="S12" s="97" t="s">
        <v>572</v>
      </c>
      <c r="T12" s="97" t="s">
        <v>573</v>
      </c>
      <c r="U12" s="97" t="s">
        <v>574</v>
      </c>
    </row>
    <row r="13" spans="2:21" s="16" customFormat="1" ht="15">
      <c r="B13" s="54" t="str">
        <f>B7</f>
        <v>CCCS</v>
      </c>
      <c r="C13" s="54" t="s">
        <v>577</v>
      </c>
      <c r="D13" s="54" t="s">
        <v>578</v>
      </c>
      <c r="E13" s="54" t="s">
        <v>583</v>
      </c>
      <c r="F13" s="589">
        <v>0.14219999999999999</v>
      </c>
      <c r="G13" s="589">
        <v>1.0800000000000001E-2</v>
      </c>
      <c r="H13" s="589">
        <v>1.0800000000000001E-2</v>
      </c>
      <c r="I13" s="589">
        <v>1.6199999999999999E-2</v>
      </c>
      <c r="J13" s="589">
        <v>0.14219999999999999</v>
      </c>
      <c r="K13" s="589">
        <v>1.0800000000000001E-2</v>
      </c>
      <c r="L13" s="589">
        <v>1.0800000000000001E-2</v>
      </c>
      <c r="M13" s="589">
        <v>1.6199999999999999E-2</v>
      </c>
      <c r="N13" s="589">
        <v>0.47399999999999998</v>
      </c>
      <c r="O13" s="589">
        <v>3.5999999999999997E-2</v>
      </c>
      <c r="P13" s="589">
        <v>3.5999999999999997E-2</v>
      </c>
      <c r="Q13" s="589">
        <v>5.3999999999999999E-2</v>
      </c>
      <c r="R13" s="589">
        <v>3.1600000000000003E-2</v>
      </c>
      <c r="S13" s="589">
        <v>2.3999999999999998E-3</v>
      </c>
      <c r="T13" s="589">
        <v>2.3999999999999998E-3</v>
      </c>
      <c r="U13" s="589">
        <v>3.5999999999999999E-3</v>
      </c>
    </row>
    <row r="14" spans="2:21" s="16" customFormat="1" ht="15">
      <c r="B14" s="54" t="str">
        <f>B8</f>
        <v>CCPS</v>
      </c>
      <c r="C14" s="54" t="s">
        <v>577</v>
      </c>
      <c r="D14" s="54" t="s">
        <v>578</v>
      </c>
      <c r="E14" s="54" t="s">
        <v>583</v>
      </c>
      <c r="F14" s="589">
        <v>0.14219999999999999</v>
      </c>
      <c r="G14" s="589">
        <v>1.0800000000000001E-2</v>
      </c>
      <c r="H14" s="589">
        <v>1.0800000000000001E-2</v>
      </c>
      <c r="I14" s="589">
        <v>1.6199999999999999E-2</v>
      </c>
      <c r="J14" s="589">
        <v>0.14219999999999999</v>
      </c>
      <c r="K14" s="589">
        <v>1.0800000000000001E-2</v>
      </c>
      <c r="L14" s="589">
        <v>1.0800000000000001E-2</v>
      </c>
      <c r="M14" s="589">
        <v>1.6199999999999999E-2</v>
      </c>
      <c r="N14" s="589">
        <v>0.47399999999999998</v>
      </c>
      <c r="O14" s="589">
        <v>3.5999999999999997E-2</v>
      </c>
      <c r="P14" s="589">
        <v>3.5999999999999997E-2</v>
      </c>
      <c r="Q14" s="589">
        <v>5.3999999999999999E-2</v>
      </c>
      <c r="R14" s="589">
        <v>3.1600000000000003E-2</v>
      </c>
      <c r="S14" s="589">
        <v>2.3999999999999998E-3</v>
      </c>
      <c r="T14" s="589">
        <v>2.3999999999999998E-3</v>
      </c>
      <c r="U14" s="589">
        <v>3.5999999999999999E-3</v>
      </c>
    </row>
    <row r="15" spans="2:21" s="16" customFormat="1" ht="15">
      <c r="B15" s="69"/>
      <c r="C15" s="69"/>
      <c r="D15" s="69"/>
      <c r="G15" s="67"/>
      <c r="I15" s="176"/>
    </row>
    <row r="16" spans="2:21" s="16" customFormat="1" ht="18.75">
      <c r="B16" s="66" t="str">
        <f>"Base-year technologies for commercial space cooling ("&amp;COM_Balance!$S$11&amp;")"</f>
        <v>Base-year technologies for commercial space cooling (Commercial Services)</v>
      </c>
      <c r="C16" s="64"/>
      <c r="D16" s="64"/>
      <c r="E16" s="64"/>
      <c r="F16" s="64"/>
      <c r="G16" s="68" t="s">
        <v>80</v>
      </c>
      <c r="H16" s="177"/>
      <c r="I16" s="178"/>
      <c r="J16" s="179"/>
      <c r="K16" s="179"/>
      <c r="L16" s="179"/>
      <c r="O16" s="90" t="s">
        <v>238</v>
      </c>
      <c r="P16" s="90"/>
      <c r="Q16" s="90"/>
      <c r="R16" s="123" t="s">
        <v>94</v>
      </c>
      <c r="S16" s="134"/>
      <c r="T16" s="85"/>
    </row>
    <row r="17" spans="2:20" s="16" customFormat="1" ht="60.75" thickBot="1">
      <c r="B17" s="127" t="s">
        <v>22</v>
      </c>
      <c r="C17" s="127" t="s">
        <v>15</v>
      </c>
      <c r="D17" s="127" t="s">
        <v>16</v>
      </c>
      <c r="E17" s="127" t="s">
        <v>246</v>
      </c>
      <c r="F17" s="127" t="s">
        <v>39</v>
      </c>
      <c r="G17" s="127" t="s">
        <v>40</v>
      </c>
      <c r="H17" s="128" t="s">
        <v>82</v>
      </c>
      <c r="I17" s="128" t="s">
        <v>115</v>
      </c>
      <c r="J17" s="128" t="s">
        <v>240</v>
      </c>
      <c r="K17" s="128" t="s">
        <v>239</v>
      </c>
      <c r="L17" s="128" t="s">
        <v>112</v>
      </c>
      <c r="M17" s="128" t="s">
        <v>211</v>
      </c>
      <c r="O17" s="125" t="s">
        <v>127</v>
      </c>
      <c r="P17" s="125" t="s">
        <v>129</v>
      </c>
      <c r="Q17" s="125" t="s">
        <v>130</v>
      </c>
      <c r="R17" s="167" t="s">
        <v>146</v>
      </c>
      <c r="S17" s="125" t="s">
        <v>100</v>
      </c>
      <c r="T17" s="125" t="s">
        <v>101</v>
      </c>
    </row>
    <row r="18" spans="2:20" s="16" customFormat="1" ht="47.25">
      <c r="B18" s="131" t="s">
        <v>235</v>
      </c>
      <c r="C18" s="131"/>
      <c r="D18" s="131"/>
      <c r="E18" s="131" t="s">
        <v>110</v>
      </c>
      <c r="F18" s="131"/>
      <c r="G18" s="131"/>
      <c r="H18" s="131"/>
      <c r="I18" s="133" t="s">
        <v>38</v>
      </c>
      <c r="J18" s="133" t="s">
        <v>114</v>
      </c>
      <c r="K18" s="133" t="s">
        <v>34</v>
      </c>
      <c r="L18" s="133" t="s">
        <v>63</v>
      </c>
      <c r="M18" s="133" t="s">
        <v>113</v>
      </c>
      <c r="O18" s="133" t="s">
        <v>10</v>
      </c>
      <c r="P18" s="133" t="s">
        <v>10</v>
      </c>
      <c r="Q18" s="133" t="s">
        <v>10</v>
      </c>
      <c r="R18" s="155"/>
      <c r="S18" s="133" t="s">
        <v>38</v>
      </c>
      <c r="T18" s="133" t="s">
        <v>32</v>
      </c>
    </row>
    <row r="19" spans="2:20" s="16" customFormat="1" ht="15">
      <c r="B19" s="54" t="str">
        <f t="shared" ref="B19:B24" si="0">$B$7</f>
        <v>CCCS</v>
      </c>
      <c r="C19" s="54" t="str">
        <f>LEFT(B19,5)&amp;RIGHT(F19,3)&amp;"_00"</f>
        <v>CCCSGAS_00</v>
      </c>
      <c r="D19" s="106" t="str">
        <f>"Existing commercial - "&amp;RIGHT(B19,2)&amp;" Space Cooling "&amp;RIGHT(F19,3)</f>
        <v>Existing commercial - CS Space Cooling GAS</v>
      </c>
      <c r="E19" s="54"/>
      <c r="F19" s="54" t="str">
        <f>COM_Balance!$G$13</f>
        <v>COMGAS</v>
      </c>
      <c r="G19" s="54"/>
      <c r="H19" s="158">
        <v>3.2</v>
      </c>
      <c r="I19" s="208">
        <f>S19</f>
        <v>3.4583922344960357E-4</v>
      </c>
      <c r="J19" s="164">
        <f t="shared" ref="J19:J24" si="1">I19*T19/M19/L19</f>
        <v>0</v>
      </c>
      <c r="K19" s="184">
        <v>15</v>
      </c>
      <c r="L19" s="158">
        <v>0.15</v>
      </c>
      <c r="M19" s="54">
        <v>31.536000000000001</v>
      </c>
      <c r="O19" s="90">
        <f t="shared" ref="O19:O24" si="2">IF(H19=0,0,J19*L19*M19/H19)</f>
        <v>0</v>
      </c>
      <c r="P19" s="90">
        <f>COM_Balance!G36</f>
        <v>0</v>
      </c>
      <c r="Q19" s="90">
        <f>P19-O26</f>
        <v>0</v>
      </c>
      <c r="R19" s="124">
        <f t="shared" ref="R19:R24" si="3">H19</f>
        <v>3.2</v>
      </c>
      <c r="S19" s="116">
        <f>IF(T30=0,0,SUMPRODUCT(R19:R24,P19:P24)/(T30))</f>
        <v>3.4583922344960357E-4</v>
      </c>
      <c r="T19" s="76">
        <f t="shared" ref="T19:T24" si="4">IF($Q$30=0,0,R19*Q19/SUMPRODUCT($Q$19:$Q$24,$R$19:$R$24)*$T$30)</f>
        <v>0</v>
      </c>
    </row>
    <row r="20" spans="2:20" s="16" customFormat="1" ht="15.75" thickBot="1">
      <c r="B20" s="54" t="str">
        <f t="shared" si="0"/>
        <v>CCCS</v>
      </c>
      <c r="C20" s="54" t="str">
        <f>LEFT(B20,5)&amp;RIGHT(F20,3)&amp;"_00"</f>
        <v>CCCSGEO_00</v>
      </c>
      <c r="D20" s="106" t="str">
        <f>"Existing commercial - "&amp;RIGHT(B20,2)&amp;" Space Cooling "&amp;RIGHT(F20,3)</f>
        <v>Existing commercial - CS Space Cooling GEO</v>
      </c>
      <c r="E20" s="54"/>
      <c r="F20" s="54" t="str">
        <f>COM_Balance!$K$13</f>
        <v>COMGEO</v>
      </c>
      <c r="G20" s="54"/>
      <c r="H20" s="158">
        <v>3</v>
      </c>
      <c r="I20" s="116">
        <f>I19</f>
        <v>3.4583922344960357E-4</v>
      </c>
      <c r="J20" s="164">
        <f t="shared" si="1"/>
        <v>0</v>
      </c>
      <c r="K20" s="184">
        <v>15</v>
      </c>
      <c r="L20" s="158">
        <v>0.15</v>
      </c>
      <c r="M20" s="54">
        <v>31.536000000000001</v>
      </c>
      <c r="O20" s="90">
        <f t="shared" si="2"/>
        <v>0</v>
      </c>
      <c r="P20" s="90">
        <f>COM_Balance!K36</f>
        <v>0</v>
      </c>
      <c r="Q20" s="90">
        <f>P20</f>
        <v>0</v>
      </c>
      <c r="R20" s="124">
        <f t="shared" si="3"/>
        <v>3</v>
      </c>
      <c r="S20" s="116"/>
      <c r="T20" s="76">
        <f t="shared" si="4"/>
        <v>0</v>
      </c>
    </row>
    <row r="21" spans="2:20" s="16" customFormat="1" ht="15">
      <c r="B21" s="54" t="str">
        <f t="shared" si="0"/>
        <v>CCCS</v>
      </c>
      <c r="C21" s="54" t="str">
        <f>LEFT(B21,5)&amp;RIGHT(F21,3)&amp;"_00_Cen"</f>
        <v>CCCSELC_00_Cen</v>
      </c>
      <c r="D21" s="106" t="str">
        <f>"Existing commercial - "&amp;RIGHT(B21,2)&amp;" Space Cooling "&amp;RIGHT(F21,3)&amp;" Central"</f>
        <v>Existing commercial - CS Space Cooling ELC Central</v>
      </c>
      <c r="E21" s="181">
        <v>8.7401223026174271E-3</v>
      </c>
      <c r="F21" s="54" t="str">
        <f>COM_Balance!$L$13</f>
        <v>COMELC</v>
      </c>
      <c r="G21" s="54"/>
      <c r="H21" s="158">
        <v>3.2</v>
      </c>
      <c r="I21" s="116">
        <f>I20</f>
        <v>3.4583922344960357E-4</v>
      </c>
      <c r="J21" s="164">
        <f t="shared" si="1"/>
        <v>1.094540314919969E-2</v>
      </c>
      <c r="K21" s="184">
        <v>15</v>
      </c>
      <c r="L21" s="158">
        <v>0.15</v>
      </c>
      <c r="M21" s="54">
        <v>31.536000000000001</v>
      </c>
      <c r="O21" s="90">
        <f t="shared" si="2"/>
        <v>1.6180042205304442E-2</v>
      </c>
      <c r="P21" s="90">
        <f>COM_Balance!$L$36*E21</f>
        <v>1.6180042205304442E-2</v>
      </c>
      <c r="Q21" s="90">
        <f>(COM_Balance!$L$36-$O$28)*E21</f>
        <v>1.6180042205304442E-2</v>
      </c>
      <c r="R21" s="124">
        <f t="shared" si="3"/>
        <v>3.2</v>
      </c>
      <c r="S21" s="116"/>
      <c r="T21" s="76">
        <f t="shared" si="4"/>
        <v>149.71157562907015</v>
      </c>
    </row>
    <row r="22" spans="2:20" s="16" customFormat="1" ht="15">
      <c r="B22" s="54" t="str">
        <f t="shared" si="0"/>
        <v>CCCS</v>
      </c>
      <c r="C22" s="54" t="str">
        <f>LEFT(B22,5)&amp;RIGHT(F22,3)&amp;"_00_Roo"</f>
        <v>CCCSELC_00_Roo</v>
      </c>
      <c r="D22" s="106" t="str">
        <f>"Existing commercial - "&amp;RIGHT(B22,2)&amp;" Space Cooling "&amp;RIGHT(F22,3)&amp;" Room"</f>
        <v>Existing commercial - CS Space Cooling ELC Room</v>
      </c>
      <c r="E22" s="183">
        <v>0.92838300055076362</v>
      </c>
      <c r="F22" s="54" t="str">
        <f>COM_Balance!$L$13</f>
        <v>COMELC</v>
      </c>
      <c r="G22" s="54"/>
      <c r="H22" s="158">
        <f>H21</f>
        <v>3.2</v>
      </c>
      <c r="I22" s="116">
        <f>I21</f>
        <v>3.4583922344960357E-4</v>
      </c>
      <c r="J22" s="164">
        <f t="shared" si="1"/>
        <v>1.1626297511704942</v>
      </c>
      <c r="K22" s="184">
        <v>15</v>
      </c>
      <c r="L22" s="158">
        <v>0.15</v>
      </c>
      <c r="M22" s="54">
        <v>31.536000000000001</v>
      </c>
      <c r="O22" s="90">
        <f t="shared" si="2"/>
        <v>1.718657429667783</v>
      </c>
      <c r="P22" s="90">
        <f>COM_Balance!$L$36*E22</f>
        <v>1.7186574296677828</v>
      </c>
      <c r="Q22" s="90">
        <f>(COM_Balance!$L$36-$O$28)*E22</f>
        <v>1.7186574296677828</v>
      </c>
      <c r="R22" s="124">
        <f t="shared" si="3"/>
        <v>3.2</v>
      </c>
      <c r="S22" s="116"/>
      <c r="T22" s="76">
        <f t="shared" si="4"/>
        <v>15902.487057655375</v>
      </c>
    </row>
    <row r="23" spans="2:20" s="16" customFormat="1" ht="15.75" thickBot="1">
      <c r="B23" s="54" t="str">
        <f t="shared" si="0"/>
        <v>CCCS</v>
      </c>
      <c r="C23" s="54" t="str">
        <f>LEFT(B23,5)&amp;RIGHT(F23,3)&amp;"_00_Fan"</f>
        <v>CCCSELC_00_Fan</v>
      </c>
      <c r="D23" s="106" t="str">
        <f>"Existing commercial - "&amp;RIGHT(B23,2)&amp;" Space Cooling "&amp;RIGHT(F23,3)&amp;" Fans"</f>
        <v>Existing commercial - CS Space Cooling ELC Fans</v>
      </c>
      <c r="E23" s="182">
        <v>6.2876877146618965E-2</v>
      </c>
      <c r="F23" s="54" t="str">
        <f>COM_Balance!$L$13</f>
        <v>COMELC</v>
      </c>
      <c r="G23" s="54"/>
      <c r="H23" s="158">
        <f>H22</f>
        <v>3.2</v>
      </c>
      <c r="I23" s="116">
        <f>I22</f>
        <v>3.4583922344960357E-4</v>
      </c>
      <c r="J23" s="164">
        <f t="shared" si="1"/>
        <v>7.8741777895527221E-2</v>
      </c>
      <c r="K23" s="184">
        <v>15</v>
      </c>
      <c r="L23" s="158">
        <v>0.15</v>
      </c>
      <c r="M23" s="54">
        <v>31.536000000000001</v>
      </c>
      <c r="O23" s="90">
        <f t="shared" si="2"/>
        <v>0.1164000331740631</v>
      </c>
      <c r="P23" s="90">
        <f>COM_Balance!$L$36*E23</f>
        <v>0.11640003317406308</v>
      </c>
      <c r="Q23" s="90">
        <f>(COM_Balance!$L$36-$O$28)*E23</f>
        <v>0.11640003317406308</v>
      </c>
      <c r="R23" s="124">
        <f t="shared" si="3"/>
        <v>3.2</v>
      </c>
      <c r="S23" s="116"/>
      <c r="T23" s="76">
        <f t="shared" si="4"/>
        <v>1077.0325657155558</v>
      </c>
    </row>
    <row r="24" spans="2:20" s="16" customFormat="1" ht="15">
      <c r="B24" s="54" t="str">
        <f t="shared" si="0"/>
        <v>CCCS</v>
      </c>
      <c r="C24" s="54" t="str">
        <f>LEFT(B24,5)&amp;RIGHT(F24,3)&amp;"_00"</f>
        <v>CCCSCOO_00</v>
      </c>
      <c r="D24" s="106" t="str">
        <f>"Existing commercial - "&amp;RIGHT(B24,2)&amp;" Space Cooling "&amp;RIGHT(F24,3)</f>
        <v>Existing commercial - CS Space Cooling COO</v>
      </c>
      <c r="E24" s="80"/>
      <c r="F24" s="80" t="str">
        <f>COM_Commodities!$C$18</f>
        <v>COMCOO</v>
      </c>
      <c r="G24" s="54"/>
      <c r="H24" s="158">
        <v>0.96</v>
      </c>
      <c r="I24" s="116">
        <f>I23</f>
        <v>3.4583922344960357E-4</v>
      </c>
      <c r="J24" s="164">
        <f t="shared" si="1"/>
        <v>0</v>
      </c>
      <c r="K24" s="184">
        <v>20</v>
      </c>
      <c r="L24" s="158">
        <v>0.15</v>
      </c>
      <c r="M24" s="54">
        <v>31.536000000000001</v>
      </c>
      <c r="O24" s="90">
        <f t="shared" si="2"/>
        <v>0</v>
      </c>
      <c r="P24" s="90">
        <f>COM_Balance!N36</f>
        <v>0</v>
      </c>
      <c r="Q24" s="90">
        <f>P24</f>
        <v>0</v>
      </c>
      <c r="R24" s="124">
        <f t="shared" si="3"/>
        <v>0.96</v>
      </c>
      <c r="S24" s="116"/>
      <c r="T24" s="76">
        <f t="shared" si="4"/>
        <v>0</v>
      </c>
    </row>
    <row r="25" spans="2:20" s="16" customFormat="1" ht="15">
      <c r="B25" s="162" t="s">
        <v>23</v>
      </c>
      <c r="C25" s="160" t="str">
        <f>COM_CH!C25</f>
        <v>CHCSGAS_00_HP</v>
      </c>
      <c r="D25" s="160" t="str">
        <f>COM_CH!D25</f>
        <v>Existing commercial - CS Space Heat GAS Heat Pump</v>
      </c>
      <c r="E25" s="160"/>
      <c r="F25" s="160" t="str">
        <f>COM_Balance!$G$13</f>
        <v>COMGAS</v>
      </c>
      <c r="G25" s="161" t="str">
        <f>COM_CH!G25</f>
        <v>CHCS</v>
      </c>
      <c r="H25" s="171"/>
      <c r="I25" s="160"/>
      <c r="J25" s="160"/>
      <c r="K25" s="160"/>
      <c r="L25" s="160"/>
      <c r="M25" s="162"/>
      <c r="O25" s="76"/>
      <c r="P25" s="76"/>
      <c r="Q25" s="76"/>
      <c r="R25" s="124"/>
      <c r="S25" s="116"/>
      <c r="T25" s="76"/>
    </row>
    <row r="26" spans="2:20" s="16" customFormat="1" ht="15">
      <c r="B26" s="162" t="s">
        <v>23</v>
      </c>
      <c r="C26" s="160"/>
      <c r="D26" s="160"/>
      <c r="E26" s="160"/>
      <c r="F26" s="160"/>
      <c r="G26" s="161" t="str">
        <f>COM_CH!G26</f>
        <v>CCCS</v>
      </c>
      <c r="H26" s="161">
        <f>COM_CH!I26</f>
        <v>3.2</v>
      </c>
      <c r="I26" s="161"/>
      <c r="J26" s="160">
        <f>COM_CH!M25</f>
        <v>0</v>
      </c>
      <c r="K26" s="160"/>
      <c r="L26" s="160">
        <v>0.15</v>
      </c>
      <c r="M26" s="162">
        <v>31.536000000000001</v>
      </c>
      <c r="O26" s="90">
        <f>IF(H26=0,0,J26*L26*M26/H26)*(1-COM_CH!J25)</f>
        <v>0</v>
      </c>
      <c r="P26" s="116"/>
      <c r="Q26" s="116"/>
      <c r="R26" s="124">
        <f>H26</f>
        <v>3.2</v>
      </c>
      <c r="S26" s="116"/>
      <c r="T26" s="76">
        <f>COM_CH!V25</f>
        <v>0</v>
      </c>
    </row>
    <row r="27" spans="2:20" s="16" customFormat="1" ht="15">
      <c r="B27" s="162" t="s">
        <v>23</v>
      </c>
      <c r="C27" s="160" t="str">
        <f>COM_CH!C38</f>
        <v>CHCSELC_00_HP</v>
      </c>
      <c r="D27" s="160" t="str">
        <f>COM_CH!D38</f>
        <v>Existing commercial - CS Space Heat ELC Heat Pump</v>
      </c>
      <c r="E27" s="160"/>
      <c r="F27" s="160" t="str">
        <f>COM_Balance!$L$13</f>
        <v>COMELC</v>
      </c>
      <c r="G27" s="161" t="str">
        <f>COM_CH!G38</f>
        <v>CHCS</v>
      </c>
      <c r="H27" s="161"/>
      <c r="I27" s="161"/>
      <c r="J27" s="160"/>
      <c r="K27" s="160"/>
      <c r="L27" s="160"/>
      <c r="M27" s="162"/>
      <c r="O27" s="116"/>
      <c r="P27" s="116"/>
      <c r="Q27" s="116"/>
      <c r="R27" s="124"/>
      <c r="S27" s="116"/>
      <c r="T27" s="76"/>
    </row>
    <row r="28" spans="2:20" s="16" customFormat="1" ht="15">
      <c r="B28" s="162" t="s">
        <v>23</v>
      </c>
      <c r="C28" s="160"/>
      <c r="D28" s="160"/>
      <c r="E28" s="160"/>
      <c r="F28" s="160"/>
      <c r="G28" s="161" t="str">
        <f>COM_CH!G39</f>
        <v>CCCS</v>
      </c>
      <c r="H28" s="161">
        <f>COM_CH!I39</f>
        <v>3.2</v>
      </c>
      <c r="I28" s="161"/>
      <c r="J28" s="160">
        <f>COM_CH!M38</f>
        <v>0</v>
      </c>
      <c r="K28" s="160"/>
      <c r="L28" s="160">
        <v>0.15</v>
      </c>
      <c r="M28" s="162">
        <v>31.536000000000001</v>
      </c>
      <c r="O28" s="90">
        <f>IF(H28=0,0,J28*L28*M28/H28)*(1-COM_CH!J38)</f>
        <v>0</v>
      </c>
      <c r="P28" s="116"/>
      <c r="Q28" s="116"/>
      <c r="R28" s="124">
        <f>H28</f>
        <v>3.2</v>
      </c>
      <c r="S28" s="116"/>
      <c r="T28" s="76">
        <f>COM_CH!V38</f>
        <v>0</v>
      </c>
    </row>
    <row r="29" spans="2:20" s="16" customFormat="1" ht="15">
      <c r="B29" s="162" t="s">
        <v>23</v>
      </c>
      <c r="C29" s="160"/>
      <c r="D29" s="160"/>
      <c r="E29" s="160"/>
      <c r="F29" s="160"/>
      <c r="G29" s="161"/>
      <c r="H29" s="171"/>
      <c r="I29" s="160"/>
      <c r="J29" s="160"/>
      <c r="K29" s="160"/>
      <c r="L29" s="160"/>
      <c r="M29" s="162"/>
      <c r="O29" s="116"/>
      <c r="P29" s="116"/>
      <c r="Q29" s="116"/>
      <c r="R29" s="124"/>
      <c r="S29" s="116"/>
      <c r="T29" s="54"/>
    </row>
    <row r="30" spans="2:20" s="16" customFormat="1" ht="15">
      <c r="B30" s="108" t="s">
        <v>84</v>
      </c>
      <c r="C30" s="100"/>
      <c r="D30" s="100"/>
      <c r="E30" s="54"/>
      <c r="F30" s="100"/>
      <c r="G30" s="100"/>
      <c r="H30" s="100"/>
      <c r="I30" s="113"/>
      <c r="J30" s="115">
        <f>SUM(J19:J28)</f>
        <v>1.2523169322152212</v>
      </c>
      <c r="K30" s="100"/>
      <c r="L30" s="54"/>
      <c r="M30" s="54"/>
      <c r="O30" s="116">
        <f>SUM(O19:O24)</f>
        <v>1.8512375050471506</v>
      </c>
      <c r="P30" s="116">
        <f>SUM(P19:P29)</f>
        <v>1.8512375050471503</v>
      </c>
      <c r="Q30" s="116">
        <f>SUM(Q19:Q29)</f>
        <v>1.8512375050471503</v>
      </c>
      <c r="R30" s="124"/>
      <c r="S30" s="116"/>
      <c r="T30" s="174">
        <f>COM_Balance!C70-SUM(T26:T28)</f>
        <v>17129.231198999998</v>
      </c>
    </row>
    <row r="31" spans="2:20" s="16" customFormat="1" ht="15">
      <c r="I31" s="94"/>
      <c r="O31" s="95"/>
      <c r="S31" s="94"/>
    </row>
    <row r="32" spans="2:20" s="16" customFormat="1" ht="36.75" customHeight="1">
      <c r="H32" s="95"/>
      <c r="I32" s="94"/>
      <c r="S32" s="94"/>
    </row>
    <row r="33" spans="2:20" s="16" customFormat="1" ht="18.75">
      <c r="B33" s="66" t="str">
        <f>"Base-year technologies for commercial space cooling ("&amp;COM_Balance!$S$12&amp;")"</f>
        <v>Base-year technologies for commercial space cooling (Public Services)</v>
      </c>
      <c r="C33" s="64"/>
      <c r="D33" s="64"/>
      <c r="E33" s="64"/>
      <c r="F33" s="64"/>
      <c r="G33" s="68" t="s">
        <v>80</v>
      </c>
      <c r="H33" s="177"/>
      <c r="I33" s="178"/>
      <c r="J33" s="179"/>
      <c r="K33" s="179"/>
      <c r="L33" s="179"/>
      <c r="O33" s="90"/>
      <c r="P33" s="90"/>
      <c r="Q33" s="90"/>
      <c r="R33" s="123" t="s">
        <v>94</v>
      </c>
      <c r="S33" s="134"/>
      <c r="T33" s="85"/>
    </row>
    <row r="34" spans="2:20" s="16" customFormat="1" ht="60.75" thickBot="1">
      <c r="B34" s="127" t="s">
        <v>22</v>
      </c>
      <c r="C34" s="127" t="s">
        <v>15</v>
      </c>
      <c r="D34" s="127" t="s">
        <v>16</v>
      </c>
      <c r="E34" s="127" t="s">
        <v>95</v>
      </c>
      <c r="F34" s="127" t="s">
        <v>39</v>
      </c>
      <c r="G34" s="127" t="s">
        <v>40</v>
      </c>
      <c r="H34" s="128" t="s">
        <v>82</v>
      </c>
      <c r="I34" s="128" t="s">
        <v>115</v>
      </c>
      <c r="J34" s="128" t="s">
        <v>29</v>
      </c>
      <c r="K34" s="128" t="s">
        <v>30</v>
      </c>
      <c r="L34" s="128" t="s">
        <v>112</v>
      </c>
      <c r="M34" s="128" t="s">
        <v>31</v>
      </c>
      <c r="O34" s="125" t="s">
        <v>127</v>
      </c>
      <c r="P34" s="125" t="s">
        <v>129</v>
      </c>
      <c r="Q34" s="125" t="s">
        <v>130</v>
      </c>
      <c r="R34" s="167" t="s">
        <v>146</v>
      </c>
      <c r="S34" s="125" t="s">
        <v>100</v>
      </c>
      <c r="T34" s="125" t="s">
        <v>101</v>
      </c>
    </row>
    <row r="35" spans="2:20" s="16" customFormat="1" ht="47.25">
      <c r="B35" s="131" t="s">
        <v>25</v>
      </c>
      <c r="C35" s="131"/>
      <c r="D35" s="131"/>
      <c r="E35" s="131" t="s">
        <v>110</v>
      </c>
      <c r="F35" s="131"/>
      <c r="G35" s="131"/>
      <c r="H35" s="131"/>
      <c r="I35" s="133" t="s">
        <v>38</v>
      </c>
      <c r="J35" s="133" t="s">
        <v>114</v>
      </c>
      <c r="K35" s="133" t="s">
        <v>34</v>
      </c>
      <c r="L35" s="133" t="s">
        <v>63</v>
      </c>
      <c r="M35" s="133" t="s">
        <v>113</v>
      </c>
      <c r="O35" s="133" t="s">
        <v>10</v>
      </c>
      <c r="P35" s="133" t="s">
        <v>10</v>
      </c>
      <c r="Q35" s="133" t="s">
        <v>10</v>
      </c>
      <c r="R35" s="155"/>
      <c r="S35" s="133" t="s">
        <v>38</v>
      </c>
      <c r="T35" s="133" t="s">
        <v>32</v>
      </c>
    </row>
    <row r="36" spans="2:20" s="16" customFormat="1" ht="15">
      <c r="B36" s="54" t="str">
        <f t="shared" ref="B36:B41" si="5">$B$8</f>
        <v>CCPS</v>
      </c>
      <c r="C36" s="54" t="str">
        <f>LEFT(B36,5)&amp;RIGHT(F36,3)&amp;"_00"</f>
        <v>CCPSGAS_00</v>
      </c>
      <c r="D36" s="106" t="str">
        <f>"Existing commercial - "&amp;RIGHT(B36,2)&amp;" Space Cooling "&amp;RIGHT(F36,3)</f>
        <v>Existing commercial - PS Space Cooling GAS</v>
      </c>
      <c r="E36" s="54"/>
      <c r="F36" s="54" t="str">
        <f>COM_Balance!$G$13</f>
        <v>COMGAS</v>
      </c>
      <c r="G36" s="54"/>
      <c r="H36" s="158">
        <v>3.2</v>
      </c>
      <c r="I36" s="208">
        <f>S36</f>
        <v>1.9889756484641139E-4</v>
      </c>
      <c r="J36" s="164">
        <f t="shared" ref="J36:J41" si="6">I36*T36/M36/L36</f>
        <v>0</v>
      </c>
      <c r="K36" s="184">
        <v>15</v>
      </c>
      <c r="L36" s="158">
        <v>0.15</v>
      </c>
      <c r="M36" s="54">
        <v>31.536000000000001</v>
      </c>
      <c r="O36" s="90">
        <f t="shared" ref="O36:O41" si="7">IF(H36=0,0,J36*L36*M36/H36)</f>
        <v>0</v>
      </c>
      <c r="P36" s="90">
        <f>COM_Balance!G37</f>
        <v>0</v>
      </c>
      <c r="Q36" s="90">
        <f>P36-O43</f>
        <v>0</v>
      </c>
      <c r="R36" s="124">
        <f t="shared" ref="R36:R41" si="8">H36</f>
        <v>3.2</v>
      </c>
      <c r="S36" s="116">
        <f>IF(T47=0,0,SUMPRODUCT(R36:R41,P36:P41)/(T47))</f>
        <v>1.9889756484641139E-4</v>
      </c>
      <c r="T36" s="76">
        <f t="shared" ref="T36:T41" si="9">IF($Q$47=0,0,R36*Q36/SUMPRODUCT($Q$36:$Q$41,$R$36:$R$41)*$T$47)</f>
        <v>0</v>
      </c>
    </row>
    <row r="37" spans="2:20" s="16" customFormat="1" ht="15.75" thickBot="1">
      <c r="B37" s="54" t="str">
        <f t="shared" si="5"/>
        <v>CCPS</v>
      </c>
      <c r="C37" s="54" t="str">
        <f>LEFT(B37,5)&amp;RIGHT(F37,3)&amp;"_00"</f>
        <v>CCPSGEO_00</v>
      </c>
      <c r="D37" s="106" t="str">
        <f>"Existing commercial - "&amp;RIGHT(B37,2)&amp;" Space Cooling "&amp;RIGHT(F37,3)</f>
        <v>Existing commercial - PS Space Cooling GEO</v>
      </c>
      <c r="E37" s="54"/>
      <c r="F37" s="54" t="str">
        <f>COM_Balance!$K$13</f>
        <v>COMGEO</v>
      </c>
      <c r="G37" s="54"/>
      <c r="H37" s="158">
        <v>3</v>
      </c>
      <c r="I37" s="116">
        <f>I36</f>
        <v>1.9889756484641139E-4</v>
      </c>
      <c r="J37" s="164">
        <f t="shared" si="6"/>
        <v>0</v>
      </c>
      <c r="K37" s="184">
        <v>15</v>
      </c>
      <c r="L37" s="158">
        <v>0.15</v>
      </c>
      <c r="M37" s="54">
        <v>31.536000000000001</v>
      </c>
      <c r="O37" s="90">
        <f t="shared" si="7"/>
        <v>0</v>
      </c>
      <c r="P37" s="90">
        <f>COM_Balance!K37</f>
        <v>0</v>
      </c>
      <c r="Q37" s="90">
        <f>P37</f>
        <v>0</v>
      </c>
      <c r="R37" s="124">
        <f t="shared" si="8"/>
        <v>3</v>
      </c>
      <c r="S37" s="116"/>
      <c r="T37" s="76">
        <f t="shared" si="9"/>
        <v>0</v>
      </c>
    </row>
    <row r="38" spans="2:20" s="16" customFormat="1" ht="15">
      <c r="B38" s="54" t="str">
        <f t="shared" si="5"/>
        <v>CCPS</v>
      </c>
      <c r="C38" s="54" t="str">
        <f>LEFT(B38,5)&amp;RIGHT(F38,3)&amp;"_00_Cen"</f>
        <v>CCPSELC_00_Cen</v>
      </c>
      <c r="D38" s="106" t="str">
        <f>"Existing commercial - "&amp;RIGHT(B38,2)&amp;" Space Cooling "&amp;RIGHT(F38,3)&amp;" Central"</f>
        <v>Existing commercial - PS Space Cooling ELC Central</v>
      </c>
      <c r="E38" s="181">
        <v>8.7401223026174271E-3</v>
      </c>
      <c r="F38" s="54" t="str">
        <f>COM_Balance!$L$13</f>
        <v>COMELC</v>
      </c>
      <c r="G38" s="54"/>
      <c r="H38" s="158">
        <v>3.2</v>
      </c>
      <c r="I38" s="116">
        <f>I37</f>
        <v>1.9889756484641139E-4</v>
      </c>
      <c r="J38" s="164">
        <f t="shared" si="6"/>
        <v>4.3221254715582452E-3</v>
      </c>
      <c r="K38" s="184">
        <v>15</v>
      </c>
      <c r="L38" s="158">
        <v>0.15</v>
      </c>
      <c r="M38" s="54">
        <v>31.536000000000001</v>
      </c>
      <c r="O38" s="90">
        <f t="shared" si="7"/>
        <v>6.389181978330976E-3</v>
      </c>
      <c r="P38" s="90">
        <f>COM_Balance!$L$37*E38</f>
        <v>6.3891819783309768E-3</v>
      </c>
      <c r="Q38" s="90">
        <f>(COM_Balance!$L$37-$O$45)*E38</f>
        <v>6.3891819783309768E-3</v>
      </c>
      <c r="R38" s="124">
        <f t="shared" si="8"/>
        <v>3.2</v>
      </c>
      <c r="S38" s="116"/>
      <c r="T38" s="76">
        <f t="shared" si="9"/>
        <v>102.79352764548445</v>
      </c>
    </row>
    <row r="39" spans="2:20" s="16" customFormat="1" ht="15">
      <c r="B39" s="54" t="str">
        <f t="shared" si="5"/>
        <v>CCPS</v>
      </c>
      <c r="C39" s="54" t="str">
        <f>LEFT(B39,5)&amp;RIGHT(F39,3)&amp;"_00_Roo"</f>
        <v>CCPSELC_00_Roo</v>
      </c>
      <c r="D39" s="106" t="str">
        <f>"Existing commercial - "&amp;RIGHT(B39,2)&amp;" Space Cooling "&amp;RIGHT(F39,3)&amp;" Room"</f>
        <v>Existing commercial - PS Space Cooling ELC Room</v>
      </c>
      <c r="E39" s="183">
        <v>0.92838300055076362</v>
      </c>
      <c r="F39" s="54" t="str">
        <f>COM_Balance!$L$13</f>
        <v>COMELC</v>
      </c>
      <c r="G39" s="54"/>
      <c r="H39" s="158">
        <f>H38</f>
        <v>3.2</v>
      </c>
      <c r="I39" s="116">
        <f>I38</f>
        <v>1.9889756484641139E-4</v>
      </c>
      <c r="J39" s="164">
        <f t="shared" si="6"/>
        <v>0.45909973283102323</v>
      </c>
      <c r="K39" s="184">
        <v>15</v>
      </c>
      <c r="L39" s="158">
        <v>0.15</v>
      </c>
      <c r="M39" s="54">
        <v>31.536000000000001</v>
      </c>
      <c r="O39" s="90">
        <f t="shared" si="7"/>
        <v>0.6786641800574601</v>
      </c>
      <c r="P39" s="90">
        <f>COM_Balance!$L$37*E39</f>
        <v>0.6786641800574601</v>
      </c>
      <c r="Q39" s="90">
        <f>(COM_Balance!$L$37-$O$45)*E39</f>
        <v>0.6786641800574601</v>
      </c>
      <c r="R39" s="124">
        <f t="shared" si="8"/>
        <v>3.2</v>
      </c>
      <c r="S39" s="116"/>
      <c r="T39" s="76">
        <f t="shared" si="9"/>
        <v>10918.813299000809</v>
      </c>
    </row>
    <row r="40" spans="2:20" s="16" customFormat="1" ht="15.75" thickBot="1">
      <c r="B40" s="54" t="str">
        <f t="shared" si="5"/>
        <v>CCPS</v>
      </c>
      <c r="C40" s="54" t="str">
        <f>LEFT(B40,5)&amp;RIGHT(F40,3)&amp;"_00_Fan"</f>
        <v>CCPSELC_00_Fan</v>
      </c>
      <c r="D40" s="106" t="str">
        <f>"Existing commercial - "&amp;RIGHT(B40,2)&amp;" Space Cooling "&amp;RIGHT(F40,3)&amp;" Fans"</f>
        <v>Existing commercial - PS Space Cooling ELC Fans</v>
      </c>
      <c r="E40" s="182">
        <v>6.2876877146618965E-2</v>
      </c>
      <c r="F40" s="54" t="str">
        <f>COM_Balance!$L$13</f>
        <v>COMELC</v>
      </c>
      <c r="G40" s="54"/>
      <c r="H40" s="158">
        <f>H39</f>
        <v>3.2</v>
      </c>
      <c r="I40" s="116">
        <f>I39</f>
        <v>1.9889756484641139E-4</v>
      </c>
      <c r="J40" s="164">
        <f t="shared" si="6"/>
        <v>3.1093586894780086E-2</v>
      </c>
      <c r="K40" s="184">
        <v>15</v>
      </c>
      <c r="L40" s="158">
        <v>0.15</v>
      </c>
      <c r="M40" s="54">
        <v>31.536000000000001</v>
      </c>
      <c r="O40" s="90">
        <f t="shared" si="7"/>
        <v>4.596409482720866E-2</v>
      </c>
      <c r="P40" s="90">
        <f>COM_Balance!$L$37*E40</f>
        <v>4.596409482720866E-2</v>
      </c>
      <c r="Q40" s="90">
        <f>(COM_Balance!$L$37-$O$45)*E40</f>
        <v>4.596409482720866E-2</v>
      </c>
      <c r="R40" s="124">
        <f t="shared" si="8"/>
        <v>3.2</v>
      </c>
      <c r="S40" s="116"/>
      <c r="T40" s="76">
        <f t="shared" si="9"/>
        <v>739.50178103309997</v>
      </c>
    </row>
    <row r="41" spans="2:20" s="16" customFormat="1" ht="15">
      <c r="B41" s="54" t="str">
        <f t="shared" si="5"/>
        <v>CCPS</v>
      </c>
      <c r="C41" s="54" t="str">
        <f>LEFT(B41,5)&amp;RIGHT(F41,3)&amp;"_00"</f>
        <v>CCPSCOO_00</v>
      </c>
      <c r="D41" s="106" t="str">
        <f>"Existing commercial - "&amp;RIGHT(B41,2)&amp;" Space Cooling "&amp;RIGHT(F41,3)</f>
        <v>Existing commercial - PS Space Cooling COO</v>
      </c>
      <c r="E41" s="80"/>
      <c r="F41" s="80" t="str">
        <f>COM_Commodities!$C$18</f>
        <v>COMCOO</v>
      </c>
      <c r="G41" s="54"/>
      <c r="H41" s="158">
        <v>0.96</v>
      </c>
      <c r="I41" s="116">
        <f>I40</f>
        <v>1.9889756484641139E-4</v>
      </c>
      <c r="J41" s="164">
        <f t="shared" si="6"/>
        <v>0</v>
      </c>
      <c r="K41" s="184">
        <v>20</v>
      </c>
      <c r="L41" s="158">
        <v>0.15</v>
      </c>
      <c r="M41" s="54">
        <v>31.536000000000001</v>
      </c>
      <c r="O41" s="90">
        <f t="shared" si="7"/>
        <v>0</v>
      </c>
      <c r="P41" s="90">
        <f>COM_Balance!N37</f>
        <v>0</v>
      </c>
      <c r="Q41" s="90">
        <f>P41</f>
        <v>0</v>
      </c>
      <c r="R41" s="124">
        <f t="shared" si="8"/>
        <v>0.96</v>
      </c>
      <c r="S41" s="116"/>
      <c r="T41" s="76">
        <f t="shared" si="9"/>
        <v>0</v>
      </c>
    </row>
    <row r="42" spans="2:20" s="16" customFormat="1" ht="15">
      <c r="B42" s="162" t="s">
        <v>23</v>
      </c>
      <c r="C42" s="160" t="str">
        <f>COM_CH!C57</f>
        <v>CHPSGAS_00_HP</v>
      </c>
      <c r="D42" s="160" t="str">
        <f>COM_CH!D57</f>
        <v>Existing commercial - PS Space Heat GAS Heat Pump</v>
      </c>
      <c r="E42" s="160"/>
      <c r="F42" s="160" t="str">
        <f>COM_Balance!$G$13</f>
        <v>COMGAS</v>
      </c>
      <c r="G42" s="161" t="str">
        <f>COM_CH!G57</f>
        <v>CHPS</v>
      </c>
      <c r="H42" s="171"/>
      <c r="I42" s="160"/>
      <c r="J42" s="160"/>
      <c r="K42" s="160"/>
      <c r="L42" s="160"/>
      <c r="M42" s="162"/>
      <c r="O42" s="76"/>
      <c r="P42" s="76"/>
      <c r="Q42" s="76"/>
      <c r="R42" s="124"/>
      <c r="S42" s="116"/>
      <c r="T42" s="76"/>
    </row>
    <row r="43" spans="2:20" s="16" customFormat="1" ht="15">
      <c r="B43" s="162" t="s">
        <v>23</v>
      </c>
      <c r="C43" s="160"/>
      <c r="D43" s="160"/>
      <c r="E43" s="160"/>
      <c r="F43" s="160"/>
      <c r="G43" s="161" t="str">
        <f>COM_CH!G58</f>
        <v>CCPS</v>
      </c>
      <c r="H43" s="161">
        <f>COM_CH!I58</f>
        <v>3.2</v>
      </c>
      <c r="I43" s="161"/>
      <c r="J43" s="160">
        <f>COM_CH!M57</f>
        <v>0</v>
      </c>
      <c r="K43" s="160"/>
      <c r="L43" s="160">
        <v>0.15</v>
      </c>
      <c r="M43" s="162">
        <v>31.536000000000001</v>
      </c>
      <c r="O43" s="90">
        <f>IF(H43=0,0,J43*L43*M43/H43)*(1-COM_CH!J57)</f>
        <v>0</v>
      </c>
      <c r="P43" s="116"/>
      <c r="Q43" s="116"/>
      <c r="R43" s="124">
        <f>H43</f>
        <v>3.2</v>
      </c>
      <c r="S43" s="116"/>
      <c r="T43" s="76">
        <f>COM_CH!V57</f>
        <v>0</v>
      </c>
    </row>
    <row r="44" spans="2:20" s="16" customFormat="1" ht="15">
      <c r="B44" s="162" t="s">
        <v>23</v>
      </c>
      <c r="C44" s="160" t="str">
        <f>COM_CH!C70</f>
        <v>CHPSELC_00_HP</v>
      </c>
      <c r="D44" s="160" t="str">
        <f>COM_CH!D70</f>
        <v>Existing commercial - PS Space Heat ELC Heat Pump</v>
      </c>
      <c r="E44" s="160"/>
      <c r="F44" s="160" t="str">
        <f>COM_Balance!$L$13</f>
        <v>COMELC</v>
      </c>
      <c r="G44" s="161" t="str">
        <f>COM_CH!G70</f>
        <v>CHPS</v>
      </c>
      <c r="H44" s="161"/>
      <c r="I44" s="161"/>
      <c r="J44" s="160"/>
      <c r="K44" s="160"/>
      <c r="L44" s="160"/>
      <c r="M44" s="162"/>
      <c r="O44" s="116"/>
      <c r="P44" s="116"/>
      <c r="Q44" s="116"/>
      <c r="R44" s="124"/>
      <c r="S44" s="116"/>
      <c r="T44" s="76"/>
    </row>
    <row r="45" spans="2:20" s="16" customFormat="1" ht="15">
      <c r="B45" s="162" t="s">
        <v>23</v>
      </c>
      <c r="C45" s="160"/>
      <c r="D45" s="160"/>
      <c r="E45" s="160"/>
      <c r="F45" s="160"/>
      <c r="G45" s="161" t="str">
        <f>COM_CH!G71</f>
        <v>CCPS</v>
      </c>
      <c r="H45" s="161">
        <f>COM_CH!I71</f>
        <v>3.2</v>
      </c>
      <c r="I45" s="161"/>
      <c r="J45" s="160">
        <f>COM_CH!M70</f>
        <v>0</v>
      </c>
      <c r="K45" s="160"/>
      <c r="L45" s="160">
        <v>0.15</v>
      </c>
      <c r="M45" s="162">
        <v>31.536000000000001</v>
      </c>
      <c r="O45" s="90">
        <f>IF(H45=0,0,J45*L45*M45/H45)*(1-COM_CH!J70)</f>
        <v>0</v>
      </c>
      <c r="P45" s="116"/>
      <c r="Q45" s="116"/>
      <c r="R45" s="124">
        <f>H45</f>
        <v>3.2</v>
      </c>
      <c r="S45" s="116"/>
      <c r="T45" s="76">
        <f>COM_CH!V70</f>
        <v>0</v>
      </c>
    </row>
    <row r="46" spans="2:20" s="16" customFormat="1" ht="15">
      <c r="B46" s="162" t="s">
        <v>23</v>
      </c>
      <c r="C46" s="160"/>
      <c r="D46" s="160"/>
      <c r="E46" s="160"/>
      <c r="F46" s="160"/>
      <c r="G46" s="161"/>
      <c r="H46" s="171"/>
      <c r="I46" s="160"/>
      <c r="J46" s="160"/>
      <c r="K46" s="160"/>
      <c r="L46" s="160"/>
      <c r="M46" s="162"/>
      <c r="O46" s="116"/>
      <c r="P46" s="116"/>
      <c r="Q46" s="116"/>
      <c r="R46" s="124"/>
      <c r="S46" s="116"/>
      <c r="T46" s="54"/>
    </row>
    <row r="47" spans="2:20" s="16" customFormat="1" ht="15">
      <c r="B47" s="108" t="s">
        <v>84</v>
      </c>
      <c r="C47" s="100"/>
      <c r="D47" s="100"/>
      <c r="E47" s="54"/>
      <c r="F47" s="100"/>
      <c r="G47" s="100"/>
      <c r="H47" s="100"/>
      <c r="I47" s="113"/>
      <c r="J47" s="115">
        <f>SUM(J36:J45)</f>
        <v>0.49451544519736157</v>
      </c>
      <c r="K47" s="100"/>
      <c r="L47" s="54"/>
      <c r="M47" s="54"/>
      <c r="O47" s="116">
        <f>SUM(O36:O41)</f>
        <v>0.73101745686299968</v>
      </c>
      <c r="P47" s="116">
        <f>SUM(P36:P46)</f>
        <v>0.73101745686299968</v>
      </c>
      <c r="Q47" s="116">
        <f>SUM(Q36:Q46)</f>
        <v>0.73101745686299968</v>
      </c>
      <c r="R47" s="124"/>
      <c r="S47" s="116"/>
      <c r="T47" s="174">
        <f>COM_Balance!C71-SUM(T43:T45)</f>
        <v>11761.108607679394</v>
      </c>
    </row>
    <row r="48" spans="2:20" s="16" customFormat="1" ht="15">
      <c r="I48" s="94"/>
      <c r="O48" s="95"/>
      <c r="S48" s="94"/>
    </row>
    <row r="49" s="16" customFormat="1" ht="15"/>
    <row r="50" s="16" customFormat="1" ht="15"/>
    <row r="51" s="16" customFormat="1" ht="15"/>
    <row r="52" s="16" customFormat="1" ht="15"/>
    <row r="53" s="16" customFormat="1" ht="15"/>
    <row r="54" s="16" customFormat="1" ht="15"/>
    <row r="55" s="16" customFormat="1" ht="15"/>
    <row r="56" s="16" customFormat="1" ht="15"/>
    <row r="57" s="16" customFormat="1" ht="15"/>
    <row r="58" s="16" customFormat="1" ht="15"/>
    <row r="59" s="16" customFormat="1" ht="15"/>
    <row r="60" s="16" customFormat="1" ht="15"/>
    <row r="61" s="16" customFormat="1" ht="15"/>
    <row r="62" s="16" customFormat="1" ht="15"/>
    <row r="63" s="16" customFormat="1" ht="15"/>
    <row r="64" s="16" customFormat="1" ht="15"/>
    <row r="65" s="16" customFormat="1" ht="15"/>
    <row r="66" s="16" customFormat="1" ht="15"/>
    <row r="67" s="16" customFormat="1" ht="15"/>
    <row r="68" s="16" customFormat="1" ht="15"/>
    <row r="69" s="16" customFormat="1" ht="15"/>
    <row r="70" s="16" customFormat="1" ht="15"/>
    <row r="71" s="16" customFormat="1" ht="15"/>
    <row r="72" s="16" customFormat="1" ht="15"/>
    <row r="73" s="16" customFormat="1" ht="15"/>
    <row r="74" s="16" customFormat="1" ht="15"/>
    <row r="75" s="16" customFormat="1" ht="15"/>
    <row r="76" s="16" customFormat="1" ht="15"/>
    <row r="77" s="16" customFormat="1" ht="15"/>
    <row r="78" s="16" customFormat="1" ht="15"/>
    <row r="79" s="16" customFormat="1" ht="15"/>
    <row r="80" s="16" customFormat="1" ht="15"/>
    <row r="81" s="16" customFormat="1" ht="15"/>
    <row r="82" s="16" customFormat="1" ht="15"/>
    <row r="83" s="16" customFormat="1" ht="15"/>
    <row r="84" s="16" customFormat="1" ht="15"/>
    <row r="85" s="16" customFormat="1" ht="15"/>
    <row r="86" s="16" customFormat="1" ht="15"/>
    <row r="87" s="16" customFormat="1" ht="15"/>
    <row r="88" s="16" customFormat="1" ht="15"/>
    <row r="89" s="16" customFormat="1" ht="15"/>
    <row r="90" s="16" customFormat="1" ht="15"/>
    <row r="91" s="16" customFormat="1" ht="15"/>
    <row r="92" s="16" customFormat="1" ht="15"/>
    <row r="93" s="16" customFormat="1" ht="15"/>
    <row r="94" s="16" customFormat="1" ht="15"/>
    <row r="95" s="16" customFormat="1" ht="15"/>
    <row r="96" s="16" customFormat="1" ht="15"/>
    <row r="97" s="16" customFormat="1" ht="15"/>
    <row r="98" s="16" customFormat="1" ht="15"/>
    <row r="99" s="16" customFormat="1" ht="15"/>
    <row r="100" s="16" customFormat="1" ht="15"/>
    <row r="101" s="16" customFormat="1" ht="15"/>
    <row r="102" s="16" customFormat="1" ht="15"/>
    <row r="103" s="16" customFormat="1" ht="15"/>
    <row r="104" s="16" customFormat="1" ht="15"/>
    <row r="105" s="16" customFormat="1" ht="15"/>
    <row r="106" s="16" customFormat="1" ht="15"/>
    <row r="107" s="16" customFormat="1" ht="15"/>
    <row r="108" s="16" customFormat="1" ht="15"/>
    <row r="109" s="16" customFormat="1" ht="15"/>
    <row r="110" s="16" customFormat="1" ht="15"/>
    <row r="111" s="16" customFormat="1" ht="15"/>
    <row r="112" s="16" customFormat="1" ht="15"/>
    <row r="113" s="16" customFormat="1" ht="15"/>
    <row r="114" s="16" customFormat="1" ht="15"/>
    <row r="115" s="16" customFormat="1" ht="15"/>
    <row r="116" s="16" customFormat="1" ht="15"/>
    <row r="117" s="16" customFormat="1" ht="15"/>
    <row r="118" s="16" customFormat="1" ht="15"/>
    <row r="119" s="16" customFormat="1" ht="15"/>
    <row r="120" s="16" customFormat="1" ht="15"/>
    <row r="121" s="16" customFormat="1" ht="15"/>
    <row r="122" s="16" customFormat="1" ht="15"/>
    <row r="123" s="16" customFormat="1" ht="15"/>
    <row r="124" s="16" customFormat="1" ht="15"/>
    <row r="125" s="16" customFormat="1" ht="15"/>
    <row r="126" s="16" customFormat="1" ht="15"/>
    <row r="127" s="16" customFormat="1" ht="15"/>
    <row r="128" s="16" customFormat="1" ht="15"/>
    <row r="129" s="16" customFormat="1" ht="15"/>
    <row r="130" s="16" customFormat="1" ht="15"/>
    <row r="131" s="16" customFormat="1" ht="15"/>
    <row r="132" s="16" customFormat="1" ht="15"/>
    <row r="133" s="16" customFormat="1" ht="15"/>
    <row r="134" s="16" customFormat="1" ht="15"/>
    <row r="135" s="16" customFormat="1" ht="15"/>
    <row r="136" s="16" customFormat="1" ht="15"/>
    <row r="137" s="16" customFormat="1" ht="15"/>
    <row r="138" s="16" customFormat="1" ht="15"/>
    <row r="139" s="16" customFormat="1" ht="15"/>
    <row r="140" s="16" customFormat="1" ht="15"/>
    <row r="141" s="16" customFormat="1" ht="15"/>
    <row r="142" s="16" customFormat="1" ht="15"/>
    <row r="143" s="16" customFormat="1" ht="15"/>
    <row r="144" s="16" customFormat="1" ht="15"/>
    <row r="145" s="16" customFormat="1" ht="15"/>
    <row r="146" s="16" customFormat="1" ht="15"/>
    <row r="147" s="16" customFormat="1" ht="15"/>
    <row r="148" s="16" customFormat="1" ht="15"/>
    <row r="149" s="16" customFormat="1" ht="15"/>
    <row r="150" s="16" customFormat="1" ht="15"/>
    <row r="151" s="16" customFormat="1" ht="15"/>
    <row r="152" s="16" customFormat="1" ht="15"/>
    <row r="153" s="16" customFormat="1" ht="15"/>
    <row r="154" s="16" customFormat="1" ht="15"/>
    <row r="155" s="16" customFormat="1" ht="15"/>
    <row r="156" s="16" customFormat="1" ht="15"/>
    <row r="157" s="16" customFormat="1" ht="15"/>
    <row r="158" s="16" customFormat="1" ht="15"/>
    <row r="159" s="16" customFormat="1" ht="15"/>
    <row r="160" s="16" customFormat="1" ht="15"/>
    <row r="161" s="16" customFormat="1" ht="15"/>
    <row r="162" s="16" customFormat="1" ht="15"/>
    <row r="163" s="16" customFormat="1" ht="15"/>
    <row r="164" s="16" customFormat="1" ht="15"/>
    <row r="165" s="16" customFormat="1" ht="15"/>
    <row r="166" s="16" customFormat="1" ht="15"/>
    <row r="167" s="16" customFormat="1" ht="15"/>
    <row r="168" s="16" customFormat="1" ht="15"/>
    <row r="169" s="16" customFormat="1" ht="15"/>
    <row r="170" s="16" customFormat="1" ht="15"/>
    <row r="171" s="16" customFormat="1" ht="15"/>
    <row r="172" s="16" customFormat="1" ht="15"/>
    <row r="173" s="16" customFormat="1" ht="15"/>
    <row r="174" s="16" customFormat="1" ht="15"/>
    <row r="175" s="16" customFormat="1" ht="15"/>
    <row r="176" s="16" customFormat="1" ht="15"/>
    <row r="177" s="16" customFormat="1" ht="15"/>
    <row r="178" s="16" customFormat="1" ht="15"/>
    <row r="179" s="16" customFormat="1" ht="15"/>
    <row r="180" s="16" customFormat="1" ht="15"/>
    <row r="181" s="16" customFormat="1" ht="15"/>
    <row r="182" s="16" customFormat="1" ht="15"/>
    <row r="183" s="16" customFormat="1" ht="15"/>
    <row r="184" s="16" customFormat="1" ht="15"/>
    <row r="185" s="16" customFormat="1" ht="15"/>
    <row r="186" s="16" customFormat="1" ht="15"/>
    <row r="187" s="16" customFormat="1" ht="15"/>
    <row r="188" s="16" customFormat="1" ht="15"/>
    <row r="189" s="16" customFormat="1" ht="15"/>
    <row r="190" s="16" customFormat="1" ht="15"/>
    <row r="191" s="16" customFormat="1" ht="15"/>
    <row r="192" s="16" customFormat="1" ht="15"/>
    <row r="193" s="16" customFormat="1" ht="15"/>
    <row r="194" s="16" customFormat="1" ht="15"/>
    <row r="195" s="16" customFormat="1" ht="15"/>
    <row r="196" s="16" customFormat="1" ht="15"/>
    <row r="197" s="16" customFormat="1" ht="15"/>
    <row r="198" s="16" customFormat="1" ht="15"/>
    <row r="199" s="16" customFormat="1" ht="15"/>
    <row r="200" s="16" customFormat="1" ht="15"/>
    <row r="201" s="16" customFormat="1" ht="15"/>
    <row r="202" s="16" customFormat="1" ht="15"/>
    <row r="203" s="16" customFormat="1" ht="15"/>
    <row r="204" s="16" customFormat="1" ht="15"/>
    <row r="205" s="16" customFormat="1" ht="15"/>
    <row r="206" s="16" customFormat="1" ht="15"/>
    <row r="207" s="16" customFormat="1" ht="15"/>
    <row r="208" s="16" customFormat="1" ht="15"/>
    <row r="209" s="16" customFormat="1" ht="15"/>
    <row r="210" s="16" customFormat="1" ht="15"/>
    <row r="211" s="16" customFormat="1" ht="15"/>
    <row r="212" s="16" customFormat="1" ht="15"/>
    <row r="213" s="16" customFormat="1" ht="15"/>
    <row r="214" s="16" customFormat="1" ht="15"/>
    <row r="215" s="16" customFormat="1" ht="15"/>
    <row r="216" s="16" customFormat="1" ht="15"/>
    <row r="217" s="16" customFormat="1" ht="15"/>
    <row r="218" s="16" customFormat="1" ht="15"/>
    <row r="219" s="16" customFormat="1" ht="15"/>
    <row r="220" s="16" customFormat="1" ht="15"/>
    <row r="221" s="16" customFormat="1" ht="15"/>
    <row r="222" s="16" customFormat="1" ht="15"/>
    <row r="223" s="16" customFormat="1" ht="15"/>
    <row r="224" s="16" customFormat="1" ht="15"/>
    <row r="225" s="16" customFormat="1" ht="15"/>
    <row r="226" s="16" customFormat="1" ht="15"/>
    <row r="227" s="16" customFormat="1" ht="15"/>
    <row r="228" s="16" customFormat="1" ht="15"/>
    <row r="229" s="16" customFormat="1" ht="15"/>
    <row r="230" s="16" customFormat="1" ht="15"/>
    <row r="231" s="16" customFormat="1" ht="15"/>
    <row r="232" s="16" customFormat="1" ht="15"/>
    <row r="233" s="16" customFormat="1" ht="15"/>
    <row r="234" s="16" customFormat="1" ht="15"/>
    <row r="235" s="16" customFormat="1" ht="15"/>
    <row r="236" s="16" customFormat="1" ht="15"/>
    <row r="237" s="16" customFormat="1" ht="15"/>
    <row r="238" s="16" customFormat="1" ht="15"/>
    <row r="239" s="16" customFormat="1" ht="15"/>
    <row r="240" s="16" customFormat="1" ht="15"/>
    <row r="241" s="16" customFormat="1" ht="15"/>
    <row r="242" s="16" customFormat="1" ht="15"/>
    <row r="243" s="16" customFormat="1" ht="15"/>
    <row r="244" s="16" customFormat="1" ht="15"/>
    <row r="245" s="16" customFormat="1" ht="15"/>
    <row r="246" s="16" customFormat="1" ht="15"/>
    <row r="247" s="16" customFormat="1" ht="15"/>
    <row r="248" s="16" customFormat="1" ht="15"/>
    <row r="249" s="16" customFormat="1" ht="15"/>
    <row r="250" s="16" customFormat="1" ht="15"/>
    <row r="251" s="16" customFormat="1" ht="15"/>
    <row r="252" s="16" customFormat="1" ht="15"/>
    <row r="253" s="16" customFormat="1" ht="15"/>
    <row r="254" s="16" customFormat="1" ht="15"/>
    <row r="255" s="16" customFormat="1" ht="15"/>
    <row r="256" s="16" customFormat="1" ht="15"/>
    <row r="257" s="16" customFormat="1" ht="15"/>
    <row r="258" s="16" customFormat="1" ht="15"/>
    <row r="259" s="16" customFormat="1" ht="15"/>
    <row r="260" s="16" customFormat="1" ht="15"/>
    <row r="261" s="16" customFormat="1" ht="15"/>
    <row r="262" s="16" customFormat="1" ht="15"/>
    <row r="263" s="16" customFormat="1" ht="15"/>
    <row r="264" s="16" customFormat="1" ht="15"/>
    <row r="265" s="16" customFormat="1" ht="15"/>
    <row r="266" s="16" customFormat="1" ht="15"/>
    <row r="267" s="16" customFormat="1" ht="15"/>
    <row r="268" s="16" customFormat="1" ht="15"/>
    <row r="269" s="16" customFormat="1" ht="15"/>
    <row r="270" s="16" customFormat="1" ht="15"/>
    <row r="271" s="16" customFormat="1" ht="15"/>
    <row r="272" s="16" customFormat="1" ht="15"/>
    <row r="273" s="16" customFormat="1" ht="15"/>
    <row r="274" s="16" customFormat="1" ht="15"/>
    <row r="275" s="16" customFormat="1" ht="15"/>
    <row r="276" s="16" customFormat="1" ht="15"/>
    <row r="277" s="16" customFormat="1" ht="15"/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9">
    <tabColor rgb="FFFFC000"/>
  </sheetPr>
  <dimension ref="B1:X100"/>
  <sheetViews>
    <sheetView zoomScale="80" zoomScaleNormal="80" workbookViewId="0">
      <selection activeCell="G36" sqref="G36"/>
    </sheetView>
  </sheetViews>
  <sheetFormatPr defaultColWidth="9.140625" defaultRowHeight="12.75"/>
  <cols>
    <col min="1" max="1" width="4.42578125" style="65" customWidth="1"/>
    <col min="2" max="2" width="15.5703125" style="65" customWidth="1"/>
    <col min="3" max="3" width="17.28515625" style="65" bestFit="1" customWidth="1"/>
    <col min="4" max="4" width="62.140625" style="65" bestFit="1" customWidth="1"/>
    <col min="5" max="5" width="14.5703125" style="65" customWidth="1"/>
    <col min="6" max="11" width="11.28515625" style="65" customWidth="1"/>
    <col min="12" max="12" width="11.28515625" style="175" customWidth="1"/>
    <col min="13" max="15" width="11.28515625" style="65" customWidth="1"/>
    <col min="16" max="16" width="11.28515625" style="135" customWidth="1"/>
    <col min="17" max="21" width="11.28515625" style="65" customWidth="1"/>
    <col min="22" max="22" width="7.28515625" style="65" bestFit="1" customWidth="1"/>
    <col min="23" max="253" width="11.42578125" style="65" customWidth="1"/>
    <col min="254" max="16384" width="9.140625" style="65"/>
  </cols>
  <sheetData>
    <row r="1" spans="2:21" ht="26.25">
      <c r="B1" s="83" t="s">
        <v>250</v>
      </c>
    </row>
    <row r="3" spans="2:21" ht="18.75">
      <c r="B3" s="66" t="s">
        <v>249</v>
      </c>
      <c r="C3" s="64"/>
      <c r="D3" s="64"/>
      <c r="F3" s="78" t="s">
        <v>234</v>
      </c>
      <c r="G3" s="16"/>
      <c r="I3" s="16"/>
      <c r="P3" s="65"/>
    </row>
    <row r="4" spans="2:21" s="16" customFormat="1" ht="15">
      <c r="B4" s="68" t="s">
        <v>80</v>
      </c>
      <c r="F4" s="122" t="s">
        <v>237</v>
      </c>
      <c r="G4" s="114"/>
      <c r="I4" s="86"/>
      <c r="J4" s="75"/>
      <c r="K4" s="75"/>
      <c r="L4" s="75"/>
      <c r="M4" s="75"/>
      <c r="N4" s="75"/>
      <c r="O4" s="75"/>
      <c r="P4" s="75"/>
      <c r="Q4" s="75"/>
    </row>
    <row r="5" spans="2:21" s="16" customFormat="1" ht="15.75" thickBot="1">
      <c r="B5" s="185" t="s">
        <v>17</v>
      </c>
      <c r="C5" s="186" t="s">
        <v>78</v>
      </c>
      <c r="D5" s="188"/>
      <c r="F5" s="121" t="s">
        <v>236</v>
      </c>
      <c r="G5" s="121"/>
      <c r="H5" s="121"/>
      <c r="J5" s="86"/>
      <c r="K5" s="86"/>
      <c r="L5" s="86"/>
      <c r="M5" s="86"/>
      <c r="N5" s="86"/>
      <c r="O5" s="86"/>
      <c r="P5" s="75"/>
      <c r="Q5" s="75"/>
    </row>
    <row r="6" spans="2:21" s="16" customFormat="1" ht="15">
      <c r="B6" s="187" t="s">
        <v>148</v>
      </c>
      <c r="C6" s="187" t="s">
        <v>10</v>
      </c>
      <c r="D6" s="189" t="s">
        <v>233</v>
      </c>
      <c r="F6" s="75"/>
      <c r="G6" s="86"/>
      <c r="H6" s="86"/>
      <c r="I6" s="86"/>
      <c r="J6" s="86"/>
      <c r="K6" s="86"/>
      <c r="L6" s="86"/>
      <c r="M6" s="86"/>
      <c r="N6" s="86"/>
      <c r="O6" s="86"/>
      <c r="P6" s="75"/>
      <c r="Q6" s="75"/>
    </row>
    <row r="7" spans="2:21" s="16" customFormat="1" ht="15">
      <c r="B7" s="54" t="str">
        <f>COM_Commodities!C35</f>
        <v>CLIG</v>
      </c>
      <c r="C7" s="180">
        <f>I30*H25</f>
        <v>22.658222246043156</v>
      </c>
      <c r="D7" s="54" t="str">
        <f>COM_Commodities!D35</f>
        <v>Commercial Lighting Demand</v>
      </c>
      <c r="F7" s="75"/>
      <c r="G7" s="144"/>
      <c r="H7" s="144"/>
      <c r="I7" s="144"/>
      <c r="J7" s="144"/>
      <c r="K7" s="144"/>
      <c r="L7" s="144"/>
      <c r="M7" s="144"/>
      <c r="N7" s="144"/>
      <c r="O7" s="144"/>
      <c r="P7" s="136"/>
      <c r="Q7" s="75"/>
    </row>
    <row r="8" spans="2:21" s="16" customFormat="1" ht="15">
      <c r="B8" s="54" t="str">
        <f>COM_Commodities!C36</f>
        <v>CCOK</v>
      </c>
      <c r="C8" s="180">
        <f>I45*H36</f>
        <v>1.0121675156415757</v>
      </c>
      <c r="D8" s="54" t="str">
        <f>COM_Commodities!D36</f>
        <v>Commercial Cooking Demand</v>
      </c>
      <c r="F8" s="75"/>
      <c r="G8" s="144"/>
      <c r="H8" s="144"/>
      <c r="I8" s="144"/>
      <c r="J8" s="144"/>
      <c r="K8" s="144"/>
      <c r="L8" s="144"/>
      <c r="M8" s="144"/>
      <c r="N8" s="144"/>
      <c r="O8" s="144"/>
      <c r="P8" s="136"/>
      <c r="Q8" s="75"/>
    </row>
    <row r="9" spans="2:21" s="16" customFormat="1" ht="15">
      <c r="B9" s="54" t="str">
        <f>COM_Commodities!C37</f>
        <v>CREF</v>
      </c>
      <c r="C9" s="180">
        <f>I55*H51</f>
        <v>1.6336225870664629</v>
      </c>
      <c r="D9" s="54" t="str">
        <f>COM_Commodities!D37</f>
        <v>Commercial Refrigeration Demand</v>
      </c>
      <c r="F9" s="75"/>
      <c r="G9" s="144"/>
      <c r="H9" s="144"/>
      <c r="I9" s="144"/>
      <c r="J9" s="144"/>
      <c r="K9" s="144"/>
      <c r="L9" s="144"/>
      <c r="M9" s="144"/>
      <c r="N9" s="144"/>
      <c r="O9" s="144"/>
      <c r="P9" s="136"/>
      <c r="Q9" s="75"/>
    </row>
    <row r="10" spans="2:21" s="16" customFormat="1" ht="15">
      <c r="B10" s="54" t="str">
        <f>COM_Commodities!C38</f>
        <v>CPLI</v>
      </c>
      <c r="C10" s="180">
        <f>I63*H61</f>
        <v>0.62101142059626446</v>
      </c>
      <c r="D10" s="54" t="str">
        <f>COM_Commodities!D38</f>
        <v>Commercial Public Lighting Demand</v>
      </c>
      <c r="F10" s="75"/>
      <c r="G10" s="144"/>
      <c r="H10" s="144"/>
      <c r="I10" s="144"/>
      <c r="J10" s="144"/>
      <c r="K10" s="144"/>
      <c r="L10" s="144"/>
      <c r="M10" s="144"/>
      <c r="N10" s="144"/>
      <c r="O10" s="144"/>
      <c r="P10" s="136"/>
      <c r="Q10" s="75"/>
    </row>
    <row r="11" spans="2:21" s="16" customFormat="1" ht="15">
      <c r="B11" s="54" t="str">
        <f>COM_Commodities!C39</f>
        <v>COEL</v>
      </c>
      <c r="C11" s="180">
        <f>I71*H69</f>
        <v>10.11467485929367</v>
      </c>
      <c r="D11" s="54" t="str">
        <f>COM_Commodities!D39</f>
        <v>Commercial Other Electric Demand</v>
      </c>
      <c r="F11" s="75"/>
      <c r="G11" s="144"/>
      <c r="H11" s="144"/>
      <c r="I11" s="144"/>
      <c r="J11" s="144"/>
      <c r="K11" s="144"/>
      <c r="L11" s="144"/>
      <c r="M11" s="144"/>
      <c r="N11" s="144"/>
      <c r="O11" s="144"/>
      <c r="P11" s="136"/>
      <c r="Q11" s="75"/>
    </row>
    <row r="12" spans="2:21" s="16" customFormat="1" ht="15">
      <c r="B12" s="69"/>
      <c r="C12" s="212"/>
      <c r="D12" s="69"/>
      <c r="F12" s="75"/>
      <c r="G12" s="144"/>
      <c r="H12" s="144"/>
      <c r="I12" s="144"/>
      <c r="J12" s="144"/>
      <c r="K12" s="144"/>
      <c r="L12" s="144"/>
      <c r="M12" s="144"/>
      <c r="N12" s="144"/>
      <c r="O12" s="144"/>
      <c r="P12" s="136"/>
      <c r="Q12" s="75"/>
    </row>
    <row r="13" spans="2:21" s="16" customFormat="1" ht="18.75">
      <c r="B13" s="66" t="s">
        <v>585</v>
      </c>
      <c r="C13" s="64"/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</row>
    <row r="14" spans="2:21" s="16" customFormat="1" ht="15">
      <c r="C14" s="68" t="s">
        <v>557</v>
      </c>
    </row>
    <row r="15" spans="2:21" s="16" customFormat="1" ht="16.5" thickBot="1">
      <c r="B15" s="96" t="s">
        <v>17</v>
      </c>
      <c r="C15" s="96" t="s">
        <v>558</v>
      </c>
      <c r="D15" s="96" t="s">
        <v>575</v>
      </c>
      <c r="E15" s="96" t="s">
        <v>576</v>
      </c>
      <c r="F15" s="97" t="s">
        <v>559</v>
      </c>
      <c r="G15" s="97" t="s">
        <v>560</v>
      </c>
      <c r="H15" s="97" t="s">
        <v>561</v>
      </c>
      <c r="I15" s="97" t="s">
        <v>562</v>
      </c>
      <c r="J15" s="97" t="s">
        <v>563</v>
      </c>
      <c r="K15" s="97" t="s">
        <v>564</v>
      </c>
      <c r="L15" s="97" t="s">
        <v>565</v>
      </c>
      <c r="M15" s="97" t="s">
        <v>566</v>
      </c>
      <c r="N15" s="97" t="s">
        <v>567</v>
      </c>
      <c r="O15" s="97" t="s">
        <v>568</v>
      </c>
      <c r="P15" s="97" t="s">
        <v>569</v>
      </c>
      <c r="Q15" s="97" t="s">
        <v>570</v>
      </c>
      <c r="R15" s="97" t="s">
        <v>571</v>
      </c>
      <c r="S15" s="97" t="s">
        <v>572</v>
      </c>
      <c r="T15" s="97" t="s">
        <v>573</v>
      </c>
      <c r="U15" s="97" t="s">
        <v>574</v>
      </c>
    </row>
    <row r="16" spans="2:21" s="16" customFormat="1" ht="15">
      <c r="B16" s="54" t="str">
        <f>B7</f>
        <v>CLIG</v>
      </c>
      <c r="C16" s="54" t="s">
        <v>577</v>
      </c>
      <c r="D16" s="54" t="s">
        <v>578</v>
      </c>
      <c r="E16" s="54" t="s">
        <v>586</v>
      </c>
      <c r="F16" s="589">
        <v>0.1125</v>
      </c>
      <c r="G16" s="589">
        <v>3.7499999999999999E-2</v>
      </c>
      <c r="H16" s="589">
        <v>0.05</v>
      </c>
      <c r="I16" s="589">
        <v>0.05</v>
      </c>
      <c r="J16" s="589">
        <v>0.1125</v>
      </c>
      <c r="K16" s="589">
        <v>3.7499999999999999E-2</v>
      </c>
      <c r="L16" s="589">
        <v>0.05</v>
      </c>
      <c r="M16" s="589">
        <v>0.05</v>
      </c>
      <c r="N16" s="589">
        <v>0.09</v>
      </c>
      <c r="O16" s="589">
        <v>0.03</v>
      </c>
      <c r="P16" s="589">
        <v>0.04</v>
      </c>
      <c r="Q16" s="589">
        <v>0.04</v>
      </c>
      <c r="R16" s="589">
        <v>0.13500000000000001</v>
      </c>
      <c r="S16" s="589">
        <v>4.4999999999999998E-2</v>
      </c>
      <c r="T16" s="589">
        <v>0.06</v>
      </c>
      <c r="U16" s="589">
        <v>0.06</v>
      </c>
    </row>
    <row r="17" spans="2:24" s="16" customFormat="1" ht="15">
      <c r="B17" s="54" t="str">
        <f>B8</f>
        <v>CCOK</v>
      </c>
      <c r="C17" s="54" t="s">
        <v>577</v>
      </c>
      <c r="D17" s="54" t="s">
        <v>578</v>
      </c>
      <c r="E17" s="54" t="s">
        <v>587</v>
      </c>
      <c r="F17" s="589">
        <v>0.15</v>
      </c>
      <c r="G17" s="589">
        <v>2.5000000000000001E-2</v>
      </c>
      <c r="H17" s="589">
        <v>0</v>
      </c>
      <c r="I17" s="589">
        <v>7.4999999999999997E-2</v>
      </c>
      <c r="J17" s="589">
        <v>0.15</v>
      </c>
      <c r="K17" s="589">
        <v>2.5000000000000001E-2</v>
      </c>
      <c r="L17" s="589">
        <v>0</v>
      </c>
      <c r="M17" s="589">
        <v>7.4999999999999997E-2</v>
      </c>
      <c r="N17" s="589">
        <v>0.15</v>
      </c>
      <c r="O17" s="589">
        <v>2.5000000000000001E-2</v>
      </c>
      <c r="P17" s="589">
        <v>0</v>
      </c>
      <c r="Q17" s="589">
        <v>7.4999999999999997E-2</v>
      </c>
      <c r="R17" s="589">
        <v>0.15</v>
      </c>
      <c r="S17" s="589">
        <v>2.5000000000000001E-2</v>
      </c>
      <c r="T17" s="589">
        <v>0</v>
      </c>
      <c r="U17" s="589">
        <v>7.4999999999999997E-2</v>
      </c>
    </row>
    <row r="18" spans="2:24" s="16" customFormat="1" ht="15">
      <c r="B18" s="54" t="str">
        <f>B9</f>
        <v>CREF</v>
      </c>
      <c r="C18" s="54" t="s">
        <v>577</v>
      </c>
      <c r="D18" s="54" t="s">
        <v>578</v>
      </c>
      <c r="E18" s="54" t="s">
        <v>588</v>
      </c>
      <c r="F18" s="589">
        <v>0.104166666666667</v>
      </c>
      <c r="G18" s="589">
        <v>4.1666666666666699E-2</v>
      </c>
      <c r="H18" s="589">
        <v>7.2916666666666699E-2</v>
      </c>
      <c r="I18" s="589">
        <v>3.125E-2</v>
      </c>
      <c r="J18" s="589">
        <v>0.104166666666667</v>
      </c>
      <c r="K18" s="589">
        <v>4.1666666666666699E-2</v>
      </c>
      <c r="L18" s="589">
        <v>7.2916666666666699E-2</v>
      </c>
      <c r="M18" s="589">
        <v>3.125E-2</v>
      </c>
      <c r="N18" s="589">
        <v>0.125</v>
      </c>
      <c r="O18" s="589">
        <v>0.05</v>
      </c>
      <c r="P18" s="589">
        <v>8.7499999999999994E-2</v>
      </c>
      <c r="Q18" s="589">
        <v>3.7499999999999999E-2</v>
      </c>
      <c r="R18" s="589">
        <v>8.3333333333333301E-2</v>
      </c>
      <c r="S18" s="589">
        <v>3.3333333333333298E-2</v>
      </c>
      <c r="T18" s="589">
        <v>5.83333333333333E-2</v>
      </c>
      <c r="U18" s="589">
        <v>2.5000000000000001E-2</v>
      </c>
    </row>
    <row r="19" spans="2:24" s="16" customFormat="1" ht="15">
      <c r="B19" s="54" t="str">
        <f>B10</f>
        <v>CPLI</v>
      </c>
      <c r="C19" s="54" t="s">
        <v>577</v>
      </c>
      <c r="D19" s="54" t="s">
        <v>578</v>
      </c>
      <c r="E19" s="54" t="s">
        <v>589</v>
      </c>
      <c r="F19" s="589">
        <v>0.1125</v>
      </c>
      <c r="G19" s="589">
        <v>3.7499999999999999E-2</v>
      </c>
      <c r="H19" s="589">
        <v>0.05</v>
      </c>
      <c r="I19" s="589">
        <v>0.05</v>
      </c>
      <c r="J19" s="589">
        <v>0.1125</v>
      </c>
      <c r="K19" s="589">
        <v>3.7499999999999999E-2</v>
      </c>
      <c r="L19" s="589">
        <v>0.05</v>
      </c>
      <c r="M19" s="589">
        <v>0.05</v>
      </c>
      <c r="N19" s="589">
        <v>0.09</v>
      </c>
      <c r="O19" s="589">
        <v>0.03</v>
      </c>
      <c r="P19" s="589">
        <v>0.04</v>
      </c>
      <c r="Q19" s="589">
        <v>0.04</v>
      </c>
      <c r="R19" s="589">
        <v>0.13500000000000001</v>
      </c>
      <c r="S19" s="589">
        <v>4.4999999999999998E-2</v>
      </c>
      <c r="T19" s="589">
        <v>0.06</v>
      </c>
      <c r="U19" s="589">
        <v>0.06</v>
      </c>
    </row>
    <row r="20" spans="2:24" s="16" customFormat="1" ht="15">
      <c r="B20" s="54" t="str">
        <f>B11</f>
        <v>COEL</v>
      </c>
      <c r="C20" s="54" t="s">
        <v>577</v>
      </c>
      <c r="D20" s="54" t="s">
        <v>578</v>
      </c>
      <c r="E20" s="54" t="s">
        <v>590</v>
      </c>
      <c r="F20" s="589">
        <v>0.104166666666667</v>
      </c>
      <c r="G20" s="589">
        <v>4.1666666666666699E-2</v>
      </c>
      <c r="H20" s="589">
        <v>7.2916666666666699E-2</v>
      </c>
      <c r="I20" s="589">
        <v>3.125E-2</v>
      </c>
      <c r="J20" s="589">
        <v>0.104166666666667</v>
      </c>
      <c r="K20" s="589">
        <v>4.1666666666666699E-2</v>
      </c>
      <c r="L20" s="589">
        <v>7.2916666666666699E-2</v>
      </c>
      <c r="M20" s="589">
        <v>3.125E-2</v>
      </c>
      <c r="N20" s="589">
        <v>0.104166666666667</v>
      </c>
      <c r="O20" s="589">
        <v>4.1666666666666699E-2</v>
      </c>
      <c r="P20" s="589">
        <v>7.2916666666666699E-2</v>
      </c>
      <c r="Q20" s="589">
        <v>3.125E-2</v>
      </c>
      <c r="R20" s="589">
        <v>0.104166666666667</v>
      </c>
      <c r="S20" s="589">
        <v>4.1666666666666699E-2</v>
      </c>
      <c r="T20" s="589">
        <v>7.2916666666666699E-2</v>
      </c>
      <c r="U20" s="589">
        <v>3.125E-2</v>
      </c>
    </row>
    <row r="21" spans="2:24" customFormat="1"/>
    <row r="22" spans="2:24" s="16" customFormat="1" ht="18.75">
      <c r="B22" s="66" t="s">
        <v>90</v>
      </c>
      <c r="C22" s="64"/>
      <c r="D22" s="64"/>
      <c r="E22" s="64"/>
      <c r="F22" s="68" t="s">
        <v>80</v>
      </c>
      <c r="G22" s="101"/>
      <c r="H22" s="102"/>
      <c r="I22" s="103"/>
      <c r="J22" s="103"/>
      <c r="K22" s="104"/>
      <c r="L22" s="103"/>
      <c r="M22" s="90" t="s">
        <v>238</v>
      </c>
      <c r="N22" s="90"/>
      <c r="O22" s="203" t="s">
        <v>94</v>
      </c>
      <c r="P22" s="134"/>
      <c r="Q22" s="85"/>
      <c r="S22" s="16" t="s">
        <v>496</v>
      </c>
      <c r="T22" s="16" t="s">
        <v>497</v>
      </c>
      <c r="U22" s="16" t="s">
        <v>498</v>
      </c>
    </row>
    <row r="23" spans="2:24" s="16" customFormat="1" ht="60.75" thickBot="1">
      <c r="B23" s="190" t="s">
        <v>22</v>
      </c>
      <c r="C23" s="190" t="s">
        <v>15</v>
      </c>
      <c r="D23" s="190" t="s">
        <v>16</v>
      </c>
      <c r="E23" s="190" t="s">
        <v>246</v>
      </c>
      <c r="F23" s="190" t="s">
        <v>39</v>
      </c>
      <c r="G23" s="186" t="s">
        <v>82</v>
      </c>
      <c r="H23" s="128" t="s">
        <v>211</v>
      </c>
      <c r="I23" s="128" t="s">
        <v>240</v>
      </c>
      <c r="J23" s="128" t="s">
        <v>239</v>
      </c>
      <c r="K23" s="128" t="s">
        <v>112</v>
      </c>
      <c r="L23" s="69"/>
      <c r="M23" s="125" t="s">
        <v>129</v>
      </c>
      <c r="N23" s="125" t="s">
        <v>130</v>
      </c>
      <c r="O23" s="167" t="s">
        <v>146</v>
      </c>
      <c r="P23" s="125" t="s">
        <v>100</v>
      </c>
      <c r="Q23" s="125" t="s">
        <v>101</v>
      </c>
    </row>
    <row r="24" spans="2:24" s="16" customFormat="1" ht="48" thickBot="1">
      <c r="B24" s="191" t="s">
        <v>235</v>
      </c>
      <c r="C24" s="191"/>
      <c r="D24" s="191"/>
      <c r="E24" s="191" t="s">
        <v>110</v>
      </c>
      <c r="F24" s="191"/>
      <c r="G24" s="191"/>
      <c r="H24" s="202" t="s">
        <v>38</v>
      </c>
      <c r="I24" s="202" t="s">
        <v>32</v>
      </c>
      <c r="J24" s="202" t="s">
        <v>34</v>
      </c>
      <c r="K24" s="202" t="s">
        <v>109</v>
      </c>
      <c r="L24" s="69"/>
      <c r="M24" s="133" t="s">
        <v>10</v>
      </c>
      <c r="N24" s="133" t="s">
        <v>10</v>
      </c>
      <c r="O24" s="155"/>
      <c r="P24" s="133" t="s">
        <v>38</v>
      </c>
      <c r="Q24" s="133" t="s">
        <v>32</v>
      </c>
      <c r="S24" s="225" t="s">
        <v>131</v>
      </c>
      <c r="T24" s="226" t="s">
        <v>132</v>
      </c>
      <c r="U24" s="226" t="s">
        <v>133</v>
      </c>
      <c r="V24" s="227" t="s">
        <v>134</v>
      </c>
      <c r="X24" s="470" t="s">
        <v>499</v>
      </c>
    </row>
    <row r="25" spans="2:24" s="16" customFormat="1" ht="15">
      <c r="B25" s="54" t="str">
        <f>$B$7</f>
        <v>CLIG</v>
      </c>
      <c r="C25" s="54" t="str">
        <f>LEFT(B25,5)&amp;RIGHT(F25,3)&amp;"_00_IStd"</f>
        <v>CLIGELC_00_IStd</v>
      </c>
      <c r="D25" s="106" t="str">
        <f>"Existing commercial - Lighting "&amp;RIGHT(F25,3)&amp;" Incandescent STD"</f>
        <v>Existing commercial - Lighting ELC Incandescent STD</v>
      </c>
      <c r="E25" s="199">
        <v>0.2</v>
      </c>
      <c r="F25" s="54" t="str">
        <f>COM_Balance!$L$13</f>
        <v>COMELC</v>
      </c>
      <c r="G25" s="201">
        <v>1</v>
      </c>
      <c r="H25" s="208">
        <f>P25</f>
        <v>1.0512E-3</v>
      </c>
      <c r="I25" s="207">
        <f>U25</f>
        <v>1775.5045654298244</v>
      </c>
      <c r="J25" s="72">
        <v>1</v>
      </c>
      <c r="K25" s="205"/>
      <c r="L25" s="69"/>
      <c r="M25" s="139">
        <f>IF(G25=0,0,I25*H25/G25)</f>
        <v>1.8664103991798313</v>
      </c>
      <c r="N25" s="139">
        <f>COM_Balance!L42*E25</f>
        <v>1.8664103991798315</v>
      </c>
      <c r="O25" s="124">
        <f>G25</f>
        <v>1</v>
      </c>
      <c r="P25" s="112">
        <f>IF(Q30=0,0,SUMPRODUCT(O25:O28,N25:N28)/Q30)</f>
        <v>1.0512E-3</v>
      </c>
      <c r="Q25" s="76">
        <f>U25</f>
        <v>1775.5045654298244</v>
      </c>
      <c r="S25" s="217">
        <v>100</v>
      </c>
      <c r="T25" s="218">
        <v>8</v>
      </c>
      <c r="U25" s="219">
        <f>N25/(S25*3600*T25*365)*G25*10^12</f>
        <v>1775.5045654298244</v>
      </c>
      <c r="V25" s="220">
        <v>1000</v>
      </c>
      <c r="X25" s="477"/>
    </row>
    <row r="26" spans="2:24" s="16" customFormat="1" ht="15">
      <c r="B26" s="54" t="str">
        <f>$B$7</f>
        <v>CLIG</v>
      </c>
      <c r="C26" s="54" t="str">
        <f>LEFT(B26,5)&amp;RIGHT(F26,3)&amp;"_00_IImp"</f>
        <v>CLIGELC_00_IImp</v>
      </c>
      <c r="D26" s="106" t="str">
        <f>"Existing commercial - Lighting "&amp;RIGHT(F26,3)&amp;" Incandescent IMP"</f>
        <v>Existing commercial - Lighting ELC Incandescent IMP</v>
      </c>
      <c r="E26" s="200">
        <v>0.3</v>
      </c>
      <c r="F26" s="54" t="str">
        <f>COM_Balance!$L$13</f>
        <v>COMELC</v>
      </c>
      <c r="G26" s="201">
        <v>1.1000000000000001</v>
      </c>
      <c r="H26" s="116">
        <f>H25</f>
        <v>1.0512E-3</v>
      </c>
      <c r="I26" s="207">
        <f>U26</f>
        <v>2929.5825329592103</v>
      </c>
      <c r="J26" s="72">
        <v>1.5</v>
      </c>
      <c r="K26" s="205"/>
      <c r="L26" s="69"/>
      <c r="M26" s="139">
        <f>IF(G26=0,0,I26*H26/G26)</f>
        <v>2.7996155987697469</v>
      </c>
      <c r="N26" s="139">
        <f>COM_Balance!L42*E26</f>
        <v>2.7996155987697469</v>
      </c>
      <c r="O26" s="124">
        <f>G26</f>
        <v>1.1000000000000001</v>
      </c>
      <c r="P26" s="73"/>
      <c r="Q26" s="76">
        <f>U26</f>
        <v>2929.5825329592103</v>
      </c>
      <c r="S26" s="213">
        <v>100</v>
      </c>
      <c r="T26" s="214">
        <v>8</v>
      </c>
      <c r="U26" s="215">
        <f>N26/(S26*3600*T26*365)*G26*10^12</f>
        <v>2929.5825329592103</v>
      </c>
      <c r="V26" s="216">
        <v>1500</v>
      </c>
      <c r="X26" s="478"/>
    </row>
    <row r="27" spans="2:24" s="16" customFormat="1" ht="15">
      <c r="B27" s="54" t="str">
        <f>$B$7</f>
        <v>CLIG</v>
      </c>
      <c r="C27" s="54" t="str">
        <f>LEFT(B27,5)&amp;RIGHT(F27,3)&amp;"_00_Hal"</f>
        <v>CLIGELC_00_Hal</v>
      </c>
      <c r="D27" s="106" t="str">
        <f>"Existing commercial - Lighting "&amp;RIGHT(F27,3)&amp;" Halogen"</f>
        <v>Existing commercial - Lighting ELC Halogen</v>
      </c>
      <c r="E27" s="200">
        <f>1-SUM(E25:E26,E28)</f>
        <v>0.15999999999999992</v>
      </c>
      <c r="F27" s="54" t="str">
        <f>COM_Balance!$L$13</f>
        <v>COMELC</v>
      </c>
      <c r="G27" s="201">
        <v>2.2999999999999998</v>
      </c>
      <c r="H27" s="116">
        <f>H26</f>
        <v>1.0512E-3</v>
      </c>
      <c r="I27" s="207">
        <f>U27</f>
        <v>3266.9284003908751</v>
      </c>
      <c r="J27" s="72">
        <v>5</v>
      </c>
      <c r="K27" s="205"/>
      <c r="L27" s="69"/>
      <c r="M27" s="139">
        <f>IF(G27=0,0,I27*H27/G27)</f>
        <v>1.4931283193438643</v>
      </c>
      <c r="N27" s="139">
        <f>COM_Balance!L42*E27</f>
        <v>1.4931283193438643</v>
      </c>
      <c r="O27" s="124">
        <f>G27</f>
        <v>2.2999999999999998</v>
      </c>
      <c r="P27" s="73"/>
      <c r="Q27" s="76">
        <f>U27</f>
        <v>3266.9284003908751</v>
      </c>
      <c r="S27" s="213">
        <v>100</v>
      </c>
      <c r="T27" s="214">
        <v>8</v>
      </c>
      <c r="U27" s="215">
        <f>N27/(S27*3600*T27*365)*G27*10^12</f>
        <v>3266.9284003908751</v>
      </c>
      <c r="V27" s="216">
        <v>5000</v>
      </c>
      <c r="X27" s="478"/>
    </row>
    <row r="28" spans="2:24" s="16" customFormat="1" ht="15.75" thickBot="1">
      <c r="B28" s="54" t="str">
        <f>$B$7</f>
        <v>CLIG</v>
      </c>
      <c r="C28" s="54" t="str">
        <f>LEFT(B28,5)&amp;RIGHT(F28,3)&amp;"_00_Flu"</f>
        <v>CLIGELC_00_Flu</v>
      </c>
      <c r="D28" s="106" t="str">
        <f>"Existing commercial - Lighting "&amp;RIGHT(F28,3)&amp;" Fluoreshent"</f>
        <v>Existing commercial - Lighting ELC Fluoreshent</v>
      </c>
      <c r="E28" s="119">
        <v>0.34</v>
      </c>
      <c r="F28" s="54" t="str">
        <f>COM_Balance!$L$13</f>
        <v>COMELC</v>
      </c>
      <c r="G28" s="201">
        <v>4.5</v>
      </c>
      <c r="H28" s="116">
        <f>H27</f>
        <v>1.0512E-3</v>
      </c>
      <c r="I28" s="207">
        <f>U28</f>
        <v>13582.60992553816</v>
      </c>
      <c r="J28" s="72">
        <v>8</v>
      </c>
      <c r="K28" s="205"/>
      <c r="L28" s="69"/>
      <c r="M28" s="139">
        <f>IF(G28=0,0,I28*H28/G28)</f>
        <v>3.1728976786057137</v>
      </c>
      <c r="N28" s="139">
        <f>COM_Balance!L42*E28</f>
        <v>3.1728976786057137</v>
      </c>
      <c r="O28" s="124">
        <f>G28</f>
        <v>4.5</v>
      </c>
      <c r="P28" s="73"/>
      <c r="Q28" s="76">
        <f>U28</f>
        <v>13582.60992553816</v>
      </c>
      <c r="S28" s="221">
        <v>100</v>
      </c>
      <c r="T28" s="222">
        <v>8</v>
      </c>
      <c r="U28" s="223">
        <f>N28/(S28*3600*T28*365)*G28*10^12</f>
        <v>13582.60992553816</v>
      </c>
      <c r="V28" s="224">
        <v>8000</v>
      </c>
      <c r="X28" s="476">
        <f>SUMPRODUCT('Commercial SEAI'!C45:G45,'Commercial SEAI'!C6:G6)/SUM('Commercial SEAI'!C6:G6)+50%*SUMPRODUCT('Commercial SEAI'!C44:G44,'Commercial SEAI'!C6:G6)/SUM('Commercial SEAI'!C6:G6)</f>
        <v>0.6308100829423976</v>
      </c>
    </row>
    <row r="29" spans="2:24" s="16" customFormat="1" ht="15">
      <c r="B29" s="54"/>
      <c r="C29" s="54"/>
      <c r="D29" s="54"/>
      <c r="E29" s="54"/>
      <c r="F29" s="54"/>
      <c r="G29" s="54"/>
      <c r="H29" s="73"/>
      <c r="I29" s="54"/>
      <c r="J29" s="54"/>
      <c r="K29" s="54"/>
      <c r="L29" s="69"/>
      <c r="M29" s="76"/>
      <c r="N29" s="54"/>
      <c r="O29" s="124"/>
      <c r="P29" s="73"/>
      <c r="Q29" s="54"/>
      <c r="S29" s="75"/>
      <c r="T29" s="75"/>
      <c r="U29" s="75"/>
      <c r="V29" s="75"/>
    </row>
    <row r="30" spans="2:24" s="16" customFormat="1" ht="15">
      <c r="B30" s="108" t="s">
        <v>84</v>
      </c>
      <c r="C30" s="54"/>
      <c r="D30" s="54"/>
      <c r="E30" s="54"/>
      <c r="F30" s="54"/>
      <c r="G30" s="76"/>
      <c r="H30" s="73"/>
      <c r="I30" s="115">
        <f>SUM(I25:I29)</f>
        <v>21554.62542431807</v>
      </c>
      <c r="J30" s="54"/>
      <c r="K30" s="100"/>
      <c r="L30" s="69"/>
      <c r="M30" s="76">
        <f>SUM(M25:M28)</f>
        <v>9.3320519958991568</v>
      </c>
      <c r="N30" s="76">
        <f>SUM(N25:N28)</f>
        <v>9.3320519958991568</v>
      </c>
      <c r="O30" s="124"/>
      <c r="P30" s="73"/>
      <c r="Q30" s="159">
        <f>SUM(U25:U28)</f>
        <v>21554.62542431807</v>
      </c>
    </row>
    <row r="31" spans="2:24" s="16" customFormat="1" ht="15">
      <c r="H31" s="94"/>
      <c r="I31" s="471">
        <f>I28/SUM(I25:I28)</f>
        <v>0.63014827018121922</v>
      </c>
      <c r="L31" s="69"/>
      <c r="P31" s="94"/>
    </row>
    <row r="32" spans="2:24" s="16" customFormat="1" ht="15">
      <c r="H32" s="94"/>
      <c r="L32" s="69"/>
      <c r="P32" s="94"/>
    </row>
    <row r="33" spans="2:17" s="16" customFormat="1" ht="18.75">
      <c r="B33" s="66" t="s">
        <v>87</v>
      </c>
      <c r="C33" s="64"/>
      <c r="D33" s="64"/>
      <c r="E33" s="64"/>
      <c r="F33" s="68" t="s">
        <v>80</v>
      </c>
      <c r="G33" s="101"/>
      <c r="H33" s="102"/>
      <c r="I33" s="103"/>
      <c r="J33" s="103"/>
      <c r="K33" s="104"/>
      <c r="L33" s="69"/>
      <c r="M33" s="90" t="s">
        <v>238</v>
      </c>
      <c r="N33" s="90"/>
      <c r="O33" s="203"/>
      <c r="P33" s="134"/>
      <c r="Q33" s="85"/>
    </row>
    <row r="34" spans="2:17" s="16" customFormat="1" ht="45.75" thickBot="1">
      <c r="B34" s="190" t="s">
        <v>22</v>
      </c>
      <c r="C34" s="190" t="s">
        <v>15</v>
      </c>
      <c r="D34" s="190" t="s">
        <v>16</v>
      </c>
      <c r="E34" s="190" t="s">
        <v>95</v>
      </c>
      <c r="F34" s="190" t="s">
        <v>39</v>
      </c>
      <c r="G34" s="186" t="s">
        <v>82</v>
      </c>
      <c r="H34" s="128" t="s">
        <v>211</v>
      </c>
      <c r="I34" s="128" t="s">
        <v>240</v>
      </c>
      <c r="J34" s="128" t="s">
        <v>239</v>
      </c>
      <c r="K34" s="128" t="s">
        <v>112</v>
      </c>
      <c r="L34" s="193"/>
      <c r="M34" s="125" t="s">
        <v>36</v>
      </c>
      <c r="N34" s="125" t="s">
        <v>56</v>
      </c>
      <c r="O34" s="167" t="s">
        <v>23</v>
      </c>
      <c r="P34" s="125" t="s">
        <v>100</v>
      </c>
      <c r="Q34" s="125" t="s">
        <v>101</v>
      </c>
    </row>
    <row r="35" spans="2:17" s="16" customFormat="1" ht="47.25">
      <c r="B35" s="191" t="s">
        <v>25</v>
      </c>
      <c r="C35" s="191"/>
      <c r="D35" s="191"/>
      <c r="E35" s="191" t="s">
        <v>110</v>
      </c>
      <c r="F35" s="191"/>
      <c r="G35" s="191"/>
      <c r="H35" s="202" t="s">
        <v>38</v>
      </c>
      <c r="I35" s="202" t="s">
        <v>32</v>
      </c>
      <c r="J35" s="202" t="s">
        <v>34</v>
      </c>
      <c r="K35" s="202" t="s">
        <v>35</v>
      </c>
      <c r="L35" s="193"/>
      <c r="M35" s="133" t="s">
        <v>10</v>
      </c>
      <c r="N35" s="133" t="s">
        <v>10</v>
      </c>
      <c r="O35" s="155"/>
      <c r="P35" s="133" t="s">
        <v>38</v>
      </c>
      <c r="Q35" s="133" t="s">
        <v>32</v>
      </c>
    </row>
    <row r="36" spans="2:17" s="16" customFormat="1" ht="15">
      <c r="B36" s="54" t="str">
        <f>$B$8</f>
        <v>CCOK</v>
      </c>
      <c r="C36" s="54" t="str">
        <f t="shared" ref="C36:C43" si="0">LEFT(B36,5)&amp;RIGHT(F36,3)&amp;"_00"</f>
        <v>CCOKCOA_00</v>
      </c>
      <c r="D36" s="106" t="str">
        <f>"Existing commercial - Cooking "&amp;RIGHT(F36,3)</f>
        <v>Existing commercial - Cooking COA</v>
      </c>
      <c r="E36" s="54"/>
      <c r="F36" s="54" t="str">
        <f>COM_Balance!$D$13</f>
        <v>COMCOA</v>
      </c>
      <c r="G36" s="92">
        <v>1</v>
      </c>
      <c r="H36" s="79">
        <f>P36</f>
        <v>1.4113644350721814E-2</v>
      </c>
      <c r="I36" s="138">
        <f>Q36</f>
        <v>0</v>
      </c>
      <c r="J36" s="70">
        <v>15</v>
      </c>
      <c r="K36" s="72"/>
      <c r="L36" s="69"/>
      <c r="M36" s="139">
        <f t="shared" ref="M36:M43" si="1">IF(G36=0,0,I36*H36/G36)</f>
        <v>0</v>
      </c>
      <c r="N36" s="173">
        <f>COM_Balance!D43</f>
        <v>0</v>
      </c>
      <c r="O36" s="204">
        <f t="shared" ref="O36:O43" si="2">G36</f>
        <v>1</v>
      </c>
      <c r="P36" s="74">
        <f>IF(Q45=0,0,SUMPRODUCT(O36:O43,N36:N43)/Q45)</f>
        <v>1.4113644350721814E-2</v>
      </c>
      <c r="Q36" s="76">
        <f>IF($N$45=0,0,O36*N36/SUMPRODUCT($N$36:$N$43,$O$36:$O$43)*$Q$45)</f>
        <v>0</v>
      </c>
    </row>
    <row r="37" spans="2:17" s="16" customFormat="1" ht="15">
      <c r="B37" s="54" t="str">
        <f t="shared" ref="B37:B43" si="3">$B$8</f>
        <v>CCOK</v>
      </c>
      <c r="C37" s="54" t="str">
        <f t="shared" si="0"/>
        <v>CCOKLPG_00</v>
      </c>
      <c r="D37" s="106" t="str">
        <f t="shared" ref="D37:D43" si="4">"Existing commercial - Cooking "&amp;RIGHT(F37,3)</f>
        <v>Existing commercial - Cooking LPG</v>
      </c>
      <c r="E37" s="54"/>
      <c r="F37" s="54" t="str">
        <f>COM_Balance!$E$13</f>
        <v>COMLPG</v>
      </c>
      <c r="G37" s="92">
        <v>1</v>
      </c>
      <c r="H37" s="73">
        <f t="shared" ref="H37:H43" si="5">$H$36</f>
        <v>1.4113644350721814E-2</v>
      </c>
      <c r="I37" s="138">
        <f t="shared" ref="I37:I43" si="6">Q37</f>
        <v>0.82616413164356894</v>
      </c>
      <c r="J37" s="70">
        <v>15</v>
      </c>
      <c r="K37" s="72"/>
      <c r="L37" s="69"/>
      <c r="M37" s="139">
        <f t="shared" si="1"/>
        <v>1.1660186729340251E-2</v>
      </c>
      <c r="N37" s="173">
        <f>COM_Balance!E43</f>
        <v>1.1660186729340251E-2</v>
      </c>
      <c r="O37" s="124">
        <f t="shared" si="2"/>
        <v>1</v>
      </c>
      <c r="P37" s="73"/>
      <c r="Q37" s="76">
        <f>IF($N$45=0,0,O37*N37/SUMPRODUCT($N$36:$N$43,$O$36:$O$43)*$Q$45)</f>
        <v>0.82616413164356894</v>
      </c>
    </row>
    <row r="38" spans="2:17" s="16" customFormat="1" ht="15">
      <c r="B38" s="54" t="str">
        <f t="shared" si="3"/>
        <v>CCOK</v>
      </c>
      <c r="C38" s="54" t="str">
        <f t="shared" si="0"/>
        <v>CCOKOIL_00</v>
      </c>
      <c r="D38" s="106" t="str">
        <f t="shared" si="4"/>
        <v>Existing commercial - Cooking OIL</v>
      </c>
      <c r="E38" s="54"/>
      <c r="F38" s="54" t="str">
        <f>COM_Balance!$F$13</f>
        <v>COMOIL</v>
      </c>
      <c r="G38" s="92">
        <v>1</v>
      </c>
      <c r="H38" s="73">
        <f t="shared" si="5"/>
        <v>1.4113644350721814E-2</v>
      </c>
      <c r="I38" s="138">
        <f t="shared" si="6"/>
        <v>22.639249361603362</v>
      </c>
      <c r="J38" s="70">
        <v>15</v>
      </c>
      <c r="K38" s="72"/>
      <c r="L38" s="69"/>
      <c r="M38" s="139">
        <f t="shared" si="1"/>
        <v>0.31952231385697571</v>
      </c>
      <c r="N38" s="173">
        <f>COM_Balance!F43</f>
        <v>0.31952231385697571</v>
      </c>
      <c r="O38" s="124">
        <f t="shared" si="2"/>
        <v>1</v>
      </c>
      <c r="P38" s="73"/>
      <c r="Q38" s="76">
        <f t="shared" ref="Q38:Q43" si="7">IF($N$45=0,0,O38*N38/SUMPRODUCT($N$36:$N$43,$O$36:$O$43)*$Q$45)</f>
        <v>22.639249361603362</v>
      </c>
    </row>
    <row r="39" spans="2:17" s="16" customFormat="1" ht="15">
      <c r="B39" s="54" t="str">
        <f t="shared" si="3"/>
        <v>CCOK</v>
      </c>
      <c r="C39" s="54" t="str">
        <f t="shared" si="0"/>
        <v>CCOKGAS_00</v>
      </c>
      <c r="D39" s="106" t="str">
        <f t="shared" si="4"/>
        <v>Existing commercial - Cooking GAS</v>
      </c>
      <c r="E39" s="54"/>
      <c r="F39" s="54" t="str">
        <f>COM_Balance!$G$13</f>
        <v>COMGAS</v>
      </c>
      <c r="G39" s="92">
        <v>1</v>
      </c>
      <c r="H39" s="73">
        <f t="shared" si="5"/>
        <v>1.4113644350721814E-2</v>
      </c>
      <c r="I39" s="138">
        <f t="shared" si="6"/>
        <v>46.664867121523152</v>
      </c>
      <c r="J39" s="70">
        <v>15</v>
      </c>
      <c r="K39" s="72"/>
      <c r="L39" s="69"/>
      <c r="M39" s="139">
        <f t="shared" si="1"/>
        <v>0.65861133822686935</v>
      </c>
      <c r="N39" s="173">
        <f>COM_Balance!G43</f>
        <v>0.65861133822686935</v>
      </c>
      <c r="O39" s="124">
        <f t="shared" si="2"/>
        <v>1</v>
      </c>
      <c r="P39" s="73"/>
      <c r="Q39" s="76">
        <f t="shared" si="7"/>
        <v>46.664867121523152</v>
      </c>
    </row>
    <row r="40" spans="2:17" s="16" customFormat="1" ht="15">
      <c r="B40" s="54" t="str">
        <f t="shared" si="3"/>
        <v>CCOK</v>
      </c>
      <c r="C40" s="54" t="str">
        <f t="shared" si="0"/>
        <v>CCOKBIO_00</v>
      </c>
      <c r="D40" s="106" t="str">
        <f t="shared" si="4"/>
        <v>Existing commercial - Cooking BIO</v>
      </c>
      <c r="E40" s="54"/>
      <c r="F40" s="54" t="str">
        <f>COM_Balance!$H$13</f>
        <v>COMBIO</v>
      </c>
      <c r="G40" s="92">
        <v>1</v>
      </c>
      <c r="H40" s="73">
        <f t="shared" si="5"/>
        <v>1.4113644350721814E-2</v>
      </c>
      <c r="I40" s="138">
        <f t="shared" si="6"/>
        <v>1.5852515673774994</v>
      </c>
      <c r="J40" s="70">
        <v>15</v>
      </c>
      <c r="K40" s="72"/>
      <c r="L40" s="69"/>
      <c r="M40" s="139">
        <f t="shared" si="1"/>
        <v>2.2373676828390344E-2</v>
      </c>
      <c r="N40" s="173">
        <f>COM_Balance!H43</f>
        <v>2.2373676828390344E-2</v>
      </c>
      <c r="O40" s="124">
        <f t="shared" si="2"/>
        <v>1</v>
      </c>
      <c r="P40" s="73"/>
      <c r="Q40" s="76">
        <f t="shared" si="7"/>
        <v>1.5852515673774994</v>
      </c>
    </row>
    <row r="41" spans="2:17" s="16" customFormat="1" ht="15">
      <c r="B41" s="54" t="str">
        <f t="shared" si="3"/>
        <v>CCOK</v>
      </c>
      <c r="C41" s="54" t="str">
        <f t="shared" si="0"/>
        <v>CCOKBGS_00</v>
      </c>
      <c r="D41" s="106" t="str">
        <f t="shared" si="4"/>
        <v>Existing commercial - Cooking BGS</v>
      </c>
      <c r="E41" s="54"/>
      <c r="F41" s="54" t="str">
        <f>COM_Balance!$I$13</f>
        <v>COMBGS</v>
      </c>
      <c r="G41" s="92">
        <v>1</v>
      </c>
      <c r="H41" s="73">
        <f t="shared" si="5"/>
        <v>1.4113644350721814E-2</v>
      </c>
      <c r="I41" s="138">
        <f>Q41</f>
        <v>0</v>
      </c>
      <c r="J41" s="70">
        <v>15</v>
      </c>
      <c r="K41" s="72"/>
      <c r="L41" s="69"/>
      <c r="M41" s="139">
        <f>IF(G41=0,0,I41*H41/G41)</f>
        <v>0</v>
      </c>
      <c r="N41" s="173">
        <f>COM_Balance!I43</f>
        <v>0</v>
      </c>
      <c r="O41" s="124">
        <f>G41</f>
        <v>1</v>
      </c>
      <c r="P41" s="73"/>
      <c r="Q41" s="76">
        <f>IF($N$45=0,0,O41*N41/SUMPRODUCT($N$36:$N$43,$O$36:$O$43)*$Q$45)</f>
        <v>0</v>
      </c>
    </row>
    <row r="42" spans="2:17" s="16" customFormat="1" ht="15">
      <c r="B42" s="54" t="str">
        <f t="shared" si="3"/>
        <v>CCOK</v>
      </c>
      <c r="C42" s="54" t="str">
        <f t="shared" si="0"/>
        <v>CCOKSOL_00</v>
      </c>
      <c r="D42" s="106" t="str">
        <f t="shared" si="4"/>
        <v>Existing commercial - Cooking SOL</v>
      </c>
      <c r="E42" s="54"/>
      <c r="F42" s="54" t="str">
        <f>COM_Balance!$J$13</f>
        <v>COMSOL</v>
      </c>
      <c r="G42" s="92">
        <v>1</v>
      </c>
      <c r="H42" s="73">
        <f t="shared" si="5"/>
        <v>1.4113644350721814E-2</v>
      </c>
      <c r="I42" s="138">
        <f t="shared" si="6"/>
        <v>0</v>
      </c>
      <c r="J42" s="70">
        <v>15</v>
      </c>
      <c r="K42" s="72"/>
      <c r="L42" s="69"/>
      <c r="M42" s="139">
        <f t="shared" si="1"/>
        <v>0</v>
      </c>
      <c r="N42" s="173">
        <f>COM_Balance!J43</f>
        <v>0</v>
      </c>
      <c r="O42" s="124">
        <f t="shared" si="2"/>
        <v>1</v>
      </c>
      <c r="P42" s="73"/>
      <c r="Q42" s="76">
        <f t="shared" si="7"/>
        <v>0</v>
      </c>
    </row>
    <row r="43" spans="2:17" s="16" customFormat="1" ht="15">
      <c r="B43" s="54" t="str">
        <f t="shared" si="3"/>
        <v>CCOK</v>
      </c>
      <c r="C43" s="54" t="str">
        <f t="shared" si="0"/>
        <v>CCOKELC_00</v>
      </c>
      <c r="D43" s="106" t="str">
        <f t="shared" si="4"/>
        <v>Existing commercial - Cooking ELC</v>
      </c>
      <c r="E43" s="54"/>
      <c r="F43" s="54" t="str">
        <f>COM_Balance!$L$13</f>
        <v>COMELC</v>
      </c>
      <c r="G43" s="92">
        <v>1</v>
      </c>
      <c r="H43" s="73">
        <f t="shared" si="5"/>
        <v>1.4113644350721814E-2</v>
      </c>
      <c r="I43" s="138">
        <f t="shared" si="6"/>
        <v>0</v>
      </c>
      <c r="J43" s="70">
        <v>15</v>
      </c>
      <c r="K43" s="72"/>
      <c r="L43" s="69"/>
      <c r="M43" s="139">
        <f t="shared" si="1"/>
        <v>0</v>
      </c>
      <c r="N43" s="173">
        <f>COM_Balance!K43</f>
        <v>0</v>
      </c>
      <c r="O43" s="124">
        <f t="shared" si="2"/>
        <v>1</v>
      </c>
      <c r="P43" s="73"/>
      <c r="Q43" s="76">
        <f t="shared" si="7"/>
        <v>0</v>
      </c>
    </row>
    <row r="44" spans="2:17" s="16" customFormat="1" ht="15">
      <c r="B44" s="54"/>
      <c r="C44" s="54"/>
      <c r="D44" s="54"/>
      <c r="E44" s="54"/>
      <c r="F44" s="54"/>
      <c r="G44" s="54"/>
      <c r="H44" s="73"/>
      <c r="I44" s="54"/>
      <c r="J44" s="54"/>
      <c r="K44" s="54"/>
      <c r="L44" s="69"/>
      <c r="M44" s="76"/>
      <c r="N44" s="54"/>
      <c r="O44" s="166"/>
      <c r="P44" s="73"/>
      <c r="Q44" s="54"/>
    </row>
    <row r="45" spans="2:17" s="16" customFormat="1" ht="15">
      <c r="B45" s="108" t="s">
        <v>84</v>
      </c>
      <c r="C45" s="54"/>
      <c r="D45" s="54"/>
      <c r="E45" s="54"/>
      <c r="F45" s="54"/>
      <c r="G45" s="76"/>
      <c r="H45" s="73"/>
      <c r="I45" s="115">
        <f>SUM(I36:I44)</f>
        <v>71.715532182147584</v>
      </c>
      <c r="J45" s="54"/>
      <c r="K45" s="100"/>
      <c r="L45" s="69"/>
      <c r="M45" s="76">
        <f>SUM(M36:M43)</f>
        <v>1.0121675156415757</v>
      </c>
      <c r="N45" s="76">
        <f>SUM(N36:N43)</f>
        <v>1.0121675156415757</v>
      </c>
      <c r="O45" s="166"/>
      <c r="P45" s="73"/>
      <c r="Q45" s="159">
        <f>COM_Balance!C56*0.4</f>
        <v>71.715532182147584</v>
      </c>
    </row>
    <row r="46" spans="2:17" s="16" customFormat="1" ht="15">
      <c r="H46" s="94"/>
      <c r="L46" s="69"/>
      <c r="P46" s="94"/>
    </row>
    <row r="47" spans="2:17" s="16" customFormat="1" ht="15">
      <c r="H47" s="94"/>
      <c r="L47" s="69"/>
      <c r="P47" s="94"/>
    </row>
    <row r="48" spans="2:17" s="16" customFormat="1" ht="18.75">
      <c r="B48" s="66" t="s">
        <v>88</v>
      </c>
      <c r="C48" s="64"/>
      <c r="D48" s="64"/>
      <c r="E48" s="64"/>
      <c r="F48" s="68" t="s">
        <v>80</v>
      </c>
      <c r="G48" s="101"/>
      <c r="H48" s="102"/>
      <c r="I48" s="103"/>
      <c r="J48" s="103"/>
      <c r="K48" s="104"/>
      <c r="L48" s="69"/>
      <c r="M48" s="90" t="s">
        <v>238</v>
      </c>
      <c r="N48" s="90"/>
      <c r="O48" s="203"/>
      <c r="P48" s="134"/>
      <c r="Q48" s="85"/>
    </row>
    <row r="49" spans="2:17" s="16" customFormat="1" ht="45.75" thickBot="1">
      <c r="B49" s="190" t="s">
        <v>22</v>
      </c>
      <c r="C49" s="190" t="s">
        <v>15</v>
      </c>
      <c r="D49" s="190" t="s">
        <v>16</v>
      </c>
      <c r="E49" s="190" t="s">
        <v>95</v>
      </c>
      <c r="F49" s="190" t="s">
        <v>39</v>
      </c>
      <c r="G49" s="186" t="s">
        <v>82</v>
      </c>
      <c r="H49" s="128" t="s">
        <v>211</v>
      </c>
      <c r="I49" s="128" t="s">
        <v>240</v>
      </c>
      <c r="J49" s="128" t="s">
        <v>239</v>
      </c>
      <c r="K49" s="128" t="s">
        <v>112</v>
      </c>
      <c r="L49" s="193"/>
      <c r="M49" s="125" t="s">
        <v>36</v>
      </c>
      <c r="N49" s="125" t="s">
        <v>56</v>
      </c>
      <c r="O49" s="167" t="s">
        <v>23</v>
      </c>
      <c r="P49" s="125" t="s">
        <v>100</v>
      </c>
      <c r="Q49" s="125" t="s">
        <v>101</v>
      </c>
    </row>
    <row r="50" spans="2:17" s="16" customFormat="1" ht="48" thickBot="1">
      <c r="B50" s="191" t="s">
        <v>25</v>
      </c>
      <c r="C50" s="191"/>
      <c r="D50" s="191"/>
      <c r="E50" s="191" t="s">
        <v>110</v>
      </c>
      <c r="F50" s="191"/>
      <c r="G50" s="191"/>
      <c r="H50" s="202" t="s">
        <v>38</v>
      </c>
      <c r="I50" s="202" t="s">
        <v>32</v>
      </c>
      <c r="J50" s="202" t="s">
        <v>34</v>
      </c>
      <c r="K50" s="202" t="s">
        <v>35</v>
      </c>
      <c r="L50" s="193"/>
      <c r="M50" s="133" t="s">
        <v>10</v>
      </c>
      <c r="N50" s="133" t="s">
        <v>10</v>
      </c>
      <c r="O50" s="155"/>
      <c r="P50" s="133" t="s">
        <v>38</v>
      </c>
      <c r="Q50" s="133" t="s">
        <v>32</v>
      </c>
    </row>
    <row r="51" spans="2:17" s="16" customFormat="1" ht="15">
      <c r="B51" s="54" t="str">
        <f>$B$9</f>
        <v>CREF</v>
      </c>
      <c r="C51" s="54" t="str">
        <f>LEFT(B51,5)&amp;RIGHT(F51,3)&amp;"_00_Ref"</f>
        <v>CREFELC_00_Ref</v>
      </c>
      <c r="D51" s="106" t="str">
        <f>"Existing commercial - Refrigeration "&amp;RIGHT(F51,3)&amp;" Refrigerator"</f>
        <v>Existing commercial - Refrigeration ELC Refrigerator</v>
      </c>
      <c r="E51" s="118">
        <v>0.3</v>
      </c>
      <c r="F51" s="54" t="str">
        <f>COM_Balance!$L$13</f>
        <v>COMELC</v>
      </c>
      <c r="G51" s="88">
        <v>0.9</v>
      </c>
      <c r="H51" s="138">
        <f>P51</f>
        <v>2.2779201901720347E-2</v>
      </c>
      <c r="I51" s="138">
        <f>Q51</f>
        <v>20.933182366680917</v>
      </c>
      <c r="J51" s="70">
        <v>15</v>
      </c>
      <c r="K51" s="72"/>
      <c r="L51" s="69"/>
      <c r="M51" s="139">
        <f>IF(G51=0,0,I51*H51/G51)</f>
        <v>0.52982354175128532</v>
      </c>
      <c r="N51" s="139">
        <f>COM_Balance!L44*E51</f>
        <v>0.52982354175128532</v>
      </c>
      <c r="O51" s="204">
        <f>G51</f>
        <v>0.9</v>
      </c>
      <c r="P51" s="73">
        <f>IF(Q55=0,0,SUMPRODUCT(O51:O53,N51:N53)/Q55)</f>
        <v>2.2779201901720347E-2</v>
      </c>
      <c r="Q51" s="76">
        <f>IF($N$55*O51=0,0,O51*N51/SUMPRODUCT($N$51:$N$53,$O$51:$O$53)*$Q$55)</f>
        <v>20.933182366680917</v>
      </c>
    </row>
    <row r="52" spans="2:17" s="16" customFormat="1" ht="15">
      <c r="B52" s="54" t="str">
        <f>$B$9</f>
        <v>CREF</v>
      </c>
      <c r="C52" s="54" t="str">
        <f>LEFT(B52,5)&amp;RIGHT(F52,3)&amp;"_00_Fre"</f>
        <v>CREFELC_00_Fre</v>
      </c>
      <c r="D52" s="106" t="str">
        <f>"Existing commercial - Refrigeration "&amp;RIGHT(F52,3)&amp;" Freezer"</f>
        <v>Existing commercial - Refrigeration ELC Freezer</v>
      </c>
      <c r="E52" s="120">
        <v>0.3</v>
      </c>
      <c r="F52" s="54" t="str">
        <f>COM_Balance!$L$13</f>
        <v>COMELC</v>
      </c>
      <c r="G52" s="88">
        <v>0.85</v>
      </c>
      <c r="H52" s="73">
        <f>$H$51</f>
        <v>2.2779201901720347E-2</v>
      </c>
      <c r="I52" s="138">
        <f>Q52</f>
        <v>19.770227790754198</v>
      </c>
      <c r="J52" s="70">
        <v>15</v>
      </c>
      <c r="K52" s="72"/>
      <c r="L52" s="69"/>
      <c r="M52" s="139">
        <f>IF(G52=0,0,I52*H52/G52)</f>
        <v>0.52982354175128532</v>
      </c>
      <c r="N52" s="139">
        <f>COM_Balance!L44*E52</f>
        <v>0.52982354175128532</v>
      </c>
      <c r="O52" s="124">
        <f>G52</f>
        <v>0.85</v>
      </c>
      <c r="P52" s="73"/>
      <c r="Q52" s="76">
        <f>IF($N$55*O52=0,0,O52*N52/SUMPRODUCT($N$51:$N$53,$O$51:$O$53)*$Q$55)</f>
        <v>19.770227790754198</v>
      </c>
    </row>
    <row r="53" spans="2:17" s="16" customFormat="1" ht="15.75" thickBot="1">
      <c r="B53" s="54" t="str">
        <f>$B$9</f>
        <v>CREF</v>
      </c>
      <c r="C53" s="54" t="str">
        <f>LEFT(B53,5)&amp;RIGHT(F53,3)&amp;"_00_RF"</f>
        <v>CREFELC_00_RF</v>
      </c>
      <c r="D53" s="106" t="str">
        <f>"Existing commercial - Refrigeration "&amp;RIGHT(F53,3)&amp;" Refrigerator + Freezer"</f>
        <v>Existing commercial - Refrigeration ELC Refrigerator + Freezer</v>
      </c>
      <c r="E53" s="119">
        <f>1-E52-E51</f>
        <v>0.39999999999999997</v>
      </c>
      <c r="F53" s="54" t="str">
        <f>COM_Balance!$L$13</f>
        <v>COMELC</v>
      </c>
      <c r="G53" s="88">
        <v>1</v>
      </c>
      <c r="H53" s="73">
        <f>$H$51</f>
        <v>2.2779201901720347E-2</v>
      </c>
      <c r="I53" s="138">
        <f>Q53</f>
        <v>31.012122024712465</v>
      </c>
      <c r="J53" s="70">
        <v>15</v>
      </c>
      <c r="K53" s="72"/>
      <c r="L53" s="69"/>
      <c r="M53" s="139">
        <f>IF(G53=0,0,I53*H53/G53)</f>
        <v>0.70643138900171365</v>
      </c>
      <c r="N53" s="139">
        <f>COM_Balance!L44*E53</f>
        <v>0.70643138900171365</v>
      </c>
      <c r="O53" s="124">
        <f>G53</f>
        <v>1</v>
      </c>
      <c r="P53" s="73"/>
      <c r="Q53" s="76">
        <f>IF($N$55*O53=0,0,O53*N53/SUMPRODUCT($N$51:$N$53,$O$51:$O$53)*$Q$55)</f>
        <v>31.012122024712465</v>
      </c>
    </row>
    <row r="54" spans="2:17" s="16" customFormat="1" ht="15">
      <c r="B54" s="54"/>
      <c r="C54" s="54"/>
      <c r="D54" s="54"/>
      <c r="E54" s="54"/>
      <c r="F54" s="54"/>
      <c r="G54" s="54"/>
      <c r="H54" s="73"/>
      <c r="I54" s="54"/>
      <c r="J54" s="54"/>
      <c r="K54" s="54"/>
      <c r="L54" s="69"/>
      <c r="M54" s="76"/>
      <c r="N54" s="54"/>
      <c r="O54" s="166"/>
      <c r="P54" s="73"/>
      <c r="Q54" s="54"/>
    </row>
    <row r="55" spans="2:17" s="16" customFormat="1" ht="15">
      <c r="B55" s="209" t="s">
        <v>84</v>
      </c>
      <c r="C55" s="54"/>
      <c r="D55" s="54"/>
      <c r="E55" s="54"/>
      <c r="F55" s="54"/>
      <c r="G55" s="76"/>
      <c r="H55" s="73"/>
      <c r="I55" s="115">
        <f>SUM(I51:I54)</f>
        <v>71.715532182147584</v>
      </c>
      <c r="J55" s="54"/>
      <c r="K55" s="100"/>
      <c r="L55" s="69"/>
      <c r="M55" s="76">
        <f>SUM(M51:M53)</f>
        <v>1.7660784725042844</v>
      </c>
      <c r="N55" s="76">
        <f>SUM(N51:N53)</f>
        <v>1.7660784725042844</v>
      </c>
      <c r="O55" s="166"/>
      <c r="P55" s="73"/>
      <c r="Q55" s="159">
        <f>COM_Balance!C56*0.4</f>
        <v>71.715532182147584</v>
      </c>
    </row>
    <row r="56" spans="2:17" s="16" customFormat="1" ht="15">
      <c r="H56" s="94"/>
      <c r="L56" s="69"/>
      <c r="P56" s="94"/>
    </row>
    <row r="57" spans="2:17" s="16" customFormat="1" ht="15">
      <c r="H57" s="94"/>
      <c r="L57" s="69"/>
      <c r="P57" s="94"/>
    </row>
    <row r="58" spans="2:17" s="16" customFormat="1" ht="18.75">
      <c r="B58" s="66" t="s">
        <v>91</v>
      </c>
      <c r="C58" s="64"/>
      <c r="D58" s="64"/>
      <c r="E58" s="64"/>
      <c r="F58" s="68" t="s">
        <v>80</v>
      </c>
      <c r="G58" s="101"/>
      <c r="H58" s="102"/>
      <c r="I58" s="103"/>
      <c r="J58" s="103"/>
      <c r="K58" s="104"/>
      <c r="L58" s="69"/>
      <c r="M58" s="90" t="s">
        <v>238</v>
      </c>
      <c r="N58" s="90"/>
      <c r="O58" s="203"/>
      <c r="P58" s="134"/>
      <c r="Q58" s="85"/>
    </row>
    <row r="59" spans="2:17" s="16" customFormat="1" ht="45.75" thickBot="1">
      <c r="B59" s="190" t="s">
        <v>22</v>
      </c>
      <c r="C59" s="190" t="s">
        <v>15</v>
      </c>
      <c r="D59" s="190" t="s">
        <v>16</v>
      </c>
      <c r="E59" s="190" t="s">
        <v>95</v>
      </c>
      <c r="F59" s="190" t="s">
        <v>39</v>
      </c>
      <c r="G59" s="186" t="s">
        <v>82</v>
      </c>
      <c r="H59" s="128" t="s">
        <v>211</v>
      </c>
      <c r="I59" s="128" t="s">
        <v>240</v>
      </c>
      <c r="J59" s="128" t="s">
        <v>239</v>
      </c>
      <c r="K59" s="128" t="s">
        <v>112</v>
      </c>
      <c r="L59" s="193"/>
      <c r="M59" s="125" t="s">
        <v>36</v>
      </c>
      <c r="N59" s="125" t="s">
        <v>56</v>
      </c>
      <c r="O59" s="167" t="s">
        <v>23</v>
      </c>
      <c r="P59" s="125" t="s">
        <v>100</v>
      </c>
      <c r="Q59" s="125" t="s">
        <v>101</v>
      </c>
    </row>
    <row r="60" spans="2:17" s="16" customFormat="1" ht="47.25">
      <c r="B60" s="191" t="s">
        <v>25</v>
      </c>
      <c r="C60" s="191"/>
      <c r="D60" s="191"/>
      <c r="E60" s="191" t="s">
        <v>110</v>
      </c>
      <c r="F60" s="191"/>
      <c r="G60" s="191"/>
      <c r="H60" s="202" t="s">
        <v>38</v>
      </c>
      <c r="I60" s="202" t="s">
        <v>32</v>
      </c>
      <c r="J60" s="202" t="s">
        <v>34</v>
      </c>
      <c r="K60" s="202" t="s">
        <v>35</v>
      </c>
      <c r="L60" s="193"/>
      <c r="M60" s="133" t="s">
        <v>10</v>
      </c>
      <c r="N60" s="133" t="s">
        <v>10</v>
      </c>
      <c r="O60" s="155"/>
      <c r="P60" s="133" t="s">
        <v>38</v>
      </c>
      <c r="Q60" s="133" t="s">
        <v>32</v>
      </c>
    </row>
    <row r="61" spans="2:17" s="16" customFormat="1" ht="15">
      <c r="B61" s="54" t="str">
        <f>B10</f>
        <v>CPLI</v>
      </c>
      <c r="C61" s="210" t="str">
        <f>LEFT(B61,5)&amp;RIGHT(F61,3)&amp;"_00"</f>
        <v>CPLIELC_00</v>
      </c>
      <c r="D61" s="106" t="str">
        <f>"Existing commercial - Public Lighting "&amp;RIGHT(F61,3)</f>
        <v>Existing commercial - Public Lighting ELC</v>
      </c>
      <c r="E61" s="54"/>
      <c r="F61" s="210" t="str">
        <f>COM_Balance!$L$13</f>
        <v>COMELC</v>
      </c>
      <c r="G61" s="92">
        <v>1</v>
      </c>
      <c r="H61" s="211">
        <f>P61</f>
        <v>3.0973138184352343E-4</v>
      </c>
      <c r="I61" s="138">
        <f>Q61</f>
        <v>2005</v>
      </c>
      <c r="J61" s="194">
        <v>15</v>
      </c>
      <c r="K61" s="206"/>
      <c r="L61" s="193"/>
      <c r="M61" s="139">
        <f>IF(G61=0,0,I61*H61/G61)</f>
        <v>0.62101142059626446</v>
      </c>
      <c r="N61" s="139">
        <f>COM_Balance!L45</f>
        <v>0.62101142059626446</v>
      </c>
      <c r="O61" s="204">
        <f>G61</f>
        <v>1</v>
      </c>
      <c r="P61" s="116">
        <f>IF(Q63=0,0,SUMPRODUCT(O61,N61)/Q63)</f>
        <v>3.0973138184352343E-4</v>
      </c>
      <c r="Q61" s="76">
        <f>IF($N$63*O61=0,0,O61*N61/SUMPRODUCT($N$61,$O$61)*$Q$63)</f>
        <v>2005</v>
      </c>
    </row>
    <row r="62" spans="2:17" s="16" customFormat="1" ht="15">
      <c r="B62" s="54"/>
      <c r="C62" s="54"/>
      <c r="D62" s="54"/>
      <c r="E62" s="54"/>
      <c r="F62" s="54"/>
      <c r="G62" s="54"/>
      <c r="H62" s="73"/>
      <c r="I62" s="54"/>
      <c r="J62" s="54"/>
      <c r="K62" s="54"/>
      <c r="L62" s="69"/>
      <c r="M62" s="76"/>
      <c r="N62" s="54"/>
      <c r="O62" s="166"/>
      <c r="P62" s="73"/>
      <c r="Q62" s="54"/>
    </row>
    <row r="63" spans="2:17" s="16" customFormat="1" ht="15">
      <c r="B63" s="108" t="s">
        <v>84</v>
      </c>
      <c r="C63" s="54"/>
      <c r="D63" s="54"/>
      <c r="E63" s="54"/>
      <c r="F63" s="54"/>
      <c r="G63" s="76"/>
      <c r="H63" s="73"/>
      <c r="I63" s="115">
        <f>SUM(I61:I62)</f>
        <v>2005</v>
      </c>
      <c r="J63" s="54"/>
      <c r="K63" s="100"/>
      <c r="L63" s="69"/>
      <c r="M63" s="76">
        <f>SUM(M61)</f>
        <v>0.62101142059626446</v>
      </c>
      <c r="N63" s="76">
        <f>SUM(N61)</f>
        <v>0.62101142059626446</v>
      </c>
      <c r="O63" s="166"/>
      <c r="P63" s="73"/>
      <c r="Q63" s="501">
        <v>2005</v>
      </c>
    </row>
    <row r="64" spans="2:17" s="16" customFormat="1" ht="15">
      <c r="H64" s="94"/>
      <c r="L64" s="69"/>
      <c r="P64" s="94"/>
    </row>
    <row r="65" spans="2:17" s="16" customFormat="1" ht="15">
      <c r="H65" s="94"/>
      <c r="L65" s="69"/>
      <c r="P65" s="94"/>
    </row>
    <row r="66" spans="2:17" s="16" customFormat="1" ht="18.75">
      <c r="B66" s="66" t="s">
        <v>89</v>
      </c>
      <c r="C66" s="64"/>
      <c r="D66" s="64"/>
      <c r="E66" s="64"/>
      <c r="F66" s="68" t="s">
        <v>80</v>
      </c>
      <c r="G66" s="101"/>
      <c r="H66" s="102"/>
      <c r="I66" s="103"/>
      <c r="J66" s="103"/>
      <c r="K66" s="104"/>
      <c r="L66" s="69"/>
      <c r="M66" s="90" t="s">
        <v>238</v>
      </c>
      <c r="N66" s="90"/>
      <c r="O66" s="203"/>
      <c r="P66" s="134"/>
      <c r="Q66" s="85"/>
    </row>
    <row r="67" spans="2:17" s="16" customFormat="1" ht="45.75" thickBot="1">
      <c r="B67" s="190" t="s">
        <v>22</v>
      </c>
      <c r="C67" s="190" t="s">
        <v>15</v>
      </c>
      <c r="D67" s="190" t="s">
        <v>16</v>
      </c>
      <c r="E67" s="190" t="s">
        <v>95</v>
      </c>
      <c r="F67" s="190" t="s">
        <v>39</v>
      </c>
      <c r="G67" s="186" t="s">
        <v>82</v>
      </c>
      <c r="H67" s="128" t="s">
        <v>211</v>
      </c>
      <c r="I67" s="128" t="s">
        <v>240</v>
      </c>
      <c r="J67" s="128" t="s">
        <v>239</v>
      </c>
      <c r="K67" s="128" t="s">
        <v>112</v>
      </c>
      <c r="L67" s="193"/>
      <c r="M67" s="125" t="s">
        <v>36</v>
      </c>
      <c r="N67" s="125" t="s">
        <v>56</v>
      </c>
      <c r="O67" s="167" t="s">
        <v>23</v>
      </c>
      <c r="P67" s="125" t="s">
        <v>100</v>
      </c>
      <c r="Q67" s="125" t="s">
        <v>101</v>
      </c>
    </row>
    <row r="68" spans="2:17" s="16" customFormat="1" ht="47.25">
      <c r="B68" s="191" t="s">
        <v>25</v>
      </c>
      <c r="C68" s="191"/>
      <c r="D68" s="191"/>
      <c r="E68" s="191" t="s">
        <v>110</v>
      </c>
      <c r="F68" s="191"/>
      <c r="G68" s="191"/>
      <c r="H68" s="202" t="s">
        <v>38</v>
      </c>
      <c r="I68" s="202" t="s">
        <v>32</v>
      </c>
      <c r="J68" s="202" t="s">
        <v>34</v>
      </c>
      <c r="K68" s="202" t="s">
        <v>35</v>
      </c>
      <c r="L68" s="193"/>
      <c r="M68" s="133" t="s">
        <v>10</v>
      </c>
      <c r="N68" s="133" t="s">
        <v>10</v>
      </c>
      <c r="O68" s="155"/>
      <c r="P68" s="133" t="s">
        <v>38</v>
      </c>
      <c r="Q68" s="133" t="s">
        <v>32</v>
      </c>
    </row>
    <row r="69" spans="2:17" s="16" customFormat="1" ht="15">
      <c r="B69" s="54" t="str">
        <f>B11</f>
        <v>COEL</v>
      </c>
      <c r="C69" s="54" t="str">
        <f>LEFT(B69,5)&amp;RIGHT(F69,3)&amp;"_00"</f>
        <v>COELELC_00</v>
      </c>
      <c r="D69" s="106" t="str">
        <f>"Existing commercial - Other "&amp;RIGHT(F69,3)</f>
        <v>Existing commercial - Other ELC</v>
      </c>
      <c r="E69" s="54"/>
      <c r="F69" s="54" t="str">
        <f>COM_Balance!$L$13</f>
        <v>COMELC</v>
      </c>
      <c r="G69" s="92">
        <v>1</v>
      </c>
      <c r="H69" s="138">
        <f>P69</f>
        <v>0.14103883149892532</v>
      </c>
      <c r="I69" s="138">
        <f>Q69</f>
        <v>71.715532182147584</v>
      </c>
      <c r="J69" s="70">
        <v>15</v>
      </c>
      <c r="K69" s="72"/>
      <c r="L69" s="69"/>
      <c r="M69" s="139">
        <f>IF(G69=0,0,I69*H69/G69)</f>
        <v>10.11467485929367</v>
      </c>
      <c r="N69" s="139">
        <f>COM_Balance!L46</f>
        <v>10.11467485929367</v>
      </c>
      <c r="O69" s="204">
        <f>G69</f>
        <v>1</v>
      </c>
      <c r="P69" s="73">
        <f>IF(Q71=0,0,SUMPRODUCT(O69,N69)/Q71)</f>
        <v>0.14103883149892532</v>
      </c>
      <c r="Q69" s="76">
        <f>IF($N$71*O69=0,0,O69*N69/SUMPRODUCT($N$69,$O$69)*$Q$71)</f>
        <v>71.715532182147584</v>
      </c>
    </row>
    <row r="70" spans="2:17" s="16" customFormat="1" ht="15">
      <c r="B70" s="54"/>
      <c r="C70" s="54"/>
      <c r="D70" s="54"/>
      <c r="E70" s="54"/>
      <c r="F70" s="54"/>
      <c r="G70" s="54"/>
      <c r="H70" s="73"/>
      <c r="I70" s="54"/>
      <c r="J70" s="54"/>
      <c r="K70" s="54"/>
      <c r="L70" s="69"/>
      <c r="M70" s="76"/>
      <c r="N70" s="54"/>
      <c r="O70" s="166"/>
      <c r="P70" s="73"/>
      <c r="Q70" s="54"/>
    </row>
    <row r="71" spans="2:17" s="16" customFormat="1" ht="15">
      <c r="B71" s="108" t="s">
        <v>84</v>
      </c>
      <c r="C71" s="54"/>
      <c r="D71" s="54"/>
      <c r="E71" s="54"/>
      <c r="F71" s="54"/>
      <c r="G71" s="76"/>
      <c r="H71" s="73"/>
      <c r="I71" s="115">
        <f>SUM(I69:I70)</f>
        <v>71.715532182147584</v>
      </c>
      <c r="J71" s="54"/>
      <c r="K71" s="100"/>
      <c r="L71" s="69"/>
      <c r="M71" s="76">
        <f>SUM(M69)</f>
        <v>10.11467485929367</v>
      </c>
      <c r="N71" s="76">
        <f>SUM(N69)</f>
        <v>10.11467485929367</v>
      </c>
      <c r="O71" s="166"/>
      <c r="P71" s="73"/>
      <c r="Q71" s="192">
        <f>COM_Balance!C56*0.4</f>
        <v>71.715532182147584</v>
      </c>
    </row>
    <row r="72" spans="2:17" s="16" customFormat="1" ht="15">
      <c r="I72" s="94"/>
      <c r="L72" s="69"/>
      <c r="Q72" s="94"/>
    </row>
    <row r="73" spans="2:17" s="16" customFormat="1" ht="15">
      <c r="L73" s="69"/>
      <c r="Q73" s="94"/>
    </row>
    <row r="74" spans="2:17" s="16" customFormat="1" ht="15">
      <c r="B74" s="75"/>
      <c r="C74" s="75"/>
      <c r="D74" s="75"/>
      <c r="E74" s="75"/>
      <c r="F74" s="75"/>
      <c r="G74" s="75"/>
      <c r="H74" s="75"/>
      <c r="I74" s="75"/>
      <c r="J74" s="75"/>
      <c r="L74" s="69"/>
      <c r="Q74" s="94"/>
    </row>
    <row r="75" spans="2:17" s="16" customFormat="1" ht="15">
      <c r="B75" s="75"/>
      <c r="C75" s="75"/>
      <c r="D75" s="75"/>
      <c r="E75" s="75"/>
      <c r="F75" s="75"/>
      <c r="G75" s="75"/>
      <c r="H75" s="75"/>
      <c r="I75" s="75"/>
      <c r="J75" s="75"/>
      <c r="L75" s="69"/>
      <c r="P75" s="94"/>
    </row>
    <row r="76" spans="2:17" s="16" customFormat="1" ht="15">
      <c r="B76" s="195"/>
      <c r="C76" s="196"/>
      <c r="D76" s="196"/>
      <c r="E76" s="77"/>
      <c r="F76" s="75"/>
      <c r="G76" s="75"/>
      <c r="H76" s="75"/>
      <c r="I76" s="75"/>
      <c r="J76" s="75"/>
      <c r="L76" s="69"/>
      <c r="P76" s="94"/>
    </row>
    <row r="77" spans="2:17" s="16" customFormat="1" ht="15">
      <c r="B77" s="148"/>
      <c r="C77" s="148"/>
      <c r="D77" s="148"/>
      <c r="E77" s="148"/>
      <c r="F77" s="149"/>
      <c r="G77" s="149"/>
      <c r="H77" s="75"/>
      <c r="I77" s="149"/>
      <c r="J77" s="75"/>
      <c r="L77" s="69"/>
      <c r="P77" s="94"/>
    </row>
    <row r="78" spans="2:17" s="16" customFormat="1" ht="15">
      <c r="B78" s="37"/>
      <c r="C78" s="148"/>
      <c r="D78" s="148"/>
      <c r="E78" s="148"/>
      <c r="F78" s="150"/>
      <c r="G78" s="150"/>
      <c r="H78" s="75"/>
      <c r="I78" s="149"/>
      <c r="J78" s="75"/>
      <c r="L78" s="69"/>
      <c r="P78" s="94"/>
    </row>
    <row r="79" spans="2:17" s="16" customFormat="1" ht="15">
      <c r="B79" s="75"/>
      <c r="C79" s="75"/>
      <c r="D79" s="197"/>
      <c r="E79" s="75"/>
      <c r="F79" s="143"/>
      <c r="G79" s="143"/>
      <c r="H79" s="75"/>
      <c r="I79" s="75"/>
      <c r="J79" s="75"/>
      <c r="L79" s="69"/>
      <c r="P79" s="94"/>
    </row>
    <row r="80" spans="2:17" s="16" customFormat="1" ht="15">
      <c r="B80" s="75"/>
      <c r="C80" s="75"/>
      <c r="D80" s="75"/>
      <c r="E80" s="75"/>
      <c r="F80" s="75"/>
      <c r="G80" s="143"/>
      <c r="H80" s="75"/>
      <c r="I80" s="147"/>
      <c r="J80" s="75"/>
      <c r="L80" s="69"/>
      <c r="P80" s="94"/>
    </row>
    <row r="81" spans="2:16" s="16" customFormat="1" ht="15">
      <c r="B81" s="75"/>
      <c r="C81" s="75"/>
      <c r="D81" s="75"/>
      <c r="E81" s="75"/>
      <c r="F81" s="75"/>
      <c r="G81" s="143"/>
      <c r="H81" s="75"/>
      <c r="I81" s="147"/>
      <c r="J81" s="75"/>
      <c r="L81" s="69"/>
      <c r="P81" s="94"/>
    </row>
    <row r="82" spans="2:16" s="16" customFormat="1" ht="15">
      <c r="B82" s="75"/>
      <c r="C82" s="75"/>
      <c r="D82" s="75"/>
      <c r="E82" s="75"/>
      <c r="F82" s="75"/>
      <c r="G82" s="143"/>
      <c r="H82" s="75"/>
      <c r="I82" s="147"/>
      <c r="J82" s="75"/>
      <c r="L82" s="69"/>
      <c r="P82" s="94"/>
    </row>
    <row r="83" spans="2:16" s="16" customFormat="1" ht="15">
      <c r="B83" s="75"/>
      <c r="C83" s="75"/>
      <c r="D83" s="75"/>
      <c r="E83" s="75"/>
      <c r="F83" s="75"/>
      <c r="G83" s="143"/>
      <c r="H83" s="75"/>
      <c r="I83" s="147"/>
      <c r="J83" s="75"/>
      <c r="L83" s="69"/>
      <c r="P83" s="94"/>
    </row>
    <row r="84" spans="2:16" s="16" customFormat="1" ht="15">
      <c r="B84" s="75"/>
      <c r="C84" s="75"/>
      <c r="D84" s="75"/>
      <c r="E84" s="75"/>
      <c r="F84" s="75"/>
      <c r="G84" s="143"/>
      <c r="H84" s="75"/>
      <c r="I84" s="147"/>
      <c r="J84" s="75"/>
      <c r="L84" s="69"/>
      <c r="P84" s="94"/>
    </row>
    <row r="85" spans="2:16" s="16" customFormat="1" ht="15">
      <c r="B85" s="75"/>
      <c r="C85" s="75"/>
      <c r="D85" s="75"/>
      <c r="E85" s="75"/>
      <c r="F85" s="75"/>
      <c r="G85" s="143"/>
      <c r="H85" s="75"/>
      <c r="I85" s="147"/>
      <c r="J85" s="75"/>
      <c r="L85" s="69"/>
      <c r="P85" s="94"/>
    </row>
    <row r="86" spans="2:16" s="16" customFormat="1" ht="15">
      <c r="B86" s="75"/>
      <c r="C86" s="75"/>
      <c r="D86" s="75"/>
      <c r="E86" s="75"/>
      <c r="F86" s="75"/>
      <c r="G86" s="143"/>
      <c r="H86" s="75"/>
      <c r="I86" s="147"/>
      <c r="J86" s="75"/>
      <c r="L86" s="69"/>
      <c r="P86" s="94"/>
    </row>
    <row r="87" spans="2:16" s="16" customFormat="1" ht="15">
      <c r="B87" s="75"/>
      <c r="C87" s="75"/>
      <c r="D87" s="75"/>
      <c r="E87" s="75"/>
      <c r="F87" s="75"/>
      <c r="G87" s="143"/>
      <c r="H87" s="75"/>
      <c r="I87" s="147"/>
      <c r="J87" s="75"/>
      <c r="L87" s="69"/>
      <c r="P87" s="94"/>
    </row>
    <row r="88" spans="2:16" s="16" customFormat="1" ht="15">
      <c r="B88" s="153"/>
      <c r="C88" s="75"/>
      <c r="D88" s="75"/>
      <c r="E88" s="75"/>
      <c r="F88" s="75"/>
      <c r="G88" s="75"/>
      <c r="H88" s="75"/>
      <c r="I88" s="198"/>
      <c r="J88" s="75"/>
      <c r="L88" s="69"/>
      <c r="P88" s="94"/>
    </row>
    <row r="89" spans="2:16" s="16" customFormat="1" ht="15">
      <c r="B89" s="145"/>
      <c r="C89" s="75"/>
      <c r="D89" s="75"/>
      <c r="E89" s="75"/>
      <c r="F89" s="75"/>
      <c r="G89" s="143"/>
      <c r="H89" s="75"/>
      <c r="I89" s="147"/>
      <c r="J89" s="75"/>
      <c r="L89" s="69"/>
      <c r="P89" s="94"/>
    </row>
    <row r="90" spans="2:16" s="16" customFormat="1" ht="15">
      <c r="B90" s="75"/>
      <c r="C90" s="75"/>
      <c r="D90" s="75"/>
      <c r="E90" s="75"/>
      <c r="F90" s="75"/>
      <c r="G90" s="75"/>
      <c r="H90" s="75"/>
      <c r="I90" s="75"/>
      <c r="J90" s="75"/>
      <c r="L90" s="69"/>
      <c r="P90" s="94"/>
    </row>
    <row r="91" spans="2:16" s="16" customFormat="1" ht="15">
      <c r="B91" s="75"/>
      <c r="C91" s="75"/>
      <c r="D91" s="75"/>
      <c r="E91" s="75"/>
      <c r="F91" s="75"/>
      <c r="G91" s="75"/>
      <c r="H91" s="75"/>
      <c r="I91" s="75"/>
      <c r="J91" s="75"/>
      <c r="L91" s="69"/>
      <c r="P91" s="94"/>
    </row>
    <row r="92" spans="2:16" s="16" customFormat="1" ht="15">
      <c r="B92" s="75"/>
      <c r="C92" s="75"/>
      <c r="D92" s="75"/>
      <c r="E92" s="75"/>
      <c r="F92" s="75"/>
      <c r="G92" s="75"/>
      <c r="H92" s="75"/>
      <c r="I92" s="75"/>
      <c r="J92" s="75"/>
      <c r="L92" s="69"/>
      <c r="P92" s="94"/>
    </row>
    <row r="93" spans="2:16" s="16" customFormat="1" ht="15">
      <c r="B93" s="75"/>
      <c r="C93" s="75"/>
      <c r="D93" s="75"/>
      <c r="E93" s="75"/>
      <c r="F93" s="75"/>
      <c r="G93" s="75"/>
      <c r="H93" s="75"/>
      <c r="I93" s="75"/>
      <c r="J93" s="75"/>
      <c r="L93" s="69"/>
      <c r="P93" s="94"/>
    </row>
    <row r="94" spans="2:16" s="16" customFormat="1" ht="15">
      <c r="L94" s="69"/>
      <c r="P94" s="94"/>
    </row>
    <row r="95" spans="2:16" s="16" customFormat="1" ht="15">
      <c r="L95" s="69"/>
      <c r="P95" s="94"/>
    </row>
    <row r="96" spans="2:16" s="16" customFormat="1" ht="15">
      <c r="L96" s="69"/>
      <c r="P96" s="94"/>
    </row>
    <row r="97" spans="12:16" s="16" customFormat="1" ht="15">
      <c r="L97" s="69"/>
      <c r="P97" s="94"/>
    </row>
    <row r="98" spans="12:16" s="16" customFormat="1" ht="15">
      <c r="L98" s="69"/>
      <c r="P98" s="94"/>
    </row>
    <row r="99" spans="12:16" s="16" customFormat="1" ht="15">
      <c r="L99" s="69"/>
      <c r="P99" s="94"/>
    </row>
    <row r="100" spans="12:16" s="16" customFormat="1" ht="15">
      <c r="L100" s="69"/>
      <c r="P100" s="94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4">
    <tabColor rgb="FFFFC000"/>
  </sheetPr>
  <dimension ref="B2:O42"/>
  <sheetViews>
    <sheetView tabSelected="1" zoomScale="80" zoomScaleNormal="80" workbookViewId="0">
      <selection activeCell="N17" sqref="N17"/>
    </sheetView>
  </sheetViews>
  <sheetFormatPr defaultRowHeight="12.75"/>
  <cols>
    <col min="1" max="1" width="4.42578125" customWidth="1"/>
    <col min="2" max="2" width="21.42578125" customWidth="1"/>
    <col min="3" max="3" width="30.85546875" bestFit="1" customWidth="1"/>
    <col min="4" max="4" width="10" bestFit="1" customWidth="1"/>
    <col min="5" max="5" width="11.7109375" bestFit="1" customWidth="1"/>
    <col min="6" max="6" width="13" customWidth="1"/>
    <col min="7" max="7" width="15.28515625" bestFit="1" customWidth="1"/>
    <col min="8" max="8" width="11.7109375" bestFit="1" customWidth="1"/>
    <col min="9" max="9" width="12.28515625" customWidth="1"/>
    <col min="10" max="10" width="9.140625" customWidth="1"/>
    <col min="11" max="11" width="14" customWidth="1"/>
    <col min="12" max="256" width="11.42578125" customWidth="1"/>
  </cols>
  <sheetData>
    <row r="2" spans="2:15" ht="26.25">
      <c r="B2" s="82" t="s">
        <v>232</v>
      </c>
    </row>
    <row r="3" spans="2:15" ht="26.25">
      <c r="B3" s="83" t="s">
        <v>248</v>
      </c>
    </row>
    <row r="5" spans="2:15">
      <c r="G5" s="7"/>
      <c r="I5" s="7"/>
      <c r="K5" s="10"/>
    </row>
    <row r="6" spans="2:15" ht="18">
      <c r="B6" s="4" t="s">
        <v>147</v>
      </c>
      <c r="C6" s="3"/>
      <c r="D6" s="3"/>
      <c r="E6" s="6" t="s">
        <v>80</v>
      </c>
      <c r="F6" s="6"/>
      <c r="H6" s="12"/>
      <c r="I6" s="13"/>
      <c r="J6" s="14"/>
      <c r="K6" s="14"/>
      <c r="L6" s="14"/>
      <c r="M6" s="1"/>
      <c r="N6" s="1"/>
    </row>
    <row r="7" spans="2:15" s="16" customFormat="1" ht="15.75" thickBot="1">
      <c r="B7" s="185" t="s">
        <v>15</v>
      </c>
      <c r="C7" s="185" t="s">
        <v>16</v>
      </c>
      <c r="D7" s="185" t="s">
        <v>39</v>
      </c>
      <c r="E7" s="185" t="s">
        <v>40</v>
      </c>
      <c r="F7" s="186" t="s">
        <v>247</v>
      </c>
      <c r="G7" s="797" t="s">
        <v>613</v>
      </c>
      <c r="H7" s="186" t="s">
        <v>82</v>
      </c>
      <c r="I7" s="186" t="s">
        <v>211</v>
      </c>
      <c r="J7" s="186" t="s">
        <v>29</v>
      </c>
      <c r="K7" s="186" t="s">
        <v>30</v>
      </c>
      <c r="L7" s="186" t="s">
        <v>111</v>
      </c>
      <c r="M7" s="69"/>
      <c r="N7" s="786" t="s">
        <v>238</v>
      </c>
      <c r="O7" s="786"/>
    </row>
    <row r="8" spans="2:15" s="16" customFormat="1" ht="15">
      <c r="B8" s="187" t="s">
        <v>148</v>
      </c>
      <c r="C8" s="187"/>
      <c r="D8" s="187"/>
      <c r="E8" s="187"/>
      <c r="F8" s="187"/>
      <c r="G8" s="187"/>
      <c r="H8" s="187"/>
      <c r="I8" s="187"/>
      <c r="J8" s="187" t="s">
        <v>114</v>
      </c>
      <c r="K8" s="187" t="s">
        <v>34</v>
      </c>
      <c r="L8" s="187" t="s">
        <v>109</v>
      </c>
      <c r="M8" s="69"/>
      <c r="N8" s="187" t="s">
        <v>257</v>
      </c>
      <c r="O8" s="187" t="s">
        <v>150</v>
      </c>
    </row>
    <row r="9" spans="2:15" s="16" customFormat="1" ht="15">
      <c r="B9" s="140" t="s">
        <v>543</v>
      </c>
      <c r="C9" s="140" t="s">
        <v>536</v>
      </c>
      <c r="D9" s="54" t="s">
        <v>70</v>
      </c>
      <c r="E9" s="54" t="s">
        <v>72</v>
      </c>
      <c r="F9" s="54"/>
      <c r="G9" s="54"/>
      <c r="H9" s="73">
        <v>1</v>
      </c>
      <c r="I9" s="54">
        <v>31.536000000000001</v>
      </c>
      <c r="J9" s="121">
        <f>O9/(L9*I9)</f>
        <v>1.6967369414688071E-3</v>
      </c>
      <c r="K9" s="54">
        <v>15</v>
      </c>
      <c r="L9" s="54">
        <v>0.13</v>
      </c>
      <c r="M9" s="69"/>
      <c r="N9" s="413">
        <f>I9*J9*L9</f>
        <v>6.95607850420084E-3</v>
      </c>
      <c r="O9" s="413">
        <f>0.16614308073471*COM_Balance!$S$5</f>
        <v>6.9560785042008392E-3</v>
      </c>
    </row>
    <row r="10" spans="2:15" s="16" customFormat="1" ht="15">
      <c r="B10" s="54"/>
      <c r="C10" s="54"/>
      <c r="D10" s="54"/>
      <c r="E10" s="54" t="s">
        <v>375</v>
      </c>
      <c r="F10" s="73">
        <v>0.3</v>
      </c>
      <c r="G10" s="800">
        <v>5</v>
      </c>
      <c r="H10" s="54"/>
      <c r="I10" s="54"/>
      <c r="J10" s="54"/>
      <c r="K10" s="54"/>
      <c r="L10" s="54"/>
      <c r="M10" s="69"/>
      <c r="N10" s="69"/>
      <c r="O10" s="69"/>
    </row>
    <row r="11" spans="2:15" s="16" customFormat="1" ht="15">
      <c r="M11" s="412"/>
    </row>
    <row r="12" spans="2:15" s="16" customFormat="1" ht="15"/>
    <row r="13" spans="2:15" s="16" customFormat="1" ht="15"/>
    <row r="14" spans="2:15" s="16" customFormat="1" ht="15"/>
    <row r="15" spans="2:15" s="16" customFormat="1" ht="15"/>
    <row r="16" spans="2:15" s="16" customFormat="1" ht="15"/>
    <row r="17" spans="2:2" s="16" customFormat="1" ht="15">
      <c r="B17" s="414"/>
    </row>
    <row r="18" spans="2:2" s="16" customFormat="1" ht="15"/>
    <row r="19" spans="2:2" s="16" customFormat="1" ht="15"/>
    <row r="20" spans="2:2" s="16" customFormat="1" ht="15"/>
    <row r="21" spans="2:2" s="16" customFormat="1" ht="15"/>
    <row r="22" spans="2:2" s="16" customFormat="1" ht="15"/>
    <row r="23" spans="2:2" s="16" customFormat="1" ht="15"/>
    <row r="24" spans="2:2" s="16" customFormat="1" ht="15"/>
    <row r="25" spans="2:2" s="16" customFormat="1" ht="15"/>
    <row r="26" spans="2:2" s="16" customFormat="1" ht="15"/>
    <row r="27" spans="2:2" s="16" customFormat="1" ht="15"/>
    <row r="28" spans="2:2" s="16" customFormat="1" ht="15"/>
    <row r="29" spans="2:2" s="16" customFormat="1" ht="15"/>
    <row r="30" spans="2:2" s="16" customFormat="1" ht="15"/>
    <row r="31" spans="2:2" s="16" customFormat="1" ht="15"/>
    <row r="32" spans="2:2" s="16" customFormat="1" ht="15"/>
    <row r="33" s="16" customFormat="1" ht="15"/>
    <row r="34" s="16" customFormat="1" ht="15"/>
    <row r="35" s="16" customFormat="1" ht="15"/>
    <row r="36" s="16" customFormat="1" ht="15"/>
    <row r="37" s="16" customFormat="1" ht="15"/>
    <row r="38" s="16" customFormat="1" ht="15"/>
    <row r="39" s="16" customFormat="1" ht="15"/>
    <row r="40" s="16" customFormat="1" ht="15"/>
    <row r="41" s="16" customFormat="1" ht="15"/>
    <row r="42" s="16" customFormat="1" ht="15"/>
  </sheetData>
  <mergeCells count="1">
    <mergeCell ref="N7:O7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5">
    <tabColor theme="5" tint="0.39997558519241921"/>
  </sheetPr>
  <dimension ref="B4:I59"/>
  <sheetViews>
    <sheetView workbookViewId="0">
      <selection activeCell="C8" sqref="C8"/>
    </sheetView>
  </sheetViews>
  <sheetFormatPr defaultColWidth="9.140625" defaultRowHeight="15"/>
  <cols>
    <col min="1" max="1" width="9.140625" style="429"/>
    <col min="2" max="2" width="27.7109375" style="427" customWidth="1"/>
    <col min="3" max="3" width="19.5703125" style="428" bestFit="1" customWidth="1"/>
    <col min="4" max="4" width="14.28515625" style="428" bestFit="1" customWidth="1"/>
    <col min="5" max="5" width="15.140625" style="428" bestFit="1" customWidth="1"/>
    <col min="6" max="7" width="14.28515625" style="428" bestFit="1" customWidth="1"/>
    <col min="8" max="8" width="9.140625" style="429"/>
    <col min="9" max="9" width="10.85546875" style="429" bestFit="1" customWidth="1"/>
    <col min="10" max="16384" width="9.140625" style="429"/>
  </cols>
  <sheetData>
    <row r="4" spans="2:9">
      <c r="I4" s="429" t="s">
        <v>414</v>
      </c>
    </row>
    <row r="5" spans="2:9">
      <c r="B5" s="430"/>
      <c r="C5" s="431" t="s">
        <v>415</v>
      </c>
      <c r="D5" s="431" t="s">
        <v>416</v>
      </c>
      <c r="E5" s="431" t="s">
        <v>417</v>
      </c>
      <c r="F5" s="431" t="s">
        <v>418</v>
      </c>
      <c r="G5" s="431" t="s">
        <v>419</v>
      </c>
    </row>
    <row r="6" spans="2:9">
      <c r="B6" s="432" t="s">
        <v>420</v>
      </c>
      <c r="C6" s="433">
        <v>42283</v>
      </c>
      <c r="D6" s="433">
        <v>39559</v>
      </c>
      <c r="E6" s="433">
        <v>16377</v>
      </c>
      <c r="F6" s="433">
        <v>7564</v>
      </c>
      <c r="G6" s="433">
        <v>3570</v>
      </c>
    </row>
    <row r="7" spans="2:9" ht="30">
      <c r="B7" s="432" t="s">
        <v>421</v>
      </c>
      <c r="C7" s="434">
        <v>0.39</v>
      </c>
      <c r="D7" s="434">
        <v>0.36</v>
      </c>
      <c r="E7" s="434">
        <v>0.15</v>
      </c>
      <c r="F7" s="434">
        <v>7.0000000000000007E-2</v>
      </c>
      <c r="G7" s="434">
        <v>0.03</v>
      </c>
      <c r="I7" s="429" t="s">
        <v>422</v>
      </c>
    </row>
    <row r="8" spans="2:9">
      <c r="B8" s="432" t="s">
        <v>423</v>
      </c>
      <c r="C8" s="762">
        <f>'CSO data'!C36</f>
        <v>728</v>
      </c>
      <c r="D8" s="762">
        <f>'CSO data'!B36</f>
        <v>302</v>
      </c>
      <c r="E8" s="762">
        <f>'CSO data'!D36</f>
        <v>297</v>
      </c>
      <c r="F8" s="762">
        <f>'CSO data'!F36</f>
        <v>1142</v>
      </c>
      <c r="G8" s="762">
        <f>'CSO data'!E36</f>
        <v>3365</v>
      </c>
      <c r="I8" s="768" t="s">
        <v>494</v>
      </c>
    </row>
    <row r="9" spans="2:9" ht="30">
      <c r="B9" s="432" t="s">
        <v>512</v>
      </c>
      <c r="C9" s="480">
        <f>(SUM(C19:C21)*1000000000)/(C8*C6)</f>
        <v>116.95137395773585</v>
      </c>
      <c r="D9" s="480">
        <f>(SUM(D19:D21)*1000000000)/(D8*D6)</f>
        <v>569.18921841782469</v>
      </c>
      <c r="E9" s="480">
        <f>(SUM(E19:E21)*1000000000)/(E8*E6)</f>
        <v>596.220905190802</v>
      </c>
      <c r="F9" s="480">
        <f>(SUM(F19:F21)*1000000000)/(F8*F6)</f>
        <v>173.64953911096993</v>
      </c>
      <c r="G9" s="480">
        <f>(SUM(G19:G21)*1000000000)/(G8*G6)</f>
        <v>274.70126237716482</v>
      </c>
    </row>
    <row r="10" spans="2:9">
      <c r="B10" s="432" t="s">
        <v>424</v>
      </c>
      <c r="C10" s="433">
        <v>85140.600241231703</v>
      </c>
      <c r="D10" s="433">
        <v>171895.14396218307</v>
      </c>
      <c r="E10" s="433">
        <v>177077.6088416682</v>
      </c>
      <c r="F10" s="433">
        <v>198307.77366472766</v>
      </c>
      <c r="G10" s="433">
        <v>924369.74789915967</v>
      </c>
    </row>
    <row r="11" spans="2:9" ht="30">
      <c r="B11" s="432" t="s">
        <v>425</v>
      </c>
      <c r="C11" s="433">
        <v>40205.283447248308</v>
      </c>
      <c r="D11" s="433">
        <v>73308.223160342794</v>
      </c>
      <c r="E11" s="433">
        <v>91591.866642242167</v>
      </c>
      <c r="F11" s="433">
        <v>92543.627710206245</v>
      </c>
      <c r="G11" s="433">
        <v>532212.8851540616</v>
      </c>
      <c r="I11" s="761"/>
    </row>
    <row r="12" spans="2:9">
      <c r="B12" s="430"/>
      <c r="C12" s="436"/>
      <c r="D12" s="436"/>
      <c r="E12" s="436"/>
      <c r="F12" s="436"/>
      <c r="G12" s="436"/>
    </row>
    <row r="13" spans="2:9" ht="30">
      <c r="B13" s="430" t="s">
        <v>426</v>
      </c>
      <c r="C13" s="431"/>
      <c r="D13" s="431"/>
      <c r="E13" s="431"/>
      <c r="F13" s="431"/>
      <c r="G13" s="431"/>
      <c r="I13" s="760"/>
    </row>
    <row r="14" spans="2:9">
      <c r="B14" s="437" t="s">
        <v>427</v>
      </c>
      <c r="C14" s="438">
        <v>0.21555878668166398</v>
      </c>
      <c r="D14" s="438">
        <v>0.320210693808126</v>
      </c>
      <c r="E14" s="438">
        <v>7.9293663639772111E-2</v>
      </c>
      <c r="F14" s="438">
        <v>4.6692820498751751E-2</v>
      </c>
      <c r="G14" s="438">
        <v>3.1091968213034851E-3</v>
      </c>
    </row>
    <row r="15" spans="2:9">
      <c r="B15" s="437" t="s">
        <v>428</v>
      </c>
      <c r="C15" s="438">
        <v>2.9381909961317933E-2</v>
      </c>
      <c r="D15" s="438">
        <v>1.3003758470275163E-2</v>
      </c>
      <c r="E15" s="438">
        <v>3.0835916710103974E-2</v>
      </c>
      <c r="F15" s="438">
        <v>2.8348559253061189E-3</v>
      </c>
      <c r="G15" s="438">
        <v>3.6853127028979543E-3</v>
      </c>
    </row>
    <row r="16" spans="2:9">
      <c r="B16" s="437" t="s">
        <v>37</v>
      </c>
      <c r="C16" s="438">
        <v>0.14172450687223945</v>
      </c>
      <c r="D16" s="438">
        <v>2.8540597880259342E-2</v>
      </c>
      <c r="E16" s="438">
        <v>3.9633114775086187E-2</v>
      </c>
      <c r="F16" s="438">
        <v>1.9642808153411431E-2</v>
      </c>
      <c r="G16" s="438">
        <v>2.5852057099485154E-2</v>
      </c>
    </row>
    <row r="17" spans="2:9">
      <c r="B17" s="430"/>
      <c r="C17" s="439"/>
      <c r="D17" s="440"/>
      <c r="E17" s="439"/>
      <c r="F17" s="439"/>
      <c r="G17" s="439"/>
    </row>
    <row r="18" spans="2:9" ht="45">
      <c r="B18" s="430" t="s">
        <v>429</v>
      </c>
      <c r="C18" s="439"/>
      <c r="D18" s="439"/>
      <c r="E18" s="439"/>
      <c r="F18" s="439"/>
      <c r="G18" s="439"/>
      <c r="I18" s="429" t="s">
        <v>430</v>
      </c>
    </row>
    <row r="19" spans="2:9">
      <c r="B19" s="437" t="s">
        <v>427</v>
      </c>
      <c r="C19" s="441">
        <v>3</v>
      </c>
      <c r="D19" s="441">
        <v>6.5</v>
      </c>
      <c r="E19" s="441">
        <v>2.2999999999999998</v>
      </c>
      <c r="F19" s="441">
        <v>1.4</v>
      </c>
      <c r="G19" s="441">
        <v>2.2999999999999998</v>
      </c>
      <c r="I19" s="429" t="s">
        <v>430</v>
      </c>
    </row>
    <row r="20" spans="2:9">
      <c r="B20" s="437" t="s">
        <v>428</v>
      </c>
      <c r="C20" s="441">
        <v>0.2</v>
      </c>
      <c r="D20" s="441">
        <v>0.2</v>
      </c>
      <c r="E20" s="441">
        <v>0.4</v>
      </c>
      <c r="F20" s="441">
        <v>0.1</v>
      </c>
      <c r="G20" s="441">
        <v>0.6</v>
      </c>
      <c r="I20" s="429" t="s">
        <v>430</v>
      </c>
    </row>
    <row r="21" spans="2:9">
      <c r="B21" s="437" t="s">
        <v>37</v>
      </c>
      <c r="C21" s="441">
        <v>0.4</v>
      </c>
      <c r="D21" s="441">
        <v>0.1</v>
      </c>
      <c r="E21" s="441">
        <v>0.2</v>
      </c>
      <c r="F21" s="441">
        <v>0</v>
      </c>
      <c r="G21" s="441">
        <v>0.4</v>
      </c>
      <c r="I21" s="429" t="s">
        <v>430</v>
      </c>
    </row>
    <row r="22" spans="2:9">
      <c r="B22" s="430"/>
      <c r="C22" s="439"/>
      <c r="D22" s="439"/>
      <c r="E22" s="439"/>
      <c r="F22" s="439"/>
      <c r="G22" s="439"/>
    </row>
    <row r="23" spans="2:9" ht="45">
      <c r="B23" s="430" t="s">
        <v>431</v>
      </c>
      <c r="C23" s="439"/>
      <c r="D23" s="439"/>
      <c r="E23" s="439"/>
      <c r="F23" s="439"/>
      <c r="G23" s="439"/>
      <c r="I23" s="429" t="s">
        <v>430</v>
      </c>
    </row>
    <row r="24" spans="2:9">
      <c r="B24" s="437" t="s">
        <v>427</v>
      </c>
      <c r="C24" s="435">
        <v>1.3</v>
      </c>
      <c r="D24" s="435">
        <v>2.7</v>
      </c>
      <c r="E24" s="435">
        <v>0.9</v>
      </c>
      <c r="F24" s="435">
        <v>0.6</v>
      </c>
      <c r="G24" s="435">
        <v>0.9</v>
      </c>
      <c r="I24" s="429" t="s">
        <v>430</v>
      </c>
    </row>
    <row r="25" spans="2:9">
      <c r="B25" s="437" t="s">
        <v>428</v>
      </c>
      <c r="C25" s="435">
        <v>0.3</v>
      </c>
      <c r="D25" s="435">
        <v>0.1</v>
      </c>
      <c r="E25" s="435">
        <v>0.4</v>
      </c>
      <c r="F25" s="435">
        <v>0.1</v>
      </c>
      <c r="G25" s="435">
        <v>0.6</v>
      </c>
      <c r="I25" s="429" t="s">
        <v>430</v>
      </c>
    </row>
    <row r="26" spans="2:9">
      <c r="B26" s="437" t="s">
        <v>37</v>
      </c>
      <c r="C26" s="435">
        <v>0.1</v>
      </c>
      <c r="D26" s="435">
        <v>0.1</v>
      </c>
      <c r="E26" s="435">
        <v>0.2</v>
      </c>
      <c r="F26" s="435">
        <v>0</v>
      </c>
      <c r="G26" s="435">
        <v>0.4</v>
      </c>
      <c r="I26" s="429" t="s">
        <v>430</v>
      </c>
    </row>
    <row r="27" spans="2:9">
      <c r="B27" s="430"/>
      <c r="C27" s="439"/>
      <c r="D27" s="439"/>
      <c r="E27" s="439"/>
      <c r="F27" s="439"/>
      <c r="G27" s="439"/>
    </row>
    <row r="28" spans="2:9">
      <c r="B28" s="442" t="s">
        <v>432</v>
      </c>
      <c r="C28" s="439"/>
      <c r="D28" s="439"/>
      <c r="E28" s="439"/>
      <c r="F28" s="439"/>
      <c r="G28" s="439"/>
    </row>
    <row r="29" spans="2:9">
      <c r="B29" s="437" t="s">
        <v>433</v>
      </c>
      <c r="C29" s="434">
        <v>0.45</v>
      </c>
      <c r="D29" s="434">
        <v>0.35</v>
      </c>
      <c r="E29" s="434">
        <v>0.35</v>
      </c>
      <c r="F29" s="434">
        <v>0.2</v>
      </c>
      <c r="G29" s="434">
        <v>0.45</v>
      </c>
    </row>
    <row r="30" spans="2:9">
      <c r="B30" s="437" t="s">
        <v>434</v>
      </c>
      <c r="C30" s="434">
        <v>0.5</v>
      </c>
      <c r="D30" s="434">
        <v>0.45</v>
      </c>
      <c r="E30" s="434">
        <v>0.5</v>
      </c>
      <c r="F30" s="434">
        <v>0.2</v>
      </c>
      <c r="G30" s="434">
        <v>0.5</v>
      </c>
    </row>
    <row r="31" spans="2:9">
      <c r="B31" s="437" t="s">
        <v>435</v>
      </c>
      <c r="C31" s="434">
        <v>0.05</v>
      </c>
      <c r="D31" s="434">
        <v>0.2</v>
      </c>
      <c r="E31" s="434">
        <v>0.15</v>
      </c>
      <c r="F31" s="434">
        <v>0.6</v>
      </c>
      <c r="G31" s="434">
        <v>0.05</v>
      </c>
    </row>
    <row r="32" spans="2:9">
      <c r="B32" s="442"/>
      <c r="C32" s="439"/>
      <c r="D32" s="439"/>
      <c r="E32" s="439"/>
      <c r="F32" s="439"/>
      <c r="G32" s="439"/>
    </row>
    <row r="33" spans="2:7" ht="30">
      <c r="B33" s="430" t="s">
        <v>436</v>
      </c>
      <c r="C33" s="439"/>
      <c r="D33" s="439"/>
      <c r="E33" s="439"/>
      <c r="F33" s="439"/>
      <c r="G33" s="439"/>
    </row>
    <row r="34" spans="2:7">
      <c r="B34" s="432" t="s">
        <v>437</v>
      </c>
      <c r="C34" s="434">
        <v>0.8</v>
      </c>
      <c r="D34" s="434">
        <v>0.55000000000000004</v>
      </c>
      <c r="E34" s="434">
        <v>0.55000000000000004</v>
      </c>
      <c r="F34" s="434">
        <v>0.3</v>
      </c>
      <c r="G34" s="434">
        <v>0.85</v>
      </c>
    </row>
    <row r="35" spans="2:7">
      <c r="B35" s="437" t="s">
        <v>438</v>
      </c>
      <c r="C35" s="434">
        <v>0.2</v>
      </c>
      <c r="D35" s="434">
        <v>0.45</v>
      </c>
      <c r="E35" s="434">
        <v>0.45</v>
      </c>
      <c r="F35" s="434">
        <v>0.7</v>
      </c>
      <c r="G35" s="434">
        <v>0.15</v>
      </c>
    </row>
    <row r="36" spans="2:7">
      <c r="B36" s="443"/>
      <c r="C36" s="439"/>
      <c r="D36" s="439"/>
      <c r="E36" s="439"/>
      <c r="F36" s="439"/>
      <c r="G36" s="439"/>
    </row>
    <row r="37" spans="2:7">
      <c r="B37" s="444" t="s">
        <v>439</v>
      </c>
      <c r="C37" s="439"/>
      <c r="D37" s="439"/>
      <c r="E37" s="439"/>
      <c r="F37" s="439"/>
      <c r="G37" s="439"/>
    </row>
    <row r="38" spans="2:7" ht="30">
      <c r="B38" s="432" t="s">
        <v>440</v>
      </c>
      <c r="C38" s="434">
        <v>0.05</v>
      </c>
      <c r="D38" s="434">
        <v>0.2</v>
      </c>
      <c r="E38" s="434">
        <v>0.05</v>
      </c>
      <c r="F38" s="434">
        <v>0.6</v>
      </c>
      <c r="G38" s="434">
        <v>0</v>
      </c>
    </row>
    <row r="39" spans="2:7" ht="30">
      <c r="B39" s="432" t="s">
        <v>441</v>
      </c>
      <c r="C39" s="434">
        <v>0.7</v>
      </c>
      <c r="D39" s="434">
        <v>0.5</v>
      </c>
      <c r="E39" s="434">
        <v>0.6</v>
      </c>
      <c r="F39" s="434">
        <v>0.35</v>
      </c>
      <c r="G39" s="434">
        <v>0.7</v>
      </c>
    </row>
    <row r="40" spans="2:7" ht="30">
      <c r="B40" s="432" t="s">
        <v>442</v>
      </c>
      <c r="C40" s="434">
        <v>0.2</v>
      </c>
      <c r="D40" s="434">
        <v>0.3</v>
      </c>
      <c r="E40" s="434">
        <v>0.35</v>
      </c>
      <c r="F40" s="434">
        <v>0.05</v>
      </c>
      <c r="G40" s="434">
        <v>0.3</v>
      </c>
    </row>
    <row r="41" spans="2:7">
      <c r="B41" s="430"/>
      <c r="C41" s="439"/>
      <c r="D41" s="439"/>
      <c r="E41" s="439"/>
      <c r="F41" s="439"/>
      <c r="G41" s="439"/>
    </row>
    <row r="42" spans="2:7" ht="30">
      <c r="B42" s="430" t="s">
        <v>443</v>
      </c>
      <c r="C42" s="439"/>
      <c r="D42" s="439"/>
      <c r="E42" s="439"/>
      <c r="F42" s="439"/>
      <c r="G42" s="439"/>
    </row>
    <row r="43" spans="2:7">
      <c r="B43" s="432" t="s">
        <v>444</v>
      </c>
      <c r="C43" s="434">
        <v>0.15</v>
      </c>
      <c r="D43" s="434">
        <v>0.15</v>
      </c>
      <c r="E43" s="434">
        <v>0.1</v>
      </c>
      <c r="F43" s="434">
        <v>0.5</v>
      </c>
      <c r="G43" s="434">
        <v>0</v>
      </c>
    </row>
    <row r="44" spans="2:7">
      <c r="B44" s="445" t="s">
        <v>445</v>
      </c>
      <c r="C44" s="434">
        <v>0.45</v>
      </c>
      <c r="D44" s="434">
        <v>0.45</v>
      </c>
      <c r="E44" s="434">
        <v>0.55000000000000004</v>
      </c>
      <c r="F44" s="434">
        <v>0.6</v>
      </c>
      <c r="G44" s="434">
        <v>0.5</v>
      </c>
    </row>
    <row r="45" spans="2:7">
      <c r="B45" s="445" t="s">
        <v>446</v>
      </c>
      <c r="C45" s="434">
        <v>0.4</v>
      </c>
      <c r="D45" s="434">
        <v>0.4</v>
      </c>
      <c r="E45" s="434">
        <v>0.35</v>
      </c>
      <c r="F45" s="434">
        <v>0.35</v>
      </c>
      <c r="G45" s="434">
        <v>0.5</v>
      </c>
    </row>
    <row r="49" spans="2:7" ht="13.5" thickBot="1">
      <c r="B49" s="446"/>
      <c r="C49" s="446"/>
      <c r="D49" s="446"/>
      <c r="E49" s="446"/>
      <c r="F49" s="446"/>
      <c r="G49" s="446"/>
    </row>
    <row r="50" spans="2:7" ht="12.75">
      <c r="B50" s="446"/>
      <c r="C50" s="447"/>
      <c r="D50" s="448"/>
      <c r="E50" s="448"/>
      <c r="F50" s="449"/>
      <c r="G50" s="446"/>
    </row>
    <row r="51" spans="2:7" ht="12.75">
      <c r="B51" s="446"/>
      <c r="C51" s="450"/>
      <c r="D51" s="451"/>
      <c r="E51" s="451"/>
      <c r="F51" s="452"/>
      <c r="G51" s="446"/>
    </row>
    <row r="52" spans="2:7" ht="12.75">
      <c r="B52" s="446"/>
      <c r="C52" s="450"/>
      <c r="D52" s="451"/>
      <c r="E52" s="451"/>
      <c r="F52" s="452"/>
      <c r="G52" s="446"/>
    </row>
    <row r="53" spans="2:7">
      <c r="B53" s="446"/>
      <c r="C53" s="787" t="s">
        <v>495</v>
      </c>
      <c r="D53" s="788"/>
      <c r="E53" s="788"/>
      <c r="F53" s="789"/>
      <c r="G53" s="446"/>
    </row>
    <row r="54" spans="2:7" ht="12.75">
      <c r="B54" s="446"/>
      <c r="C54" s="450"/>
      <c r="D54" s="451"/>
      <c r="E54" s="451"/>
      <c r="F54" s="452"/>
      <c r="G54" s="446"/>
    </row>
    <row r="55" spans="2:7" ht="18.75">
      <c r="B55" s="446"/>
      <c r="C55" s="453"/>
      <c r="D55" s="451"/>
      <c r="E55" s="451"/>
      <c r="F55" s="452"/>
      <c r="G55" s="446"/>
    </row>
    <row r="56" spans="2:7">
      <c r="B56" s="446"/>
      <c r="C56" s="790">
        <v>42703</v>
      </c>
      <c r="D56" s="791"/>
      <c r="E56" s="791"/>
      <c r="F56" s="792"/>
      <c r="G56" s="446"/>
    </row>
    <row r="57" spans="2:7" ht="15.75" thickBot="1">
      <c r="B57" s="454"/>
      <c r="C57" s="455"/>
      <c r="D57" s="456"/>
      <c r="E57" s="456"/>
      <c r="F57" s="457"/>
      <c r="G57" s="454"/>
    </row>
    <row r="58" spans="2:7">
      <c r="B58" s="454"/>
      <c r="C58" s="454"/>
      <c r="D58" s="454"/>
      <c r="E58" s="454"/>
      <c r="F58" s="454"/>
      <c r="G58" s="454"/>
    </row>
    <row r="59" spans="2:7">
      <c r="B59" s="454"/>
      <c r="C59" s="454"/>
      <c r="D59" s="454"/>
      <c r="E59" s="454"/>
      <c r="F59" s="454"/>
      <c r="G59" s="454"/>
    </row>
  </sheetData>
  <mergeCells count="2">
    <mergeCell ref="C53:F53"/>
    <mergeCell ref="C56:F56"/>
  </mergeCells>
  <hyperlinks>
    <hyperlink ref="I8" r:id="rId1" xr:uid="{71E71926-C5B3-4D32-BC40-B79B201E7EDE}"/>
  </hyperlinks>
  <pageMargins left="0.7" right="0.7" top="0.75" bottom="0.75" header="0.3" footer="0.3"/>
  <pageSetup paperSize="9" orientation="portrait" r:id="rId2"/>
  <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6">
    <tabColor theme="5" tint="0.39997558519241921"/>
  </sheetPr>
  <dimension ref="B2:J40"/>
  <sheetViews>
    <sheetView workbookViewId="0">
      <selection activeCell="H19" sqref="H19"/>
    </sheetView>
  </sheetViews>
  <sheetFormatPr defaultColWidth="9.140625" defaultRowHeight="12.75"/>
  <cols>
    <col min="1" max="2" width="9.140625" style="481"/>
    <col min="3" max="3" width="38.85546875" style="481" bestFit="1" customWidth="1"/>
    <col min="4" max="4" width="9.42578125" style="481" bestFit="1" customWidth="1"/>
    <col min="5" max="5" width="12.85546875" style="481" bestFit="1" customWidth="1"/>
    <col min="6" max="6" width="13.28515625" style="481" bestFit="1" customWidth="1"/>
    <col min="7" max="7" width="9.140625" style="482"/>
    <col min="8" max="8" width="32.28515625" style="481" customWidth="1"/>
    <col min="9" max="9" width="10.28515625" style="481" bestFit="1" customWidth="1"/>
    <col min="10" max="10" width="10.7109375" style="481" bestFit="1" customWidth="1"/>
    <col min="11" max="16384" width="9.140625" style="481"/>
  </cols>
  <sheetData>
    <row r="2" spans="2:10" ht="15">
      <c r="B2" s="481" t="s">
        <v>513</v>
      </c>
      <c r="C2" s="768" t="s">
        <v>601</v>
      </c>
    </row>
    <row r="5" spans="2:10" ht="15">
      <c r="C5" s="483" t="s">
        <v>600</v>
      </c>
      <c r="H5" s="483" t="s">
        <v>600</v>
      </c>
    </row>
    <row r="6" spans="2:10" ht="15">
      <c r="C6" s="484"/>
      <c r="D6" s="484" t="s">
        <v>514</v>
      </c>
      <c r="E6" s="484" t="s">
        <v>515</v>
      </c>
      <c r="F6" s="763" t="s">
        <v>516</v>
      </c>
      <c r="H6" s="484" t="s">
        <v>517</v>
      </c>
      <c r="I6" s="484" t="s">
        <v>518</v>
      </c>
      <c r="J6" s="484" t="s">
        <v>519</v>
      </c>
    </row>
    <row r="7" spans="2:10">
      <c r="C7" s="484" t="s">
        <v>520</v>
      </c>
      <c r="D7" s="485">
        <v>225</v>
      </c>
      <c r="E7" s="484">
        <v>121</v>
      </c>
      <c r="F7" s="484">
        <v>43</v>
      </c>
      <c r="H7" s="486">
        <f>D7/$D$16</f>
        <v>4.5703839122486288E-2</v>
      </c>
      <c r="I7" s="486">
        <f>E7/$E$16</f>
        <v>3.873239436619718E-2</v>
      </c>
      <c r="J7" s="486">
        <f>F7/$F$16</f>
        <v>2.0149953139643861E-2</v>
      </c>
    </row>
    <row r="8" spans="2:10">
      <c r="C8" s="484" t="s">
        <v>521</v>
      </c>
      <c r="D8" s="485">
        <v>870</v>
      </c>
      <c r="E8" s="484">
        <v>864</v>
      </c>
      <c r="F8" s="487">
        <v>1475</v>
      </c>
      <c r="H8" s="486">
        <f t="shared" ref="H8:H14" si="0">D8/$D$16</f>
        <v>0.17672151127361366</v>
      </c>
      <c r="I8" s="486">
        <f t="shared" ref="I8:I14" si="1">E8/$E$16</f>
        <v>0.27656850192061461</v>
      </c>
      <c r="J8" s="486">
        <f t="shared" ref="J8:J14" si="2">F8/$F$16</f>
        <v>0.69119025304592319</v>
      </c>
    </row>
    <row r="9" spans="2:10" ht="15">
      <c r="C9" s="764" t="s">
        <v>605</v>
      </c>
      <c r="D9" s="485">
        <v>496</v>
      </c>
      <c r="E9" s="484">
        <v>339</v>
      </c>
      <c r="F9" s="484">
        <v>10</v>
      </c>
      <c r="H9" s="486">
        <f t="shared" si="0"/>
        <v>0.10075157424334755</v>
      </c>
      <c r="I9" s="486">
        <f t="shared" si="1"/>
        <v>0.10851472471190782</v>
      </c>
      <c r="J9" s="486">
        <f t="shared" si="2"/>
        <v>4.6860356138706651E-3</v>
      </c>
    </row>
    <row r="10" spans="2:10">
      <c r="C10" s="484" t="s">
        <v>522</v>
      </c>
      <c r="D10" s="485">
        <v>780</v>
      </c>
      <c r="E10" s="484">
        <v>885</v>
      </c>
      <c r="F10" s="484">
        <v>82</v>
      </c>
      <c r="H10" s="486">
        <f t="shared" si="0"/>
        <v>0.15843997562461914</v>
      </c>
      <c r="I10" s="486">
        <f t="shared" si="1"/>
        <v>0.28329065300896289</v>
      </c>
      <c r="J10" s="486">
        <f t="shared" si="2"/>
        <v>3.8425492033739454E-2</v>
      </c>
    </row>
    <row r="11" spans="2:10">
      <c r="C11" s="484" t="s">
        <v>523</v>
      </c>
      <c r="D11" s="485">
        <v>199</v>
      </c>
      <c r="E11" s="484">
        <v>157</v>
      </c>
      <c r="F11" s="484">
        <v>209</v>
      </c>
      <c r="H11" s="486">
        <f t="shared" si="0"/>
        <v>4.0422506601665652E-2</v>
      </c>
      <c r="I11" s="486">
        <f t="shared" si="1"/>
        <v>5.0256081946222789E-2</v>
      </c>
      <c r="J11" s="486">
        <f t="shared" si="2"/>
        <v>9.7938144329896906E-2</v>
      </c>
    </row>
    <row r="12" spans="2:10">
      <c r="C12" s="484" t="s">
        <v>524</v>
      </c>
      <c r="D12" s="488">
        <v>1768</v>
      </c>
      <c r="E12" s="484">
        <v>282</v>
      </c>
      <c r="F12" s="484">
        <v>248</v>
      </c>
      <c r="H12" s="486">
        <f t="shared" si="0"/>
        <v>0.35913061141580338</v>
      </c>
      <c r="I12" s="486">
        <f t="shared" si="1"/>
        <v>9.0268886043533933E-2</v>
      </c>
      <c r="J12" s="486">
        <f t="shared" si="2"/>
        <v>0.1162136832239925</v>
      </c>
    </row>
    <row r="13" spans="2:10">
      <c r="C13" s="484" t="s">
        <v>525</v>
      </c>
      <c r="D13" s="485">
        <v>238</v>
      </c>
      <c r="E13" s="484">
        <v>80</v>
      </c>
      <c r="F13" s="484">
        <v>65</v>
      </c>
      <c r="H13" s="486">
        <f t="shared" si="0"/>
        <v>4.8344505382896606E-2</v>
      </c>
      <c r="I13" s="486">
        <f t="shared" si="1"/>
        <v>2.5608194622279128E-2</v>
      </c>
      <c r="J13" s="486">
        <f t="shared" si="2"/>
        <v>3.0459231490159326E-2</v>
      </c>
    </row>
    <row r="14" spans="2:10" ht="15">
      <c r="C14" s="764" t="s">
        <v>606</v>
      </c>
      <c r="D14" s="485">
        <v>347</v>
      </c>
      <c r="E14" s="484">
        <v>396</v>
      </c>
      <c r="F14" s="484">
        <v>2</v>
      </c>
      <c r="H14" s="486">
        <f t="shared" si="0"/>
        <v>7.0485476335567745E-2</v>
      </c>
      <c r="I14" s="486">
        <f t="shared" si="1"/>
        <v>0.12676056338028169</v>
      </c>
      <c r="J14" s="486">
        <f t="shared" si="2"/>
        <v>9.372071227741331E-4</v>
      </c>
    </row>
    <row r="15" spans="2:10">
      <c r="C15" s="484"/>
      <c r="D15" s="485"/>
      <c r="E15" s="484"/>
      <c r="F15" s="484"/>
      <c r="H15" s="482"/>
      <c r="I15" s="482"/>
      <c r="J15" s="482"/>
    </row>
    <row r="16" spans="2:10">
      <c r="C16" s="484"/>
      <c r="D16" s="484">
        <f>SUM(D7:D14)</f>
        <v>4923</v>
      </c>
      <c r="E16" s="484">
        <f>SUM(E7:E14)</f>
        <v>3124</v>
      </c>
      <c r="F16" s="484">
        <f>SUM(F7:F14)</f>
        <v>2134</v>
      </c>
      <c r="H16" s="482"/>
      <c r="I16" s="482"/>
      <c r="J16" s="482"/>
    </row>
    <row r="17" spans="3:10">
      <c r="C17" s="484"/>
      <c r="D17" s="486">
        <f>D16/SUM(D16:F16)</f>
        <v>0.48354778508987328</v>
      </c>
      <c r="E17" s="486">
        <f>E16/SUM(D16:F16)</f>
        <v>0.30684608584618406</v>
      </c>
      <c r="F17" s="486">
        <f>F16/SUM(D16:F16)</f>
        <v>0.20960612906394263</v>
      </c>
      <c r="H17" s="482"/>
      <c r="I17" s="482"/>
      <c r="J17" s="482"/>
    </row>
    <row r="18" spans="3:10">
      <c r="D18" s="490">
        <f>D16*3.6/1000</f>
        <v>17.722799999999999</v>
      </c>
      <c r="E18" s="490">
        <f>E16*3.6/1000</f>
        <v>11.2464</v>
      </c>
      <c r="F18" s="490">
        <f>F16*3.6/1000</f>
        <v>7.6824000000000003</v>
      </c>
      <c r="G18" s="482" t="s">
        <v>10</v>
      </c>
      <c r="H18" s="491"/>
    </row>
    <row r="19" spans="3:10">
      <c r="D19" s="491">
        <f>D18/0.041868</f>
        <v>423.30180567497848</v>
      </c>
      <c r="E19" s="491">
        <f>E18/0.041868</f>
        <v>268.61564918314701</v>
      </c>
      <c r="F19" s="491">
        <f>F18/0.041868</f>
        <v>183.49097162510748</v>
      </c>
      <c r="G19" s="482" t="s">
        <v>511</v>
      </c>
    </row>
    <row r="20" spans="3:10">
      <c r="F20" s="491">
        <f>SUM(D19:F19)</f>
        <v>875.40842648323292</v>
      </c>
    </row>
    <row r="23" spans="3:10" ht="15">
      <c r="C23" s="489" t="s">
        <v>602</v>
      </c>
      <c r="D23" s="484" t="s">
        <v>526</v>
      </c>
      <c r="E23" s="484" t="s">
        <v>63</v>
      </c>
      <c r="H23" s="489" t="s">
        <v>604</v>
      </c>
      <c r="I23" s="484" t="s">
        <v>526</v>
      </c>
      <c r="J23" s="484" t="s">
        <v>63</v>
      </c>
    </row>
    <row r="24" spans="3:10" ht="15">
      <c r="C24" s="485" t="s">
        <v>527</v>
      </c>
      <c r="D24" s="484">
        <v>609</v>
      </c>
      <c r="E24" s="486">
        <f>D24/$D$34</f>
        <v>0.12370505789152955</v>
      </c>
      <c r="H24" s="485" t="s">
        <v>529</v>
      </c>
      <c r="I24" s="484">
        <v>539</v>
      </c>
      <c r="J24" s="765">
        <f t="shared" ref="J24:J32" si="3">I24/$I$34</f>
        <v>0.30677290836653387</v>
      </c>
    </row>
    <row r="25" spans="3:10" ht="15">
      <c r="C25" s="485" t="s">
        <v>528</v>
      </c>
      <c r="D25" s="484">
        <v>775</v>
      </c>
      <c r="E25" s="486">
        <f t="shared" ref="E25:E33" si="4">D25/$D$34</f>
        <v>0.15742433475523054</v>
      </c>
      <c r="H25" s="485" t="s">
        <v>528</v>
      </c>
      <c r="I25" s="484">
        <v>461</v>
      </c>
      <c r="J25" s="765">
        <f t="shared" si="3"/>
        <v>0.26237905520774046</v>
      </c>
    </row>
    <row r="26" spans="3:10" ht="15">
      <c r="C26" s="485" t="s">
        <v>529</v>
      </c>
      <c r="D26" s="484">
        <v>773</v>
      </c>
      <c r="E26" s="486">
        <f t="shared" si="4"/>
        <v>0.15701807840747511</v>
      </c>
      <c r="H26" s="485" t="s">
        <v>530</v>
      </c>
      <c r="I26" s="484">
        <v>309</v>
      </c>
      <c r="J26" s="765">
        <f t="shared" si="3"/>
        <v>0.17586795674445077</v>
      </c>
    </row>
    <row r="27" spans="3:10" ht="15">
      <c r="C27" s="485" t="s">
        <v>530</v>
      </c>
      <c r="D27" s="484">
        <v>454</v>
      </c>
      <c r="E27" s="486">
        <f t="shared" si="4"/>
        <v>9.2220190940483449E-2</v>
      </c>
      <c r="H27" s="485" t="s">
        <v>527</v>
      </c>
      <c r="I27" s="484">
        <v>216</v>
      </c>
      <c r="J27" s="765">
        <f t="shared" si="3"/>
        <v>0.12293682413204325</v>
      </c>
    </row>
    <row r="28" spans="3:10" ht="15">
      <c r="C28" s="485" t="s">
        <v>531</v>
      </c>
      <c r="D28" s="484">
        <v>883</v>
      </c>
      <c r="E28" s="486">
        <f t="shared" si="4"/>
        <v>0.17936217753402398</v>
      </c>
      <c r="H28" s="484" t="s">
        <v>532</v>
      </c>
      <c r="I28" s="484">
        <v>128</v>
      </c>
      <c r="J28" s="765">
        <f t="shared" si="3"/>
        <v>7.2851451337507117E-2</v>
      </c>
    </row>
    <row r="29" spans="3:10" ht="15">
      <c r="C29" s="485" t="s">
        <v>42</v>
      </c>
      <c r="D29" s="484">
        <v>402</v>
      </c>
      <c r="E29" s="492">
        <f t="shared" si="4"/>
        <v>8.1657525898842176E-2</v>
      </c>
      <c r="H29" s="767" t="s">
        <v>603</v>
      </c>
      <c r="I29" s="484">
        <v>50</v>
      </c>
      <c r="J29" s="765">
        <f t="shared" si="3"/>
        <v>2.8457598178713718E-2</v>
      </c>
    </row>
    <row r="30" spans="3:10" ht="15">
      <c r="C30" s="767" t="s">
        <v>603</v>
      </c>
      <c r="D30" s="484">
        <v>356</v>
      </c>
      <c r="E30" s="492">
        <f t="shared" si="4"/>
        <v>7.2313629900467191E-2</v>
      </c>
      <c r="H30" s="484" t="s">
        <v>435</v>
      </c>
      <c r="I30" s="484">
        <v>41</v>
      </c>
      <c r="J30" s="765">
        <f t="shared" si="3"/>
        <v>2.3335230506545249E-2</v>
      </c>
    </row>
    <row r="31" spans="3:10" ht="15">
      <c r="C31" s="485" t="s">
        <v>139</v>
      </c>
      <c r="D31" s="484">
        <v>178</v>
      </c>
      <c r="E31" s="486">
        <f t="shared" si="4"/>
        <v>3.6156814950233596E-2</v>
      </c>
      <c r="H31" s="485" t="s">
        <v>531</v>
      </c>
      <c r="I31" s="484">
        <v>10</v>
      </c>
      <c r="J31" s="765">
        <f t="shared" si="3"/>
        <v>5.6915196357427431E-3</v>
      </c>
    </row>
    <row r="32" spans="3:10" ht="15">
      <c r="C32" s="485" t="s">
        <v>435</v>
      </c>
      <c r="D32" s="484">
        <v>147</v>
      </c>
      <c r="E32" s="486">
        <f t="shared" si="4"/>
        <v>2.9859841560024376E-2</v>
      </c>
      <c r="H32" s="767" t="s">
        <v>607</v>
      </c>
      <c r="I32" s="484">
        <v>3</v>
      </c>
      <c r="J32" s="765">
        <f t="shared" si="3"/>
        <v>1.7074558907228231E-3</v>
      </c>
    </row>
    <row r="33" spans="3:10">
      <c r="C33" s="485" t="s">
        <v>532</v>
      </c>
      <c r="D33" s="484">
        <v>346</v>
      </c>
      <c r="E33" s="486">
        <f t="shared" si="4"/>
        <v>7.0282348161690031E-2</v>
      </c>
      <c r="H33" s="484"/>
      <c r="I33" s="484"/>
      <c r="J33" s="484"/>
    </row>
    <row r="34" spans="3:10">
      <c r="C34" s="485" t="s">
        <v>2</v>
      </c>
      <c r="D34" s="487">
        <f>SUM(D24:D33)</f>
        <v>4923</v>
      </c>
      <c r="E34" s="484"/>
      <c r="H34" s="484"/>
      <c r="I34" s="484">
        <f>SUM(I24:I32)</f>
        <v>1757</v>
      </c>
      <c r="J34" s="484"/>
    </row>
    <row r="36" spans="3:10" ht="15">
      <c r="C36" s="481" t="s">
        <v>534</v>
      </c>
      <c r="D36" s="481">
        <f>SUM(D24:D27)</f>
        <v>2611</v>
      </c>
      <c r="E36" s="494">
        <f>D36/SUM($D$36:$D$38)</f>
        <v>0.55026343519494203</v>
      </c>
    </row>
    <row r="37" spans="3:10" ht="15">
      <c r="C37" s="481" t="s">
        <v>435</v>
      </c>
      <c r="D37" s="481">
        <f>D28+D30+D329+D33+D32</f>
        <v>1732</v>
      </c>
      <c r="E37" s="494">
        <f>D37/SUM($D$36:$D$38)</f>
        <v>0.36501580611169654</v>
      </c>
    </row>
    <row r="38" spans="3:10" ht="15">
      <c r="C38" s="766" t="s">
        <v>42</v>
      </c>
      <c r="D38" s="481">
        <f>D29</f>
        <v>402</v>
      </c>
      <c r="E38" s="494">
        <f>D38/SUM($D$36:$D$38)</f>
        <v>8.4720758693361431E-2</v>
      </c>
    </row>
    <row r="40" spans="3:10">
      <c r="D40" s="493">
        <f>D34-SUM(D36:D38)</f>
        <v>178</v>
      </c>
    </row>
  </sheetData>
  <hyperlinks>
    <hyperlink ref="C2" r:id="rId1" xr:uid="{1F0AF542-437F-4BCA-B2EF-351EA77A094C}"/>
  </hyperlinks>
  <pageMargins left="0.7" right="0.7" top="0.75" bottom="0.75" header="0.3" footer="0.3"/>
  <pageSetup paperSize="9" orientation="portrait"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7">
    <tabColor theme="5" tint="0.39997558519241921"/>
    <pageSetUpPr fitToPage="1"/>
  </sheetPr>
  <dimension ref="A1:O40"/>
  <sheetViews>
    <sheetView zoomScaleNormal="100" zoomScaleSheetLayoutView="100" workbookViewId="0">
      <selection activeCell="G15" sqref="G15"/>
    </sheetView>
  </sheetViews>
  <sheetFormatPr defaultRowHeight="15" customHeight="1"/>
  <cols>
    <col min="1" max="1" width="18" style="465" customWidth="1"/>
    <col min="2" max="15" width="13.7109375" style="458" customWidth="1"/>
    <col min="16" max="241" width="9.140625" style="458"/>
    <col min="242" max="242" width="18" style="458" customWidth="1"/>
    <col min="243" max="256" width="13.7109375" style="458" customWidth="1"/>
    <col min="257" max="497" width="9.140625" style="458"/>
    <col min="498" max="498" width="18" style="458" customWidth="1"/>
    <col min="499" max="512" width="13.7109375" style="458" customWidth="1"/>
    <col min="513" max="753" width="9.140625" style="458"/>
    <col min="754" max="754" width="18" style="458" customWidth="1"/>
    <col min="755" max="768" width="13.7109375" style="458" customWidth="1"/>
    <col min="769" max="1009" width="9.140625" style="458"/>
    <col min="1010" max="1010" width="18" style="458" customWidth="1"/>
    <col min="1011" max="1024" width="13.7109375" style="458" customWidth="1"/>
    <col min="1025" max="1265" width="9.140625" style="458"/>
    <col min="1266" max="1266" width="18" style="458" customWidth="1"/>
    <col min="1267" max="1280" width="13.7109375" style="458" customWidth="1"/>
    <col min="1281" max="1521" width="9.140625" style="458"/>
    <col min="1522" max="1522" width="18" style="458" customWidth="1"/>
    <col min="1523" max="1536" width="13.7109375" style="458" customWidth="1"/>
    <col min="1537" max="1777" width="9.140625" style="458"/>
    <col min="1778" max="1778" width="18" style="458" customWidth="1"/>
    <col min="1779" max="1792" width="13.7109375" style="458" customWidth="1"/>
    <col min="1793" max="2033" width="9.140625" style="458"/>
    <col min="2034" max="2034" width="18" style="458" customWidth="1"/>
    <col min="2035" max="2048" width="13.7109375" style="458" customWidth="1"/>
    <col min="2049" max="2289" width="9.140625" style="458"/>
    <col min="2290" max="2290" width="18" style="458" customWidth="1"/>
    <col min="2291" max="2304" width="13.7109375" style="458" customWidth="1"/>
    <col min="2305" max="2545" width="9.140625" style="458"/>
    <col min="2546" max="2546" width="18" style="458" customWidth="1"/>
    <col min="2547" max="2560" width="13.7109375" style="458" customWidth="1"/>
    <col min="2561" max="2801" width="9.140625" style="458"/>
    <col min="2802" max="2802" width="18" style="458" customWidth="1"/>
    <col min="2803" max="2816" width="13.7109375" style="458" customWidth="1"/>
    <col min="2817" max="3057" width="9.140625" style="458"/>
    <col min="3058" max="3058" width="18" style="458" customWidth="1"/>
    <col min="3059" max="3072" width="13.7109375" style="458" customWidth="1"/>
    <col min="3073" max="3313" width="9.140625" style="458"/>
    <col min="3314" max="3314" width="18" style="458" customWidth="1"/>
    <col min="3315" max="3328" width="13.7109375" style="458" customWidth="1"/>
    <col min="3329" max="3569" width="9.140625" style="458"/>
    <col min="3570" max="3570" width="18" style="458" customWidth="1"/>
    <col min="3571" max="3584" width="13.7109375" style="458" customWidth="1"/>
    <col min="3585" max="3825" width="9.140625" style="458"/>
    <col min="3826" max="3826" width="18" style="458" customWidth="1"/>
    <col min="3827" max="3840" width="13.7109375" style="458" customWidth="1"/>
    <col min="3841" max="4081" width="9.140625" style="458"/>
    <col min="4082" max="4082" width="18" style="458" customWidth="1"/>
    <col min="4083" max="4096" width="13.7109375" style="458" customWidth="1"/>
    <col min="4097" max="4337" width="9.140625" style="458"/>
    <col min="4338" max="4338" width="18" style="458" customWidth="1"/>
    <col min="4339" max="4352" width="13.7109375" style="458" customWidth="1"/>
    <col min="4353" max="4593" width="9.140625" style="458"/>
    <col min="4594" max="4594" width="18" style="458" customWidth="1"/>
    <col min="4595" max="4608" width="13.7109375" style="458" customWidth="1"/>
    <col min="4609" max="4849" width="9.140625" style="458"/>
    <col min="4850" max="4850" width="18" style="458" customWidth="1"/>
    <col min="4851" max="4864" width="13.7109375" style="458" customWidth="1"/>
    <col min="4865" max="5105" width="9.140625" style="458"/>
    <col min="5106" max="5106" width="18" style="458" customWidth="1"/>
    <col min="5107" max="5120" width="13.7109375" style="458" customWidth="1"/>
    <col min="5121" max="5361" width="9.140625" style="458"/>
    <col min="5362" max="5362" width="18" style="458" customWidth="1"/>
    <col min="5363" max="5376" width="13.7109375" style="458" customWidth="1"/>
    <col min="5377" max="5617" width="9.140625" style="458"/>
    <col min="5618" max="5618" width="18" style="458" customWidth="1"/>
    <col min="5619" max="5632" width="13.7109375" style="458" customWidth="1"/>
    <col min="5633" max="5873" width="9.140625" style="458"/>
    <col min="5874" max="5874" width="18" style="458" customWidth="1"/>
    <col min="5875" max="5888" width="13.7109375" style="458" customWidth="1"/>
    <col min="5889" max="6129" width="9.140625" style="458"/>
    <col min="6130" max="6130" width="18" style="458" customWidth="1"/>
    <col min="6131" max="6144" width="13.7109375" style="458" customWidth="1"/>
    <col min="6145" max="6385" width="9.140625" style="458"/>
    <col min="6386" max="6386" width="18" style="458" customWidth="1"/>
    <col min="6387" max="6400" width="13.7109375" style="458" customWidth="1"/>
    <col min="6401" max="6641" width="9.140625" style="458"/>
    <col min="6642" max="6642" width="18" style="458" customWidth="1"/>
    <col min="6643" max="6656" width="13.7109375" style="458" customWidth="1"/>
    <col min="6657" max="6897" width="9.140625" style="458"/>
    <col min="6898" max="6898" width="18" style="458" customWidth="1"/>
    <col min="6899" max="6912" width="13.7109375" style="458" customWidth="1"/>
    <col min="6913" max="7153" width="9.140625" style="458"/>
    <col min="7154" max="7154" width="18" style="458" customWidth="1"/>
    <col min="7155" max="7168" width="13.7109375" style="458" customWidth="1"/>
    <col min="7169" max="7409" width="9.140625" style="458"/>
    <col min="7410" max="7410" width="18" style="458" customWidth="1"/>
    <col min="7411" max="7424" width="13.7109375" style="458" customWidth="1"/>
    <col min="7425" max="7665" width="9.140625" style="458"/>
    <col min="7666" max="7666" width="18" style="458" customWidth="1"/>
    <col min="7667" max="7680" width="13.7109375" style="458" customWidth="1"/>
    <col min="7681" max="7921" width="9.140625" style="458"/>
    <col min="7922" max="7922" width="18" style="458" customWidth="1"/>
    <col min="7923" max="7936" width="13.7109375" style="458" customWidth="1"/>
    <col min="7937" max="8177" width="9.140625" style="458"/>
    <col min="8178" max="8178" width="18" style="458" customWidth="1"/>
    <col min="8179" max="8192" width="13.7109375" style="458" customWidth="1"/>
    <col min="8193" max="8433" width="9.140625" style="458"/>
    <col min="8434" max="8434" width="18" style="458" customWidth="1"/>
    <col min="8435" max="8448" width="13.7109375" style="458" customWidth="1"/>
    <col min="8449" max="8689" width="9.140625" style="458"/>
    <col min="8690" max="8690" width="18" style="458" customWidth="1"/>
    <col min="8691" max="8704" width="13.7109375" style="458" customWidth="1"/>
    <col min="8705" max="8945" width="9.140625" style="458"/>
    <col min="8946" max="8946" width="18" style="458" customWidth="1"/>
    <col min="8947" max="8960" width="13.7109375" style="458" customWidth="1"/>
    <col min="8961" max="9201" width="9.140625" style="458"/>
    <col min="9202" max="9202" width="18" style="458" customWidth="1"/>
    <col min="9203" max="9216" width="13.7109375" style="458" customWidth="1"/>
    <col min="9217" max="9457" width="9.140625" style="458"/>
    <col min="9458" max="9458" width="18" style="458" customWidth="1"/>
    <col min="9459" max="9472" width="13.7109375" style="458" customWidth="1"/>
    <col min="9473" max="9713" width="9.140625" style="458"/>
    <col min="9714" max="9714" width="18" style="458" customWidth="1"/>
    <col min="9715" max="9728" width="13.7109375" style="458" customWidth="1"/>
    <col min="9729" max="9969" width="9.140625" style="458"/>
    <col min="9970" max="9970" width="18" style="458" customWidth="1"/>
    <col min="9971" max="9984" width="13.7109375" style="458" customWidth="1"/>
    <col min="9985" max="10225" width="9.140625" style="458"/>
    <col min="10226" max="10226" width="18" style="458" customWidth="1"/>
    <col min="10227" max="10240" width="13.7109375" style="458" customWidth="1"/>
    <col min="10241" max="10481" width="9.140625" style="458"/>
    <col min="10482" max="10482" width="18" style="458" customWidth="1"/>
    <col min="10483" max="10496" width="13.7109375" style="458" customWidth="1"/>
    <col min="10497" max="10737" width="9.140625" style="458"/>
    <col min="10738" max="10738" width="18" style="458" customWidth="1"/>
    <col min="10739" max="10752" width="13.7109375" style="458" customWidth="1"/>
    <col min="10753" max="10993" width="9.140625" style="458"/>
    <col min="10994" max="10994" width="18" style="458" customWidth="1"/>
    <col min="10995" max="11008" width="13.7109375" style="458" customWidth="1"/>
    <col min="11009" max="11249" width="9.140625" style="458"/>
    <col min="11250" max="11250" width="18" style="458" customWidth="1"/>
    <col min="11251" max="11264" width="13.7109375" style="458" customWidth="1"/>
    <col min="11265" max="11505" width="9.140625" style="458"/>
    <col min="11506" max="11506" width="18" style="458" customWidth="1"/>
    <col min="11507" max="11520" width="13.7109375" style="458" customWidth="1"/>
    <col min="11521" max="11761" width="9.140625" style="458"/>
    <col min="11762" max="11762" width="18" style="458" customWidth="1"/>
    <col min="11763" max="11776" width="13.7109375" style="458" customWidth="1"/>
    <col min="11777" max="12017" width="9.140625" style="458"/>
    <col min="12018" max="12018" width="18" style="458" customWidth="1"/>
    <col min="12019" max="12032" width="13.7109375" style="458" customWidth="1"/>
    <col min="12033" max="12273" width="9.140625" style="458"/>
    <col min="12274" max="12274" width="18" style="458" customWidth="1"/>
    <col min="12275" max="12288" width="13.7109375" style="458" customWidth="1"/>
    <col min="12289" max="12529" width="9.140625" style="458"/>
    <col min="12530" max="12530" width="18" style="458" customWidth="1"/>
    <col min="12531" max="12544" width="13.7109375" style="458" customWidth="1"/>
    <col min="12545" max="12785" width="9.140625" style="458"/>
    <col min="12786" max="12786" width="18" style="458" customWidth="1"/>
    <col min="12787" max="12800" width="13.7109375" style="458" customWidth="1"/>
    <col min="12801" max="13041" width="9.140625" style="458"/>
    <col min="13042" max="13042" width="18" style="458" customWidth="1"/>
    <col min="13043" max="13056" width="13.7109375" style="458" customWidth="1"/>
    <col min="13057" max="13297" width="9.140625" style="458"/>
    <col min="13298" max="13298" width="18" style="458" customWidth="1"/>
    <col min="13299" max="13312" width="13.7109375" style="458" customWidth="1"/>
    <col min="13313" max="13553" width="9.140625" style="458"/>
    <col min="13554" max="13554" width="18" style="458" customWidth="1"/>
    <col min="13555" max="13568" width="13.7109375" style="458" customWidth="1"/>
    <col min="13569" max="13809" width="9.140625" style="458"/>
    <col min="13810" max="13810" width="18" style="458" customWidth="1"/>
    <col min="13811" max="13824" width="13.7109375" style="458" customWidth="1"/>
    <col min="13825" max="14065" width="9.140625" style="458"/>
    <col min="14066" max="14066" width="18" style="458" customWidth="1"/>
    <col min="14067" max="14080" width="13.7109375" style="458" customWidth="1"/>
    <col min="14081" max="14321" width="9.140625" style="458"/>
    <col min="14322" max="14322" width="18" style="458" customWidth="1"/>
    <col min="14323" max="14336" width="13.7109375" style="458" customWidth="1"/>
    <col min="14337" max="14577" width="9.140625" style="458"/>
    <col min="14578" max="14578" width="18" style="458" customWidth="1"/>
    <col min="14579" max="14592" width="13.7109375" style="458" customWidth="1"/>
    <col min="14593" max="14833" width="9.140625" style="458"/>
    <col min="14834" max="14834" width="18" style="458" customWidth="1"/>
    <col min="14835" max="14848" width="13.7109375" style="458" customWidth="1"/>
    <col min="14849" max="15089" width="9.140625" style="458"/>
    <col min="15090" max="15090" width="18" style="458" customWidth="1"/>
    <col min="15091" max="15104" width="13.7109375" style="458" customWidth="1"/>
    <col min="15105" max="15345" width="9.140625" style="458"/>
    <col min="15346" max="15346" width="18" style="458" customWidth="1"/>
    <col min="15347" max="15360" width="13.7109375" style="458" customWidth="1"/>
    <col min="15361" max="15601" width="9.140625" style="458"/>
    <col min="15602" max="15602" width="18" style="458" customWidth="1"/>
    <col min="15603" max="15616" width="13.7109375" style="458" customWidth="1"/>
    <col min="15617" max="15857" width="9.140625" style="458"/>
    <col min="15858" max="15858" width="18" style="458" customWidth="1"/>
    <col min="15859" max="15872" width="13.7109375" style="458" customWidth="1"/>
    <col min="15873" max="16113" width="9.140625" style="458"/>
    <col min="16114" max="16114" width="18" style="458" customWidth="1"/>
    <col min="16115" max="16128" width="13.7109375" style="458" customWidth="1"/>
    <col min="16129" max="16369" width="9.140625" style="458"/>
    <col min="16370" max="16384" width="9.140625" style="458" customWidth="1"/>
  </cols>
  <sheetData>
    <row r="1" spans="1:15" ht="15" customHeight="1">
      <c r="A1" s="793" t="s">
        <v>599</v>
      </c>
      <c r="B1" s="793"/>
      <c r="C1" s="793"/>
      <c r="D1" s="793"/>
      <c r="E1" s="793"/>
      <c r="F1" s="793"/>
      <c r="G1" s="793"/>
      <c r="H1" s="793"/>
      <c r="I1" s="793"/>
      <c r="J1" s="793"/>
      <c r="K1" s="793"/>
      <c r="L1" s="794"/>
      <c r="M1" s="794"/>
      <c r="N1" s="794"/>
      <c r="O1" s="794"/>
    </row>
    <row r="2" spans="1:15" ht="15" customHeight="1">
      <c r="A2" s="459" t="s">
        <v>493</v>
      </c>
      <c r="B2" s="472" t="s">
        <v>598</v>
      </c>
      <c r="C2" s="459"/>
      <c r="D2" s="459"/>
      <c r="E2" s="459"/>
      <c r="F2" s="459"/>
      <c r="G2" s="459"/>
      <c r="H2" s="459"/>
      <c r="I2" s="459"/>
      <c r="J2" s="459"/>
      <c r="K2" s="459"/>
      <c r="L2" s="459"/>
      <c r="M2" s="459"/>
      <c r="N2" s="460"/>
      <c r="O2" s="461" t="s">
        <v>447</v>
      </c>
    </row>
    <row r="3" spans="1:15" ht="33.75" customHeight="1">
      <c r="A3" s="770" t="s">
        <v>448</v>
      </c>
      <c r="B3" s="771" t="s">
        <v>416</v>
      </c>
      <c r="C3" s="771" t="s">
        <v>415</v>
      </c>
      <c r="D3" s="771" t="s">
        <v>449</v>
      </c>
      <c r="E3" s="771" t="s">
        <v>419</v>
      </c>
      <c r="F3" s="771" t="s">
        <v>450</v>
      </c>
      <c r="G3" s="771" t="s">
        <v>451</v>
      </c>
      <c r="H3" s="771" t="s">
        <v>452</v>
      </c>
      <c r="I3" s="771" t="s">
        <v>453</v>
      </c>
      <c r="J3" s="771" t="s">
        <v>454</v>
      </c>
      <c r="K3" s="771" t="s">
        <v>455</v>
      </c>
      <c r="L3" s="771" t="s">
        <v>456</v>
      </c>
      <c r="M3" s="771" t="s">
        <v>457</v>
      </c>
      <c r="N3" s="771" t="s">
        <v>435</v>
      </c>
      <c r="O3" s="771" t="s">
        <v>458</v>
      </c>
    </row>
    <row r="4" spans="1:15" ht="15" customHeight="1">
      <c r="A4" s="774" t="s">
        <v>459</v>
      </c>
      <c r="B4" s="772">
        <v>435</v>
      </c>
      <c r="C4" s="772">
        <v>327</v>
      </c>
      <c r="D4" s="772">
        <v>363</v>
      </c>
      <c r="E4" s="772">
        <v>2588</v>
      </c>
      <c r="F4" s="772">
        <v>870</v>
      </c>
      <c r="G4" s="772">
        <v>706</v>
      </c>
      <c r="H4" s="772">
        <v>3069</v>
      </c>
      <c r="I4" s="772">
        <v>239</v>
      </c>
      <c r="J4" s="772">
        <v>221</v>
      </c>
      <c r="K4" s="772">
        <v>1340</v>
      </c>
      <c r="L4" s="772">
        <v>962</v>
      </c>
      <c r="M4" s="772">
        <v>680</v>
      </c>
      <c r="N4" s="772">
        <v>853</v>
      </c>
      <c r="O4" s="773">
        <v>591</v>
      </c>
    </row>
    <row r="5" spans="1:15" ht="15" customHeight="1">
      <c r="A5" s="774" t="s">
        <v>460</v>
      </c>
      <c r="B5" s="772">
        <v>362</v>
      </c>
      <c r="C5" s="772">
        <v>1166</v>
      </c>
      <c r="D5" s="772">
        <v>334</v>
      </c>
      <c r="E5" s="772">
        <v>4180</v>
      </c>
      <c r="F5" s="772">
        <v>1352</v>
      </c>
      <c r="G5" s="772">
        <v>572</v>
      </c>
      <c r="H5" s="772">
        <v>2697</v>
      </c>
      <c r="I5" s="772">
        <v>664</v>
      </c>
      <c r="J5" s="772">
        <v>370</v>
      </c>
      <c r="K5" s="772">
        <v>1302</v>
      </c>
      <c r="L5" s="772">
        <v>1963</v>
      </c>
      <c r="M5" s="772">
        <v>1330</v>
      </c>
      <c r="N5" s="772">
        <v>915</v>
      </c>
      <c r="O5" s="773">
        <v>903</v>
      </c>
    </row>
    <row r="6" spans="1:15" ht="15" customHeight="1">
      <c r="A6" s="774" t="s">
        <v>461</v>
      </c>
      <c r="B6" s="772">
        <v>265</v>
      </c>
      <c r="C6" s="772">
        <v>514</v>
      </c>
      <c r="D6" s="772">
        <v>346</v>
      </c>
      <c r="E6" s="772">
        <v>5219</v>
      </c>
      <c r="F6" s="772">
        <v>1398</v>
      </c>
      <c r="G6" s="772">
        <v>1189</v>
      </c>
      <c r="H6" s="772">
        <v>3828</v>
      </c>
      <c r="I6" s="772">
        <v>368</v>
      </c>
      <c r="J6" s="772">
        <v>424</v>
      </c>
      <c r="K6" s="772">
        <v>1782</v>
      </c>
      <c r="L6" s="772">
        <v>2478</v>
      </c>
      <c r="M6" s="772">
        <v>1011</v>
      </c>
      <c r="N6" s="772">
        <v>1420</v>
      </c>
      <c r="O6" s="773">
        <v>675</v>
      </c>
    </row>
    <row r="7" spans="1:15" ht="15" customHeight="1">
      <c r="A7" s="774" t="s">
        <v>462</v>
      </c>
      <c r="B7" s="772">
        <v>224</v>
      </c>
      <c r="C7" s="772">
        <v>366</v>
      </c>
      <c r="D7" s="772">
        <v>371</v>
      </c>
      <c r="E7" s="772">
        <v>4223</v>
      </c>
      <c r="F7" s="772">
        <v>986</v>
      </c>
      <c r="G7" s="772">
        <v>617</v>
      </c>
      <c r="H7" s="772">
        <v>7106</v>
      </c>
      <c r="I7" s="772">
        <v>616</v>
      </c>
      <c r="J7" s="772">
        <v>287</v>
      </c>
      <c r="K7" s="772">
        <v>2342</v>
      </c>
      <c r="L7" s="772">
        <v>1406</v>
      </c>
      <c r="M7" s="772">
        <v>1271</v>
      </c>
      <c r="N7" s="772">
        <v>463</v>
      </c>
      <c r="O7" s="773">
        <v>615</v>
      </c>
    </row>
    <row r="8" spans="1:15" ht="15" customHeight="1">
      <c r="A8" s="774" t="s">
        <v>463</v>
      </c>
      <c r="B8" s="772">
        <v>284</v>
      </c>
      <c r="C8" s="772">
        <v>275</v>
      </c>
      <c r="D8" s="772">
        <v>278</v>
      </c>
      <c r="E8" s="772">
        <v>2636</v>
      </c>
      <c r="F8" s="772">
        <v>1156</v>
      </c>
      <c r="G8" s="772">
        <v>666</v>
      </c>
      <c r="H8" s="772">
        <v>1486</v>
      </c>
      <c r="I8" s="772">
        <v>303</v>
      </c>
      <c r="J8" s="772">
        <v>233</v>
      </c>
      <c r="K8" s="772">
        <v>1352</v>
      </c>
      <c r="L8" s="772">
        <v>976</v>
      </c>
      <c r="M8" s="772">
        <v>479</v>
      </c>
      <c r="N8" s="772">
        <v>236</v>
      </c>
      <c r="O8" s="773">
        <v>500</v>
      </c>
    </row>
    <row r="9" spans="1:15" ht="15" customHeight="1">
      <c r="A9" s="774" t="s">
        <v>464</v>
      </c>
      <c r="B9" s="772">
        <v>324</v>
      </c>
      <c r="C9" s="772">
        <v>255</v>
      </c>
      <c r="D9" s="772">
        <v>267</v>
      </c>
      <c r="E9" s="772">
        <v>5795</v>
      </c>
      <c r="F9" s="772">
        <v>884</v>
      </c>
      <c r="G9" s="772">
        <v>567</v>
      </c>
      <c r="H9" s="772">
        <v>4316</v>
      </c>
      <c r="I9" s="772">
        <v>660</v>
      </c>
      <c r="J9" s="772">
        <v>252</v>
      </c>
      <c r="K9" s="772">
        <v>1516</v>
      </c>
      <c r="L9" s="772">
        <v>2261</v>
      </c>
      <c r="M9" s="772">
        <v>1735</v>
      </c>
      <c r="N9" s="772">
        <v>1645</v>
      </c>
      <c r="O9" s="773">
        <v>588</v>
      </c>
    </row>
    <row r="10" spans="1:15" ht="15" customHeight="1">
      <c r="A10" s="774" t="s">
        <v>465</v>
      </c>
      <c r="B10" s="772">
        <v>353</v>
      </c>
      <c r="C10" s="772">
        <v>251</v>
      </c>
      <c r="D10" s="772">
        <v>268</v>
      </c>
      <c r="E10" s="772">
        <v>1167</v>
      </c>
      <c r="F10" s="772">
        <v>1151</v>
      </c>
      <c r="G10" s="772">
        <v>648</v>
      </c>
      <c r="H10" s="772">
        <v>5865</v>
      </c>
      <c r="I10" s="772">
        <v>424</v>
      </c>
      <c r="J10" s="772">
        <v>403</v>
      </c>
      <c r="K10" s="772">
        <v>2019</v>
      </c>
      <c r="L10" s="772">
        <v>906</v>
      </c>
      <c r="M10" s="772">
        <v>707</v>
      </c>
      <c r="N10" s="772">
        <v>196</v>
      </c>
      <c r="O10" s="773">
        <v>627</v>
      </c>
    </row>
    <row r="11" spans="1:15" ht="15" customHeight="1">
      <c r="A11" s="774" t="s">
        <v>466</v>
      </c>
      <c r="B11" s="772">
        <v>305</v>
      </c>
      <c r="C11" s="772">
        <v>555</v>
      </c>
      <c r="D11" s="772">
        <v>319</v>
      </c>
      <c r="E11" s="772">
        <v>4695</v>
      </c>
      <c r="F11" s="772">
        <v>1204</v>
      </c>
      <c r="G11" s="772">
        <v>591</v>
      </c>
      <c r="H11" s="772">
        <v>4248</v>
      </c>
      <c r="I11" s="772">
        <v>342</v>
      </c>
      <c r="J11" s="772">
        <v>200</v>
      </c>
      <c r="K11" s="772">
        <v>1450</v>
      </c>
      <c r="L11" s="772">
        <v>1513</v>
      </c>
      <c r="M11" s="772">
        <v>1790</v>
      </c>
      <c r="N11" s="772">
        <v>775</v>
      </c>
      <c r="O11" s="773">
        <v>666</v>
      </c>
    </row>
    <row r="12" spans="1:15" ht="15" customHeight="1">
      <c r="A12" s="774" t="s">
        <v>467</v>
      </c>
      <c r="B12" s="772">
        <v>235</v>
      </c>
      <c r="C12" s="772">
        <v>383</v>
      </c>
      <c r="D12" s="772">
        <v>297</v>
      </c>
      <c r="E12" s="772">
        <v>4062</v>
      </c>
      <c r="F12" s="772">
        <v>901</v>
      </c>
      <c r="G12" s="772">
        <v>522</v>
      </c>
      <c r="H12" s="772">
        <v>1786</v>
      </c>
      <c r="I12" s="772">
        <v>539</v>
      </c>
      <c r="J12" s="772">
        <v>277</v>
      </c>
      <c r="K12" s="772">
        <v>1525</v>
      </c>
      <c r="L12" s="772">
        <v>1636</v>
      </c>
      <c r="M12" s="772">
        <v>1001</v>
      </c>
      <c r="N12" s="772">
        <v>270</v>
      </c>
      <c r="O12" s="773">
        <v>537</v>
      </c>
    </row>
    <row r="13" spans="1:15" ht="15" customHeight="1">
      <c r="A13" s="774" t="s">
        <v>468</v>
      </c>
      <c r="B13" s="772">
        <v>301</v>
      </c>
      <c r="C13" s="772">
        <v>438</v>
      </c>
      <c r="D13" s="772">
        <v>222</v>
      </c>
      <c r="E13" s="772">
        <v>1949</v>
      </c>
      <c r="F13" s="772">
        <v>960</v>
      </c>
      <c r="G13" s="772">
        <v>663</v>
      </c>
      <c r="H13" s="772">
        <v>1632</v>
      </c>
      <c r="I13" s="772">
        <v>707</v>
      </c>
      <c r="J13" s="772">
        <v>312</v>
      </c>
      <c r="K13" s="772">
        <v>1585</v>
      </c>
      <c r="L13" s="772">
        <v>2469</v>
      </c>
      <c r="M13" s="772">
        <v>372</v>
      </c>
      <c r="N13" s="772">
        <v>139</v>
      </c>
      <c r="O13" s="773">
        <v>580</v>
      </c>
    </row>
    <row r="14" spans="1:15" ht="15" customHeight="1">
      <c r="A14" s="774" t="s">
        <v>469</v>
      </c>
      <c r="B14" s="772">
        <v>298</v>
      </c>
      <c r="C14" s="772">
        <v>533</v>
      </c>
      <c r="D14" s="772">
        <v>243</v>
      </c>
      <c r="E14" s="772">
        <v>2221</v>
      </c>
      <c r="F14" s="772">
        <v>1434</v>
      </c>
      <c r="G14" s="772">
        <v>621</v>
      </c>
      <c r="H14" s="772">
        <v>3215</v>
      </c>
      <c r="I14" s="772">
        <v>1025</v>
      </c>
      <c r="J14" s="772">
        <v>256</v>
      </c>
      <c r="K14" s="772">
        <v>1154</v>
      </c>
      <c r="L14" s="772">
        <v>1960</v>
      </c>
      <c r="M14" s="772">
        <v>1053</v>
      </c>
      <c r="N14" s="772">
        <v>637</v>
      </c>
      <c r="O14" s="773">
        <v>595</v>
      </c>
    </row>
    <row r="15" spans="1:15" ht="15" customHeight="1">
      <c r="A15" s="774" t="s">
        <v>470</v>
      </c>
      <c r="B15" s="772">
        <v>294</v>
      </c>
      <c r="C15" s="772">
        <v>516</v>
      </c>
      <c r="D15" s="772">
        <v>269</v>
      </c>
      <c r="E15" s="772">
        <v>2763</v>
      </c>
      <c r="F15" s="772">
        <v>807</v>
      </c>
      <c r="G15" s="772">
        <v>651</v>
      </c>
      <c r="H15" s="772">
        <v>2074</v>
      </c>
      <c r="I15" s="772">
        <v>456</v>
      </c>
      <c r="J15" s="772">
        <v>360</v>
      </c>
      <c r="K15" s="772">
        <v>1289</v>
      </c>
      <c r="L15" s="772">
        <v>1459</v>
      </c>
      <c r="M15" s="772">
        <v>689</v>
      </c>
      <c r="N15" s="772">
        <v>715</v>
      </c>
      <c r="O15" s="773">
        <v>526</v>
      </c>
    </row>
    <row r="16" spans="1:15" ht="15" customHeight="1">
      <c r="A16" s="774" t="s">
        <v>471</v>
      </c>
      <c r="B16" s="772">
        <v>218</v>
      </c>
      <c r="C16" s="772">
        <v>299</v>
      </c>
      <c r="D16" s="772">
        <v>286</v>
      </c>
      <c r="E16" s="772">
        <v>3896</v>
      </c>
      <c r="F16" s="772">
        <v>646</v>
      </c>
      <c r="G16" s="772">
        <v>424</v>
      </c>
      <c r="H16" s="772">
        <v>2139</v>
      </c>
      <c r="I16" s="772">
        <v>518</v>
      </c>
      <c r="J16" s="772">
        <v>306</v>
      </c>
      <c r="K16" s="772">
        <v>1731</v>
      </c>
      <c r="L16" s="772">
        <v>1701</v>
      </c>
      <c r="M16" s="772">
        <v>778</v>
      </c>
      <c r="N16" s="772">
        <v>280</v>
      </c>
      <c r="O16" s="773">
        <v>495</v>
      </c>
    </row>
    <row r="17" spans="1:15" ht="15" customHeight="1">
      <c r="A17" s="774" t="s">
        <v>472</v>
      </c>
      <c r="B17" s="772">
        <v>221</v>
      </c>
      <c r="C17" s="772">
        <v>482</v>
      </c>
      <c r="D17" s="772">
        <v>293</v>
      </c>
      <c r="E17" s="772">
        <v>2231</v>
      </c>
      <c r="F17" s="772">
        <v>960</v>
      </c>
      <c r="G17" s="772">
        <v>431</v>
      </c>
      <c r="H17" s="772">
        <v>2336</v>
      </c>
      <c r="I17" s="772">
        <v>200</v>
      </c>
      <c r="J17" s="772">
        <v>257</v>
      </c>
      <c r="K17" s="772">
        <v>620</v>
      </c>
      <c r="L17" s="772">
        <v>986</v>
      </c>
      <c r="M17" s="772">
        <v>503</v>
      </c>
      <c r="N17" s="772">
        <v>492</v>
      </c>
      <c r="O17" s="773">
        <v>576</v>
      </c>
    </row>
    <row r="18" spans="1:15" ht="15" customHeight="1">
      <c r="A18" s="774" t="s">
        <v>473</v>
      </c>
      <c r="B18" s="772">
        <v>375</v>
      </c>
      <c r="C18" s="772">
        <v>703</v>
      </c>
      <c r="D18" s="772">
        <v>214</v>
      </c>
      <c r="E18" s="772">
        <v>401</v>
      </c>
      <c r="F18" s="772">
        <v>1262</v>
      </c>
      <c r="G18" s="772">
        <v>414</v>
      </c>
      <c r="H18" s="772">
        <v>2699</v>
      </c>
      <c r="I18" s="772">
        <v>172</v>
      </c>
      <c r="J18" s="772">
        <v>132</v>
      </c>
      <c r="K18" s="775" t="s">
        <v>474</v>
      </c>
      <c r="L18" s="772">
        <v>736</v>
      </c>
      <c r="M18" s="772">
        <v>852</v>
      </c>
      <c r="N18" s="772">
        <v>533</v>
      </c>
      <c r="O18" s="773">
        <v>557</v>
      </c>
    </row>
    <row r="19" spans="1:15" ht="15" customHeight="1">
      <c r="A19" s="774" t="s">
        <v>475</v>
      </c>
      <c r="B19" s="772">
        <v>289</v>
      </c>
      <c r="C19" s="772">
        <v>600</v>
      </c>
      <c r="D19" s="772">
        <v>275</v>
      </c>
      <c r="E19" s="772">
        <v>3339</v>
      </c>
      <c r="F19" s="772">
        <v>968</v>
      </c>
      <c r="G19" s="772">
        <v>475</v>
      </c>
      <c r="H19" s="772">
        <v>3136</v>
      </c>
      <c r="I19" s="772">
        <v>497</v>
      </c>
      <c r="J19" s="772">
        <v>339</v>
      </c>
      <c r="K19" s="772">
        <v>1307</v>
      </c>
      <c r="L19" s="772">
        <v>1501</v>
      </c>
      <c r="M19" s="772">
        <v>829</v>
      </c>
      <c r="N19" s="772">
        <v>711</v>
      </c>
      <c r="O19" s="773">
        <v>581</v>
      </c>
    </row>
    <row r="20" spans="1:15" ht="15" customHeight="1">
      <c r="A20" s="774" t="s">
        <v>476</v>
      </c>
      <c r="B20" s="772">
        <v>265</v>
      </c>
      <c r="C20" s="772">
        <v>281</v>
      </c>
      <c r="D20" s="772">
        <v>276</v>
      </c>
      <c r="E20" s="772">
        <v>2649</v>
      </c>
      <c r="F20" s="772">
        <v>680</v>
      </c>
      <c r="G20" s="772">
        <v>304</v>
      </c>
      <c r="H20" s="772">
        <v>3571</v>
      </c>
      <c r="I20" s="772">
        <v>389</v>
      </c>
      <c r="J20" s="772">
        <v>269</v>
      </c>
      <c r="K20" s="772">
        <v>748</v>
      </c>
      <c r="L20" s="772">
        <v>1023</v>
      </c>
      <c r="M20" s="772">
        <v>467</v>
      </c>
      <c r="N20" s="772">
        <v>328</v>
      </c>
      <c r="O20" s="773">
        <v>493</v>
      </c>
    </row>
    <row r="21" spans="1:15" ht="15" customHeight="1">
      <c r="A21" s="774" t="s">
        <v>477</v>
      </c>
      <c r="B21" s="772">
        <v>253</v>
      </c>
      <c r="C21" s="772">
        <v>500</v>
      </c>
      <c r="D21" s="772">
        <v>268</v>
      </c>
      <c r="E21" s="772">
        <v>7630</v>
      </c>
      <c r="F21" s="772">
        <v>945</v>
      </c>
      <c r="G21" s="772">
        <v>395</v>
      </c>
      <c r="H21" s="772">
        <v>1454</v>
      </c>
      <c r="I21" s="772">
        <v>496</v>
      </c>
      <c r="J21" s="772">
        <v>467</v>
      </c>
      <c r="K21" s="772">
        <v>1521</v>
      </c>
      <c r="L21" s="772">
        <v>854</v>
      </c>
      <c r="M21" s="772">
        <v>677</v>
      </c>
      <c r="N21" s="772">
        <v>3383</v>
      </c>
      <c r="O21" s="773">
        <v>552</v>
      </c>
    </row>
    <row r="22" spans="1:15" ht="15" customHeight="1">
      <c r="A22" s="774" t="s">
        <v>478</v>
      </c>
      <c r="B22" s="772">
        <v>287</v>
      </c>
      <c r="C22" s="772">
        <v>445</v>
      </c>
      <c r="D22" s="772">
        <v>288</v>
      </c>
      <c r="E22" s="772">
        <v>4688</v>
      </c>
      <c r="F22" s="772">
        <v>1153</v>
      </c>
      <c r="G22" s="772">
        <v>464</v>
      </c>
      <c r="H22" s="772">
        <v>3277</v>
      </c>
      <c r="I22" s="772">
        <v>926</v>
      </c>
      <c r="J22" s="772">
        <v>411</v>
      </c>
      <c r="K22" s="772">
        <v>1835</v>
      </c>
      <c r="L22" s="772">
        <v>2488</v>
      </c>
      <c r="M22" s="772">
        <v>1012</v>
      </c>
      <c r="N22" s="772">
        <v>950</v>
      </c>
      <c r="O22" s="773">
        <v>674</v>
      </c>
    </row>
    <row r="23" spans="1:15" ht="15" customHeight="1">
      <c r="A23" s="774" t="s">
        <v>479</v>
      </c>
      <c r="B23" s="772">
        <v>293</v>
      </c>
      <c r="C23" s="772">
        <v>338</v>
      </c>
      <c r="D23" s="772">
        <v>250</v>
      </c>
      <c r="E23" s="772">
        <v>2406</v>
      </c>
      <c r="F23" s="772">
        <v>1622</v>
      </c>
      <c r="G23" s="772">
        <v>432</v>
      </c>
      <c r="H23" s="772">
        <v>3736</v>
      </c>
      <c r="I23" s="772">
        <v>369</v>
      </c>
      <c r="J23" s="772">
        <v>321</v>
      </c>
      <c r="K23" s="772">
        <v>1345</v>
      </c>
      <c r="L23" s="772">
        <v>1270</v>
      </c>
      <c r="M23" s="772">
        <v>576</v>
      </c>
      <c r="N23" s="772">
        <v>188</v>
      </c>
      <c r="O23" s="773">
        <v>621</v>
      </c>
    </row>
    <row r="24" spans="1:15" ht="15" customHeight="1">
      <c r="A24" s="774" t="s">
        <v>480</v>
      </c>
      <c r="B24" s="772">
        <v>268</v>
      </c>
      <c r="C24" s="772">
        <v>440</v>
      </c>
      <c r="D24" s="772">
        <v>349</v>
      </c>
      <c r="E24" s="772">
        <v>3785</v>
      </c>
      <c r="F24" s="772">
        <v>756</v>
      </c>
      <c r="G24" s="772">
        <v>690</v>
      </c>
      <c r="H24" s="772">
        <v>2075</v>
      </c>
      <c r="I24" s="772">
        <v>127</v>
      </c>
      <c r="J24" s="772">
        <v>659</v>
      </c>
      <c r="K24" s="772">
        <v>443</v>
      </c>
      <c r="L24" s="772">
        <v>624</v>
      </c>
      <c r="M24" s="772">
        <v>342</v>
      </c>
      <c r="N24" s="772">
        <v>929</v>
      </c>
      <c r="O24" s="773">
        <v>505</v>
      </c>
    </row>
    <row r="25" spans="1:15" ht="15" customHeight="1">
      <c r="A25" s="774" t="s">
        <v>481</v>
      </c>
      <c r="B25" s="772">
        <v>618</v>
      </c>
      <c r="C25" s="772">
        <v>318</v>
      </c>
      <c r="D25" s="772">
        <v>280</v>
      </c>
      <c r="E25" s="772">
        <v>3395</v>
      </c>
      <c r="F25" s="772">
        <v>1302</v>
      </c>
      <c r="G25" s="772">
        <v>608</v>
      </c>
      <c r="H25" s="772">
        <v>3879</v>
      </c>
      <c r="I25" s="772">
        <v>1053</v>
      </c>
      <c r="J25" s="772">
        <v>154</v>
      </c>
      <c r="K25" s="772">
        <v>1180</v>
      </c>
      <c r="L25" s="772">
        <v>1212</v>
      </c>
      <c r="M25" s="772">
        <v>764</v>
      </c>
      <c r="N25" s="772">
        <v>1114</v>
      </c>
      <c r="O25" s="773">
        <v>813</v>
      </c>
    </row>
    <row r="26" spans="1:15" ht="15" customHeight="1">
      <c r="A26" s="774" t="s">
        <v>482</v>
      </c>
      <c r="B26" s="772">
        <v>285</v>
      </c>
      <c r="C26" s="772">
        <v>327</v>
      </c>
      <c r="D26" s="772">
        <v>203</v>
      </c>
      <c r="E26" s="772">
        <v>4050</v>
      </c>
      <c r="F26" s="772">
        <v>586</v>
      </c>
      <c r="G26" s="772">
        <v>298</v>
      </c>
      <c r="H26" s="772">
        <v>3480</v>
      </c>
      <c r="I26" s="772">
        <v>300</v>
      </c>
      <c r="J26" s="772">
        <v>656</v>
      </c>
      <c r="K26" s="772">
        <v>1490</v>
      </c>
      <c r="L26" s="772">
        <v>2972</v>
      </c>
      <c r="M26" s="772">
        <v>447</v>
      </c>
      <c r="N26" s="772">
        <v>582</v>
      </c>
      <c r="O26" s="773">
        <v>523</v>
      </c>
    </row>
    <row r="27" spans="1:15" ht="15" customHeight="1">
      <c r="A27" s="774" t="s">
        <v>483</v>
      </c>
      <c r="B27" s="772">
        <v>287</v>
      </c>
      <c r="C27" s="772">
        <v>435</v>
      </c>
      <c r="D27" s="772">
        <v>266</v>
      </c>
      <c r="E27" s="772">
        <v>3584</v>
      </c>
      <c r="F27" s="772">
        <v>1097</v>
      </c>
      <c r="G27" s="772">
        <v>489</v>
      </c>
      <c r="H27" s="772">
        <v>1822</v>
      </c>
      <c r="I27" s="772">
        <v>421</v>
      </c>
      <c r="J27" s="772">
        <v>240</v>
      </c>
      <c r="K27" s="772">
        <v>1937</v>
      </c>
      <c r="L27" s="772">
        <v>1292</v>
      </c>
      <c r="M27" s="772">
        <v>960</v>
      </c>
      <c r="N27" s="772">
        <v>449</v>
      </c>
      <c r="O27" s="773">
        <v>596</v>
      </c>
    </row>
    <row r="28" spans="1:15" ht="15" customHeight="1">
      <c r="A28" s="774" t="s">
        <v>484</v>
      </c>
      <c r="B28" s="772">
        <v>233</v>
      </c>
      <c r="C28" s="772">
        <v>855</v>
      </c>
      <c r="D28" s="772">
        <v>276</v>
      </c>
      <c r="E28" s="772">
        <v>1280</v>
      </c>
      <c r="F28" s="772">
        <v>585</v>
      </c>
      <c r="G28" s="772">
        <v>632</v>
      </c>
      <c r="H28" s="772">
        <v>878</v>
      </c>
      <c r="I28" s="775" t="s">
        <v>474</v>
      </c>
      <c r="J28" s="772">
        <v>396</v>
      </c>
      <c r="K28" s="772">
        <v>881</v>
      </c>
      <c r="L28" s="772">
        <v>1298</v>
      </c>
      <c r="M28" s="775" t="s">
        <v>474</v>
      </c>
      <c r="N28" s="772">
        <v>55</v>
      </c>
      <c r="O28" s="773">
        <v>477</v>
      </c>
    </row>
    <row r="29" spans="1:15" ht="15" customHeight="1">
      <c r="A29" s="774" t="s">
        <v>485</v>
      </c>
      <c r="B29" s="772">
        <v>261</v>
      </c>
      <c r="C29" s="772">
        <v>261</v>
      </c>
      <c r="D29" s="772">
        <v>282</v>
      </c>
      <c r="E29" s="772">
        <v>3530</v>
      </c>
      <c r="F29" s="772">
        <v>910</v>
      </c>
      <c r="G29" s="772">
        <v>621</v>
      </c>
      <c r="H29" s="772">
        <v>1916</v>
      </c>
      <c r="I29" s="772">
        <v>993</v>
      </c>
      <c r="J29" s="772">
        <v>256</v>
      </c>
      <c r="K29" s="772">
        <v>1380</v>
      </c>
      <c r="L29" s="772">
        <v>536</v>
      </c>
      <c r="M29" s="772">
        <v>1007</v>
      </c>
      <c r="N29" s="772">
        <v>515</v>
      </c>
      <c r="O29" s="773">
        <v>478</v>
      </c>
    </row>
    <row r="30" spans="1:15" ht="15" customHeight="1">
      <c r="A30" s="774" t="s">
        <v>486</v>
      </c>
      <c r="B30" s="772">
        <v>278</v>
      </c>
      <c r="C30" s="772">
        <v>431</v>
      </c>
      <c r="D30" s="772">
        <v>259</v>
      </c>
      <c r="E30" s="772">
        <v>1944</v>
      </c>
      <c r="F30" s="772">
        <v>810</v>
      </c>
      <c r="G30" s="772">
        <v>523</v>
      </c>
      <c r="H30" s="772">
        <v>3887</v>
      </c>
      <c r="I30" s="772">
        <v>789</v>
      </c>
      <c r="J30" s="772">
        <v>493</v>
      </c>
      <c r="K30" s="772">
        <v>1379</v>
      </c>
      <c r="L30" s="772">
        <v>437</v>
      </c>
      <c r="M30" s="772">
        <v>634</v>
      </c>
      <c r="N30" s="772">
        <v>952</v>
      </c>
      <c r="O30" s="773">
        <v>482</v>
      </c>
    </row>
    <row r="31" spans="1:15" ht="15" customHeight="1">
      <c r="A31" s="774" t="s">
        <v>487</v>
      </c>
      <c r="B31" s="772">
        <v>317</v>
      </c>
      <c r="C31" s="772">
        <v>398</v>
      </c>
      <c r="D31" s="772">
        <v>290</v>
      </c>
      <c r="E31" s="772">
        <v>1222</v>
      </c>
      <c r="F31" s="772">
        <v>946</v>
      </c>
      <c r="G31" s="772">
        <v>441</v>
      </c>
      <c r="H31" s="772">
        <v>2991</v>
      </c>
      <c r="I31" s="772">
        <v>1037</v>
      </c>
      <c r="J31" s="772">
        <v>268</v>
      </c>
      <c r="K31" s="772">
        <v>2137</v>
      </c>
      <c r="L31" s="772">
        <v>1510</v>
      </c>
      <c r="M31" s="772">
        <v>665</v>
      </c>
      <c r="N31" s="772">
        <v>883</v>
      </c>
      <c r="O31" s="773">
        <v>546</v>
      </c>
    </row>
    <row r="32" spans="1:15" ht="15" customHeight="1">
      <c r="A32" s="774" t="s">
        <v>488</v>
      </c>
      <c r="B32" s="772">
        <v>227</v>
      </c>
      <c r="C32" s="772">
        <v>362</v>
      </c>
      <c r="D32" s="772">
        <v>244</v>
      </c>
      <c r="E32" s="772">
        <v>2321</v>
      </c>
      <c r="F32" s="772">
        <v>619</v>
      </c>
      <c r="G32" s="772">
        <v>406</v>
      </c>
      <c r="H32" s="772">
        <v>1709</v>
      </c>
      <c r="I32" s="772">
        <v>383</v>
      </c>
      <c r="J32" s="772">
        <v>348</v>
      </c>
      <c r="K32" s="772">
        <v>3052</v>
      </c>
      <c r="L32" s="772">
        <v>998</v>
      </c>
      <c r="M32" s="772">
        <v>621</v>
      </c>
      <c r="N32" s="772">
        <v>369</v>
      </c>
      <c r="O32" s="773">
        <v>409</v>
      </c>
    </row>
    <row r="33" spans="1:15" ht="15" customHeight="1">
      <c r="A33" s="774" t="s">
        <v>489</v>
      </c>
      <c r="B33" s="772">
        <v>249</v>
      </c>
      <c r="C33" s="772">
        <v>378</v>
      </c>
      <c r="D33" s="772">
        <v>318</v>
      </c>
      <c r="E33" s="772">
        <v>2270</v>
      </c>
      <c r="F33" s="772">
        <v>1187</v>
      </c>
      <c r="G33" s="772">
        <v>487</v>
      </c>
      <c r="H33" s="772">
        <v>2726</v>
      </c>
      <c r="I33" s="772">
        <v>499</v>
      </c>
      <c r="J33" s="772">
        <v>412</v>
      </c>
      <c r="K33" s="772">
        <v>968</v>
      </c>
      <c r="L33" s="772">
        <v>1031</v>
      </c>
      <c r="M33" s="772">
        <v>776</v>
      </c>
      <c r="N33" s="772">
        <v>546</v>
      </c>
      <c r="O33" s="773">
        <v>546</v>
      </c>
    </row>
    <row r="34" spans="1:15" ht="15" customHeight="1">
      <c r="A34" s="774" t="s">
        <v>490</v>
      </c>
      <c r="B34" s="772">
        <v>308</v>
      </c>
      <c r="C34" s="772">
        <v>165</v>
      </c>
      <c r="D34" s="772">
        <v>365</v>
      </c>
      <c r="E34" s="772">
        <v>4972</v>
      </c>
      <c r="F34" s="772">
        <v>1226</v>
      </c>
      <c r="G34" s="772">
        <v>671</v>
      </c>
      <c r="H34" s="772">
        <v>1652</v>
      </c>
      <c r="I34" s="772">
        <v>135</v>
      </c>
      <c r="J34" s="772">
        <v>523</v>
      </c>
      <c r="K34" s="772">
        <v>1196</v>
      </c>
      <c r="L34" s="772">
        <v>1852</v>
      </c>
      <c r="M34" s="772">
        <v>946</v>
      </c>
      <c r="N34" s="772">
        <v>880</v>
      </c>
      <c r="O34" s="773">
        <v>614</v>
      </c>
    </row>
    <row r="35" spans="1:15" ht="15" customHeight="1">
      <c r="A35" s="464"/>
      <c r="B35" s="462"/>
      <c r="C35" s="462"/>
      <c r="D35" s="462"/>
      <c r="E35" s="462"/>
      <c r="F35" s="462"/>
      <c r="G35" s="462"/>
      <c r="H35" s="462"/>
      <c r="I35" s="462"/>
      <c r="J35" s="462"/>
      <c r="K35" s="462"/>
      <c r="L35" s="462"/>
      <c r="M35" s="462"/>
      <c r="N35" s="462"/>
      <c r="O35" s="463"/>
    </row>
    <row r="36" spans="1:15" ht="15" customHeight="1">
      <c r="A36" s="776" t="s">
        <v>491</v>
      </c>
      <c r="B36" s="777">
        <v>302</v>
      </c>
      <c r="C36" s="777">
        <v>728</v>
      </c>
      <c r="D36" s="777">
        <v>297</v>
      </c>
      <c r="E36" s="777">
        <v>3365</v>
      </c>
      <c r="F36" s="777">
        <v>1142</v>
      </c>
      <c r="G36" s="777">
        <v>575</v>
      </c>
      <c r="H36" s="777">
        <v>2859</v>
      </c>
      <c r="I36" s="777">
        <v>547</v>
      </c>
      <c r="J36" s="777">
        <v>331</v>
      </c>
      <c r="K36" s="777">
        <v>1417</v>
      </c>
      <c r="L36" s="777">
        <v>1565</v>
      </c>
      <c r="M36" s="777">
        <v>969</v>
      </c>
      <c r="N36" s="777">
        <v>744</v>
      </c>
      <c r="O36" s="777">
        <v>670</v>
      </c>
    </row>
    <row r="37" spans="1:15" ht="15" customHeight="1">
      <c r="A37" s="795" t="s">
        <v>492</v>
      </c>
      <c r="B37" s="795"/>
      <c r="C37" s="795"/>
      <c r="D37" s="795"/>
      <c r="E37" s="795"/>
      <c r="F37" s="795"/>
      <c r="G37" s="795"/>
      <c r="H37" s="795"/>
      <c r="I37" s="795"/>
      <c r="J37" s="795"/>
      <c r="K37" s="795"/>
      <c r="L37" s="795"/>
      <c r="M37" s="795"/>
      <c r="N37" s="795"/>
      <c r="O37" s="795"/>
    </row>
    <row r="40" spans="1:15" ht="15" customHeight="1">
      <c r="B40" s="465"/>
      <c r="C40" s="465"/>
      <c r="D40" s="465"/>
      <c r="E40" s="465"/>
      <c r="F40" s="465"/>
      <c r="G40" s="465"/>
      <c r="H40" s="465"/>
      <c r="I40" s="465"/>
      <c r="J40" s="465"/>
      <c r="K40" s="465"/>
      <c r="L40" s="465"/>
      <c r="M40" s="465"/>
      <c r="N40" s="465"/>
      <c r="O40" s="465"/>
    </row>
  </sheetData>
  <mergeCells count="2">
    <mergeCell ref="A1:O1"/>
    <mergeCell ref="A37:O37"/>
  </mergeCells>
  <hyperlinks>
    <hyperlink ref="B2" r:id="rId1" xr:uid="{00000000-0004-0000-0F00-000000000000}"/>
  </hyperlinks>
  <pageMargins left="0.70866141732283472" right="0.70866141732283472" top="0.74803149606299213" bottom="0.74803149606299213" header="0.31496062992125984" footer="0.31496062992125984"/>
  <pageSetup paperSize="9" scale="63" orientation="landscape"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3">
    <tabColor theme="5" tint="0.39997558519241921"/>
  </sheetPr>
  <dimension ref="A2"/>
  <sheetViews>
    <sheetView topLeftCell="A17" zoomScale="85" zoomScaleNormal="85" workbookViewId="0">
      <selection activeCell="T43" sqref="T43"/>
    </sheetView>
  </sheetViews>
  <sheetFormatPr defaultColWidth="9.140625" defaultRowHeight="12.75"/>
  <cols>
    <col min="1" max="16384" width="9.140625" style="481"/>
  </cols>
  <sheetData>
    <row r="2" spans="1:1" ht="15">
      <c r="A2" s="769" t="s">
        <v>533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theme="7"/>
  </sheetPr>
  <dimension ref="B2:C28"/>
  <sheetViews>
    <sheetView showGridLines="0" zoomScale="80" zoomScaleNormal="80" workbookViewId="0">
      <selection activeCell="A11" sqref="A11"/>
    </sheetView>
  </sheetViews>
  <sheetFormatPr defaultColWidth="9.140625" defaultRowHeight="15"/>
  <cols>
    <col min="1" max="1" width="3.7109375" style="557" customWidth="1"/>
    <col min="2" max="2" width="19.5703125" style="557" customWidth="1"/>
    <col min="3" max="3" width="68.42578125" style="557" bestFit="1" customWidth="1"/>
    <col min="4" max="16384" width="9.140625" style="557"/>
  </cols>
  <sheetData>
    <row r="2" spans="2:3" ht="18.75">
      <c r="B2" s="553" t="s">
        <v>149</v>
      </c>
      <c r="C2" s="554"/>
    </row>
    <row r="3" spans="2:3">
      <c r="B3" s="555" t="s">
        <v>539</v>
      </c>
      <c r="C3" s="556" t="s">
        <v>233</v>
      </c>
    </row>
    <row r="4" spans="2:3">
      <c r="B4" s="558" t="s">
        <v>500</v>
      </c>
      <c r="C4" s="558" t="s">
        <v>540</v>
      </c>
    </row>
    <row r="5" spans="2:3">
      <c r="B5" s="559" t="s">
        <v>254</v>
      </c>
      <c r="C5" s="559" t="s">
        <v>255</v>
      </c>
    </row>
    <row r="6" spans="2:3">
      <c r="B6" s="559" t="s">
        <v>156</v>
      </c>
      <c r="C6" s="559" t="s">
        <v>256</v>
      </c>
    </row>
    <row r="7" spans="2:3">
      <c r="B7" s="559" t="s">
        <v>157</v>
      </c>
      <c r="C7" s="559" t="s">
        <v>158</v>
      </c>
    </row>
    <row r="8" spans="2:3">
      <c r="B8" s="559" t="s">
        <v>159</v>
      </c>
      <c r="C8" s="559" t="s">
        <v>161</v>
      </c>
    </row>
    <row r="9" spans="2:3">
      <c r="B9" s="559" t="s">
        <v>160</v>
      </c>
      <c r="C9" s="559" t="s">
        <v>504</v>
      </c>
    </row>
    <row r="10" spans="2:3">
      <c r="B10" s="559" t="s">
        <v>223</v>
      </c>
      <c r="C10" s="559" t="s">
        <v>224</v>
      </c>
    </row>
    <row r="11" spans="2:3">
      <c r="B11" s="559" t="s">
        <v>229</v>
      </c>
      <c r="C11" s="559" t="s">
        <v>225</v>
      </c>
    </row>
    <row r="12" spans="2:3">
      <c r="B12" s="559" t="s">
        <v>228</v>
      </c>
      <c r="C12" s="559" t="s">
        <v>226</v>
      </c>
    </row>
    <row r="13" spans="2:3">
      <c r="B13" s="559" t="s">
        <v>541</v>
      </c>
      <c r="C13" s="559" t="s">
        <v>231</v>
      </c>
    </row>
    <row r="14" spans="2:3">
      <c r="B14" s="560" t="s">
        <v>227</v>
      </c>
      <c r="C14" s="560" t="s">
        <v>230</v>
      </c>
    </row>
    <row r="15" spans="2:3">
      <c r="B15" s="81"/>
    </row>
    <row r="16" spans="2:3" ht="18.75">
      <c r="B16" s="562" t="s">
        <v>505</v>
      </c>
      <c r="C16" s="563"/>
    </row>
    <row r="17" spans="2:3">
      <c r="B17" s="573"/>
      <c r="C17" s="564" t="s">
        <v>151</v>
      </c>
    </row>
    <row r="18" spans="2:3">
      <c r="B18" s="574"/>
      <c r="C18" s="565" t="s">
        <v>152</v>
      </c>
    </row>
    <row r="19" spans="2:3">
      <c r="B19" s="473"/>
      <c r="C19" s="561"/>
    </row>
    <row r="20" spans="2:3" ht="18.75">
      <c r="B20" s="566" t="s">
        <v>509</v>
      </c>
      <c r="C20" s="567"/>
    </row>
    <row r="21" spans="2:3">
      <c r="B21" s="575"/>
      <c r="C21" s="564" t="s">
        <v>237</v>
      </c>
    </row>
    <row r="22" spans="2:3">
      <c r="B22" s="576"/>
      <c r="C22" s="565" t="s">
        <v>236</v>
      </c>
    </row>
    <row r="24" spans="2:3" ht="18.75">
      <c r="B24" s="566" t="s">
        <v>506</v>
      </c>
      <c r="C24" s="567"/>
    </row>
    <row r="25" spans="2:3">
      <c r="B25" s="570" t="s">
        <v>153</v>
      </c>
      <c r="C25" s="564" t="s">
        <v>507</v>
      </c>
    </row>
    <row r="26" spans="2:3">
      <c r="B26" s="571" t="s">
        <v>154</v>
      </c>
      <c r="C26" s="568" t="s">
        <v>10</v>
      </c>
    </row>
    <row r="27" spans="2:3">
      <c r="B27" s="571" t="s">
        <v>155</v>
      </c>
      <c r="C27" s="568" t="s">
        <v>503</v>
      </c>
    </row>
    <row r="28" spans="2:3">
      <c r="B28" s="572" t="s">
        <v>508</v>
      </c>
      <c r="C28" s="569">
        <v>2012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AO70"/>
  <sheetViews>
    <sheetView view="pageBreakPreview" zoomScale="60" zoomScaleNormal="65" workbookViewId="0">
      <pane xSplit="2" ySplit="1" topLeftCell="M28" activePane="bottomRight" state="frozen"/>
      <selection activeCell="B21" sqref="B21"/>
      <selection pane="topRight" activeCell="B21" sqref="B21"/>
      <selection pane="bottomLeft" activeCell="B21" sqref="B21"/>
      <selection pane="bottomRight" activeCell="AK61" sqref="AK61"/>
    </sheetView>
  </sheetViews>
  <sheetFormatPr defaultColWidth="9.140625" defaultRowHeight="12.75"/>
  <cols>
    <col min="1" max="1" width="38.140625" style="337" customWidth="1"/>
    <col min="2" max="2" width="13" style="295" bestFit="1" customWidth="1"/>
    <col min="3" max="4" width="7.5703125" style="338" bestFit="1" customWidth="1"/>
    <col min="5" max="5" width="9.140625" style="338"/>
    <col min="6" max="6" width="6.140625" style="339" customWidth="1"/>
    <col min="7" max="7" width="5.85546875" style="339" bestFit="1" customWidth="1"/>
    <col min="8" max="8" width="6.42578125" style="338" bestFit="1" customWidth="1"/>
    <col min="9" max="9" width="6.140625" style="339" bestFit="1" customWidth="1"/>
    <col min="10" max="10" width="6" style="339" bestFit="1" customWidth="1"/>
    <col min="11" max="11" width="6.85546875" style="339" bestFit="1" customWidth="1"/>
    <col min="12" max="12" width="8.7109375" style="332" bestFit="1" customWidth="1"/>
    <col min="13" max="13" width="8.140625" style="331" bestFit="1" customWidth="1"/>
    <col min="14" max="14" width="5.28515625" style="331" customWidth="1"/>
    <col min="15" max="15" width="7.42578125" style="331" customWidth="1"/>
    <col min="16" max="16" width="7.42578125" style="331" bestFit="1" customWidth="1"/>
    <col min="17" max="17" width="8.140625" style="331" bestFit="1" customWidth="1"/>
    <col min="18" max="18" width="7.28515625" style="331" bestFit="1" customWidth="1"/>
    <col min="19" max="19" width="7.42578125" style="331" bestFit="1" customWidth="1"/>
    <col min="20" max="20" width="8.42578125" style="331" bestFit="1" customWidth="1"/>
    <col min="21" max="21" width="6.85546875" style="331" bestFit="1" customWidth="1"/>
    <col min="22" max="24" width="5.42578125" style="331" customWidth="1"/>
    <col min="25" max="25" width="5.42578125" style="339" customWidth="1"/>
    <col min="26" max="26" width="8.140625" style="334" bestFit="1" customWidth="1"/>
    <col min="27" max="27" width="6.7109375" style="332" bestFit="1" customWidth="1"/>
    <col min="28" max="29" width="5.5703125" style="331" customWidth="1"/>
    <col min="30" max="30" width="8.7109375" style="331" bestFit="1" customWidth="1"/>
    <col min="31" max="31" width="5.5703125" style="331" customWidth="1"/>
    <col min="32" max="32" width="5.85546875" style="331" bestFit="1" customWidth="1"/>
    <col min="33" max="33" width="7" style="331" customWidth="1"/>
    <col min="34" max="36" width="5.5703125" style="331" customWidth="1"/>
    <col min="37" max="37" width="8.7109375" style="334" bestFit="1" customWidth="1"/>
    <col min="38" max="38" width="4.42578125" style="340" bestFit="1" customWidth="1"/>
    <col min="39" max="39" width="9.28515625" style="331" bestFit="1" customWidth="1"/>
    <col min="40" max="40" width="9.140625" style="295"/>
    <col min="41" max="41" width="9.140625" style="296"/>
    <col min="42" max="16384" width="9.140625" style="295"/>
  </cols>
  <sheetData>
    <row r="1" spans="1:41" s="240" customFormat="1" ht="105.75" customHeight="1" thickBot="1">
      <c r="A1" s="230" t="s">
        <v>592</v>
      </c>
      <c r="B1" s="231" t="s">
        <v>264</v>
      </c>
      <c r="C1" s="232" t="s">
        <v>265</v>
      </c>
      <c r="D1" s="233" t="s">
        <v>266</v>
      </c>
      <c r="E1" s="234" t="s">
        <v>267</v>
      </c>
      <c r="F1" s="235" t="s">
        <v>268</v>
      </c>
      <c r="G1" s="235" t="s">
        <v>269</v>
      </c>
      <c r="H1" s="236" t="s">
        <v>270</v>
      </c>
      <c r="I1" s="233" t="s">
        <v>271</v>
      </c>
      <c r="J1" s="234" t="s">
        <v>272</v>
      </c>
      <c r="K1" s="234" t="s">
        <v>273</v>
      </c>
      <c r="L1" s="236" t="s">
        <v>274</v>
      </c>
      <c r="M1" s="233" t="s">
        <v>275</v>
      </c>
      <c r="N1" s="234" t="s">
        <v>276</v>
      </c>
      <c r="O1" s="234" t="s">
        <v>277</v>
      </c>
      <c r="P1" s="234" t="s">
        <v>278</v>
      </c>
      <c r="Q1" s="234" t="s">
        <v>279</v>
      </c>
      <c r="R1" s="234" t="s">
        <v>280</v>
      </c>
      <c r="S1" s="234" t="s">
        <v>281</v>
      </c>
      <c r="T1" s="234" t="s">
        <v>282</v>
      </c>
      <c r="U1" s="234" t="s">
        <v>283</v>
      </c>
      <c r="V1" s="235" t="s">
        <v>284</v>
      </c>
      <c r="W1" s="235" t="s">
        <v>285</v>
      </c>
      <c r="X1" s="235" t="s">
        <v>286</v>
      </c>
      <c r="Y1" s="234" t="s">
        <v>287</v>
      </c>
      <c r="Z1" s="236" t="s">
        <v>288</v>
      </c>
      <c r="AA1" s="237" t="s">
        <v>289</v>
      </c>
      <c r="AB1" s="238" t="s">
        <v>290</v>
      </c>
      <c r="AC1" s="234" t="s">
        <v>291</v>
      </c>
      <c r="AD1" s="234" t="s">
        <v>292</v>
      </c>
      <c r="AE1" s="234" t="s">
        <v>293</v>
      </c>
      <c r="AF1" s="234" t="s">
        <v>294</v>
      </c>
      <c r="AG1" s="234" t="s">
        <v>295</v>
      </c>
      <c r="AH1" s="234" t="s">
        <v>296</v>
      </c>
      <c r="AI1" s="235" t="s">
        <v>297</v>
      </c>
      <c r="AJ1" s="236" t="s">
        <v>298</v>
      </c>
      <c r="AK1" s="236" t="s">
        <v>299</v>
      </c>
      <c r="AL1" s="237" t="s">
        <v>300</v>
      </c>
      <c r="AM1" s="239" t="s">
        <v>301</v>
      </c>
      <c r="AO1" s="241"/>
    </row>
    <row r="2" spans="1:41" s="245" customFormat="1" ht="12.75" customHeight="1">
      <c r="A2" s="242" t="s">
        <v>302</v>
      </c>
      <c r="B2" s="243"/>
      <c r="C2" s="590">
        <f>SUM(D2:G2)</f>
        <v>0</v>
      </c>
      <c r="D2" s="591">
        <v>0</v>
      </c>
      <c r="E2" s="592"/>
      <c r="F2" s="593"/>
      <c r="G2" s="593"/>
      <c r="H2" s="594">
        <f>SUM(I2:K2)</f>
        <v>815.92434898628403</v>
      </c>
      <c r="I2" s="595">
        <v>688.22034898628408</v>
      </c>
      <c r="J2" s="596">
        <v>127.70399999999999</v>
      </c>
      <c r="K2" s="597"/>
      <c r="L2" s="594">
        <f>SUM(M2:Y2)</f>
        <v>0</v>
      </c>
      <c r="M2" s="595"/>
      <c r="N2" s="598"/>
      <c r="O2" s="598"/>
      <c r="P2" s="598"/>
      <c r="Q2" s="598"/>
      <c r="R2" s="598"/>
      <c r="S2" s="598"/>
      <c r="T2" s="598"/>
      <c r="U2" s="598"/>
      <c r="V2" s="593"/>
      <c r="W2" s="593"/>
      <c r="X2" s="593"/>
      <c r="Y2" s="597"/>
      <c r="Z2" s="594">
        <v>2751.9191872187112</v>
      </c>
      <c r="AA2" s="599">
        <f>SUM(AB2:AI2)</f>
        <v>1310.4304732727737</v>
      </c>
      <c r="AB2" s="600">
        <v>59.691708987970003</v>
      </c>
      <c r="AC2" s="597">
        <v>727.12733781532609</v>
      </c>
      <c r="AD2" s="597">
        <v>386.92983626909194</v>
      </c>
      <c r="AE2" s="597">
        <v>33.531818868055431</v>
      </c>
      <c r="AF2" s="597">
        <v>16.813132576534866</v>
      </c>
      <c r="AG2" s="597">
        <v>27.095124147648001</v>
      </c>
      <c r="AH2" s="595">
        <v>14.978481167970049</v>
      </c>
      <c r="AI2" s="593">
        <v>44.263033440177487</v>
      </c>
      <c r="AJ2" s="601">
        <v>145.43710297949829</v>
      </c>
      <c r="AK2" s="601"/>
      <c r="AL2" s="599"/>
      <c r="AM2" s="244">
        <f>C2+H2+L2+Z2+AA2+AJ2+AK2+AL2</f>
        <v>5023.7111124572675</v>
      </c>
      <c r="AO2" s="296"/>
    </row>
    <row r="3" spans="1:41" s="245" customFormat="1" ht="12.75" customHeight="1">
      <c r="A3" s="246" t="s">
        <v>137</v>
      </c>
      <c r="B3" s="247"/>
      <c r="C3" s="602">
        <f>SUM(D3:G3)</f>
        <v>845.31519216250194</v>
      </c>
      <c r="D3" s="603">
        <v>795.03994947759963</v>
      </c>
      <c r="E3" s="604">
        <v>42.207539024941362</v>
      </c>
      <c r="F3" s="605"/>
      <c r="G3" s="605">
        <v>8.0677036599609497</v>
      </c>
      <c r="H3" s="606">
        <f>SUM(I3:K3)</f>
        <v>0</v>
      </c>
      <c r="I3" s="607"/>
      <c r="J3" s="608"/>
      <c r="K3" s="609"/>
      <c r="L3" s="606">
        <f>SUM(M3:Y3)</f>
        <v>9098.7612301490572</v>
      </c>
      <c r="M3" s="607">
        <v>3053.4742963851995</v>
      </c>
      <c r="N3" s="609">
        <v>0</v>
      </c>
      <c r="O3" s="609">
        <v>564.2282843555555</v>
      </c>
      <c r="P3" s="609">
        <v>369.55541863968</v>
      </c>
      <c r="Q3" s="609">
        <v>1543.1782335883197</v>
      </c>
      <c r="R3" s="609">
        <v>59.086705990112996</v>
      </c>
      <c r="S3" s="609">
        <v>157.5463640726893</v>
      </c>
      <c r="T3" s="609">
        <v>2941.4703035056637</v>
      </c>
      <c r="U3" s="609">
        <v>163.70335639230669</v>
      </c>
      <c r="V3" s="605">
        <v>0</v>
      </c>
      <c r="W3" s="605">
        <v>201.02619184950296</v>
      </c>
      <c r="X3" s="605">
        <v>1.2397796420726457</v>
      </c>
      <c r="Y3" s="609">
        <v>44.252295727955044</v>
      </c>
      <c r="Z3" s="606">
        <v>1728.338063506957</v>
      </c>
      <c r="AA3" s="610">
        <f>SUM(AB3:AI3)</f>
        <v>157.61637079012797</v>
      </c>
      <c r="AB3" s="611"/>
      <c r="AC3" s="609"/>
      <c r="AD3" s="609">
        <v>30.596672981664</v>
      </c>
      <c r="AE3" s="609"/>
      <c r="AF3" s="609"/>
      <c r="AG3" s="609">
        <v>127.01969780846397</v>
      </c>
      <c r="AH3" s="607"/>
      <c r="AI3" s="605"/>
      <c r="AJ3" s="612"/>
      <c r="AK3" s="612">
        <v>139.45061680000001</v>
      </c>
      <c r="AL3" s="610"/>
      <c r="AM3" s="248">
        <f t="shared" ref="AM3:AM21" si="0">C3+H3+L3+Z3+AA3+AJ3+AK3+AL3</f>
        <v>11969.481473408645</v>
      </c>
      <c r="AO3" s="296"/>
    </row>
    <row r="4" spans="1:41" s="245" customFormat="1" ht="12.75" customHeight="1">
      <c r="A4" s="246" t="s">
        <v>138</v>
      </c>
      <c r="B4" s="247"/>
      <c r="C4" s="602">
        <f>SUM(D4:G4)</f>
        <v>15.186580890896002</v>
      </c>
      <c r="D4" s="603">
        <v>0</v>
      </c>
      <c r="E4" s="613">
        <v>14.097722162000002</v>
      </c>
      <c r="F4" s="605"/>
      <c r="G4" s="605">
        <v>1.0888587288959999</v>
      </c>
      <c r="H4" s="606">
        <f>SUM(I4:K4)</f>
        <v>7.0330680000000001</v>
      </c>
      <c r="I4" s="607"/>
      <c r="J4" s="608"/>
      <c r="K4" s="609">
        <v>7.0330680000000001</v>
      </c>
      <c r="L4" s="606">
        <f>SUM(M4:Y4)</f>
        <v>1717.0574370770564</v>
      </c>
      <c r="M4" s="607">
        <v>0</v>
      </c>
      <c r="N4" s="609"/>
      <c r="O4" s="609">
        <v>364.52221864444448</v>
      </c>
      <c r="P4" s="609">
        <v>21.672508399360005</v>
      </c>
      <c r="Q4" s="609">
        <v>156.29379915984001</v>
      </c>
      <c r="R4" s="609">
        <v>986.60611760112999</v>
      </c>
      <c r="S4" s="609">
        <v>35.289733288720633</v>
      </c>
      <c r="T4" s="609">
        <v>102.14625414775992</v>
      </c>
      <c r="U4" s="609">
        <v>2.9088437938490893E-3</v>
      </c>
      <c r="V4" s="605">
        <v>36.297317128453038</v>
      </c>
      <c r="W4" s="605">
        <v>5.465927722</v>
      </c>
      <c r="X4" s="605">
        <v>1.7941621000000001E-2</v>
      </c>
      <c r="Y4" s="609">
        <v>8.7427105205545299</v>
      </c>
      <c r="Z4" s="606">
        <v>0</v>
      </c>
      <c r="AA4" s="610">
        <f>SUM(AB4:AI4)</f>
        <v>16.875293717856</v>
      </c>
      <c r="AB4" s="611"/>
      <c r="AC4" s="609"/>
      <c r="AD4" s="609">
        <v>7.8402815999999991</v>
      </c>
      <c r="AE4" s="609"/>
      <c r="AF4" s="609"/>
      <c r="AG4" s="609">
        <v>9.0350121178560006</v>
      </c>
      <c r="AH4" s="607"/>
      <c r="AI4" s="605"/>
      <c r="AJ4" s="612"/>
      <c r="AK4" s="612">
        <v>141.83539077999998</v>
      </c>
      <c r="AL4" s="610"/>
      <c r="AM4" s="248">
        <f t="shared" si="0"/>
        <v>1897.9877704658084</v>
      </c>
      <c r="AO4" s="296"/>
    </row>
    <row r="5" spans="1:41" s="245" customFormat="1" ht="12.75" customHeight="1">
      <c r="A5" s="246" t="s">
        <v>303</v>
      </c>
      <c r="B5" s="247"/>
      <c r="C5" s="602">
        <f>SUM(D5:G5)</f>
        <v>0</v>
      </c>
      <c r="D5" s="603"/>
      <c r="E5" s="613"/>
      <c r="F5" s="605"/>
      <c r="G5" s="605"/>
      <c r="H5" s="606">
        <f>SUM(I5:K5)</f>
        <v>0</v>
      </c>
      <c r="I5" s="607"/>
      <c r="J5" s="608"/>
      <c r="K5" s="609"/>
      <c r="L5" s="606">
        <f>SUM(M5:Y5)</f>
        <v>162.14899063248015</v>
      </c>
      <c r="M5" s="607"/>
      <c r="N5" s="609"/>
      <c r="O5" s="609"/>
      <c r="P5" s="609"/>
      <c r="Q5" s="609"/>
      <c r="R5" s="609">
        <v>15.730078096892656</v>
      </c>
      <c r="S5" s="609"/>
      <c r="T5" s="609">
        <v>146.41891253558748</v>
      </c>
      <c r="U5" s="609"/>
      <c r="V5" s="605"/>
      <c r="W5" s="605"/>
      <c r="X5" s="605"/>
      <c r="Y5" s="609"/>
      <c r="Z5" s="606"/>
      <c r="AA5" s="610">
        <f>SUM(AB5:AI5)</f>
        <v>0</v>
      </c>
      <c r="AB5" s="611"/>
      <c r="AC5" s="609"/>
      <c r="AD5" s="609"/>
      <c r="AE5" s="609"/>
      <c r="AF5" s="609"/>
      <c r="AG5" s="609"/>
      <c r="AH5" s="607"/>
      <c r="AI5" s="605"/>
      <c r="AJ5" s="612"/>
      <c r="AK5" s="612"/>
      <c r="AL5" s="610"/>
      <c r="AM5" s="248">
        <f t="shared" si="0"/>
        <v>162.14899063248015</v>
      </c>
      <c r="AO5" s="296"/>
    </row>
    <row r="6" spans="1:41" s="245" customFormat="1" ht="12.75" customHeight="1" thickBot="1">
      <c r="A6" s="249" t="s">
        <v>304</v>
      </c>
      <c r="B6" s="250"/>
      <c r="C6" s="602">
        <f>SUM(D6:G6)</f>
        <v>-105.50045932171129</v>
      </c>
      <c r="D6" s="614">
        <v>-106.11399866466098</v>
      </c>
      <c r="E6" s="605">
        <v>-0.8079766727235479</v>
      </c>
      <c r="F6" s="615"/>
      <c r="G6" s="615">
        <v>1.4215160156732278</v>
      </c>
      <c r="H6" s="616">
        <f>SUM(I6:K6)</f>
        <v>-122.93905189963694</v>
      </c>
      <c r="I6" s="617">
        <v>-136.53826589963694</v>
      </c>
      <c r="J6" s="618">
        <v>0</v>
      </c>
      <c r="K6" s="617">
        <v>13.599214000000003</v>
      </c>
      <c r="L6" s="616">
        <f>SUM(M6:Y6)</f>
        <v>160.4304507360369</v>
      </c>
      <c r="M6" s="607">
        <v>38.730964773999993</v>
      </c>
      <c r="N6" s="609"/>
      <c r="O6" s="609">
        <v>-9.6980083333333713</v>
      </c>
      <c r="P6" s="609">
        <v>12.883201938880001</v>
      </c>
      <c r="Q6" s="609">
        <v>82.12024884504001</v>
      </c>
      <c r="R6" s="609">
        <v>23.637599999999999</v>
      </c>
      <c r="S6" s="609">
        <v>1.4659197380156652</v>
      </c>
      <c r="T6" s="609">
        <v>8.3874136006762399</v>
      </c>
      <c r="U6" s="609">
        <v>3.419577960051174</v>
      </c>
      <c r="V6" s="615">
        <v>-0.51646778729281662</v>
      </c>
      <c r="W6" s="615">
        <v>0</v>
      </c>
      <c r="X6" s="615">
        <v>0</v>
      </c>
      <c r="Y6" s="617">
        <v>0</v>
      </c>
      <c r="Z6" s="616">
        <v>0</v>
      </c>
      <c r="AA6" s="619">
        <f>SUM(AB6:AI6)</f>
        <v>4.2804283179600002</v>
      </c>
      <c r="AB6" s="620"/>
      <c r="AC6" s="621"/>
      <c r="AD6" s="621">
        <v>8.7401158199999704E-2</v>
      </c>
      <c r="AE6" s="621"/>
      <c r="AF6" s="621"/>
      <c r="AG6" s="621">
        <v>4.1930271597600006</v>
      </c>
      <c r="AH6" s="617"/>
      <c r="AI6" s="615"/>
      <c r="AJ6" s="622"/>
      <c r="AK6" s="622"/>
      <c r="AL6" s="619"/>
      <c r="AM6" s="251">
        <f t="shared" si="0"/>
        <v>-63.728632167351321</v>
      </c>
      <c r="AO6" s="296"/>
    </row>
    <row r="7" spans="1:41" s="255" customFormat="1" ht="12.75" customHeight="1">
      <c r="A7" s="252" t="s">
        <v>305</v>
      </c>
      <c r="B7" s="253"/>
      <c r="C7" s="623">
        <f t="shared" ref="C7:AL7" si="1">C2+C3-C4-C5+C6</f>
        <v>724.62815194989457</v>
      </c>
      <c r="D7" s="624">
        <f t="shared" si="1"/>
        <v>688.92595081293871</v>
      </c>
      <c r="E7" s="625">
        <f t="shared" si="1"/>
        <v>27.30184019021781</v>
      </c>
      <c r="F7" s="625">
        <f t="shared" si="1"/>
        <v>0</v>
      </c>
      <c r="G7" s="625">
        <f t="shared" si="1"/>
        <v>8.4003609467381786</v>
      </c>
      <c r="H7" s="626">
        <f t="shared" si="1"/>
        <v>685.95222908664709</v>
      </c>
      <c r="I7" s="624">
        <f t="shared" si="1"/>
        <v>551.68208308664714</v>
      </c>
      <c r="J7" s="627">
        <f t="shared" si="1"/>
        <v>127.70399999999999</v>
      </c>
      <c r="K7" s="625">
        <f t="shared" si="1"/>
        <v>6.5661460000000034</v>
      </c>
      <c r="L7" s="626">
        <f t="shared" si="1"/>
        <v>7379.9852531755569</v>
      </c>
      <c r="M7" s="624">
        <f t="shared" si="1"/>
        <v>3092.2052611591994</v>
      </c>
      <c r="N7" s="625">
        <f t="shared" si="1"/>
        <v>0</v>
      </c>
      <c r="O7" s="625">
        <f t="shared" si="1"/>
        <v>190.00805737777765</v>
      </c>
      <c r="P7" s="625">
        <f t="shared" si="1"/>
        <v>360.76611217919998</v>
      </c>
      <c r="Q7" s="625">
        <f t="shared" si="1"/>
        <v>1469.0046832735197</v>
      </c>
      <c r="R7" s="625">
        <f t="shared" si="1"/>
        <v>-919.61188970790954</v>
      </c>
      <c r="S7" s="625">
        <f t="shared" si="1"/>
        <v>123.72255052198433</v>
      </c>
      <c r="T7" s="625">
        <f t="shared" si="1"/>
        <v>2701.2925504229925</v>
      </c>
      <c r="U7" s="625">
        <f t="shared" si="1"/>
        <v>167.12002550856403</v>
      </c>
      <c r="V7" s="625">
        <f t="shared" si="1"/>
        <v>-36.813784915745856</v>
      </c>
      <c r="W7" s="625">
        <f t="shared" si="1"/>
        <v>195.56026412750296</v>
      </c>
      <c r="X7" s="625">
        <f t="shared" si="1"/>
        <v>1.2218380210726456</v>
      </c>
      <c r="Y7" s="625">
        <f t="shared" si="1"/>
        <v>35.509585207400512</v>
      </c>
      <c r="Z7" s="626">
        <f t="shared" si="1"/>
        <v>4480.2572507256682</v>
      </c>
      <c r="AA7" s="626">
        <f t="shared" si="1"/>
        <v>1455.4519786630058</v>
      </c>
      <c r="AB7" s="624">
        <f t="shared" si="1"/>
        <v>59.691708987970003</v>
      </c>
      <c r="AC7" s="625">
        <f t="shared" si="1"/>
        <v>727.12733781532609</v>
      </c>
      <c r="AD7" s="625">
        <f t="shared" si="1"/>
        <v>409.77362880895589</v>
      </c>
      <c r="AE7" s="625">
        <f t="shared" si="1"/>
        <v>33.531818868055431</v>
      </c>
      <c r="AF7" s="625">
        <f t="shared" si="1"/>
        <v>16.813132576534866</v>
      </c>
      <c r="AG7" s="625">
        <f t="shared" si="1"/>
        <v>149.27283699801595</v>
      </c>
      <c r="AH7" s="628">
        <f t="shared" si="1"/>
        <v>14.978481167970049</v>
      </c>
      <c r="AI7" s="624">
        <f t="shared" si="1"/>
        <v>44.263033440177487</v>
      </c>
      <c r="AJ7" s="626">
        <f t="shared" si="1"/>
        <v>145.43710297949829</v>
      </c>
      <c r="AK7" s="626">
        <f t="shared" si="1"/>
        <v>-2.3847739799999772</v>
      </c>
      <c r="AL7" s="629">
        <f t="shared" si="1"/>
        <v>0</v>
      </c>
      <c r="AM7" s="254">
        <f t="shared" si="0"/>
        <v>14869.327192600271</v>
      </c>
      <c r="AN7" s="245"/>
      <c r="AO7" s="321"/>
    </row>
    <row r="8" spans="1:41" s="255" customFormat="1" ht="12.75" customHeight="1" thickBot="1">
      <c r="A8" s="256" t="s">
        <v>306</v>
      </c>
      <c r="B8" s="257"/>
      <c r="C8" s="630">
        <f t="shared" ref="C8:AL8" si="2">C7-C28</f>
        <v>724.62815194989457</v>
      </c>
      <c r="D8" s="631">
        <f>D7-D28</f>
        <v>688.92595081293871</v>
      </c>
      <c r="E8" s="632">
        <f t="shared" si="2"/>
        <v>27.30184019021781</v>
      </c>
      <c r="F8" s="633">
        <f t="shared" si="2"/>
        <v>0</v>
      </c>
      <c r="G8" s="633">
        <f t="shared" si="2"/>
        <v>8.4003609467381786</v>
      </c>
      <c r="H8" s="634">
        <f t="shared" si="2"/>
        <v>685.95222908664709</v>
      </c>
      <c r="I8" s="631">
        <f t="shared" si="2"/>
        <v>551.68208308664714</v>
      </c>
      <c r="J8" s="635">
        <f t="shared" si="2"/>
        <v>127.70399999999999</v>
      </c>
      <c r="K8" s="632">
        <f t="shared" si="2"/>
        <v>6.5661460000000034</v>
      </c>
      <c r="L8" s="634">
        <f t="shared" si="2"/>
        <v>7147.6935658195807</v>
      </c>
      <c r="M8" s="631">
        <f t="shared" si="2"/>
        <v>3092.2052611591994</v>
      </c>
      <c r="N8" s="632">
        <f t="shared" si="2"/>
        <v>0</v>
      </c>
      <c r="O8" s="632">
        <f t="shared" si="2"/>
        <v>190.00805737777765</v>
      </c>
      <c r="P8" s="632">
        <f t="shared" si="2"/>
        <v>360.76611217919998</v>
      </c>
      <c r="Q8" s="632">
        <f t="shared" si="2"/>
        <v>1469.0046832735197</v>
      </c>
      <c r="R8" s="632">
        <f t="shared" si="2"/>
        <v>-919.61188970790954</v>
      </c>
      <c r="S8" s="632">
        <f t="shared" si="2"/>
        <v>123.72255052198433</v>
      </c>
      <c r="T8" s="632">
        <f t="shared" si="2"/>
        <v>2701.2925504229925</v>
      </c>
      <c r="U8" s="632">
        <f t="shared" si="2"/>
        <v>167.12002550856403</v>
      </c>
      <c r="V8" s="633">
        <f t="shared" si="2"/>
        <v>-36.813784915745856</v>
      </c>
      <c r="W8" s="633">
        <f t="shared" si="2"/>
        <v>0</v>
      </c>
      <c r="X8" s="633">
        <f t="shared" si="2"/>
        <v>0</v>
      </c>
      <c r="Y8" s="632">
        <f t="shared" si="2"/>
        <v>0</v>
      </c>
      <c r="Z8" s="634">
        <f t="shared" si="2"/>
        <v>4480.2572507256682</v>
      </c>
      <c r="AA8" s="636">
        <f t="shared" si="2"/>
        <v>1455.4519786630058</v>
      </c>
      <c r="AB8" s="631">
        <f t="shared" si="2"/>
        <v>59.691708987970003</v>
      </c>
      <c r="AC8" s="632">
        <f t="shared" si="2"/>
        <v>727.12733781532609</v>
      </c>
      <c r="AD8" s="632">
        <f t="shared" si="2"/>
        <v>409.77362880895589</v>
      </c>
      <c r="AE8" s="632">
        <f t="shared" si="2"/>
        <v>33.531818868055431</v>
      </c>
      <c r="AF8" s="632">
        <f t="shared" si="2"/>
        <v>16.813132576534866</v>
      </c>
      <c r="AG8" s="632">
        <f t="shared" si="2"/>
        <v>149.27283699801595</v>
      </c>
      <c r="AH8" s="637">
        <f t="shared" si="2"/>
        <v>14.978481167970049</v>
      </c>
      <c r="AI8" s="631">
        <f t="shared" si="2"/>
        <v>44.263033440177487</v>
      </c>
      <c r="AJ8" s="634">
        <f t="shared" si="2"/>
        <v>145.43710297949829</v>
      </c>
      <c r="AK8" s="634">
        <f t="shared" si="2"/>
        <v>-2.3847739799999772</v>
      </c>
      <c r="AL8" s="631">
        <f t="shared" si="2"/>
        <v>0</v>
      </c>
      <c r="AM8" s="258">
        <f t="shared" si="0"/>
        <v>14637.035505244296</v>
      </c>
      <c r="AN8" s="245"/>
      <c r="AO8" s="321"/>
    </row>
    <row r="9" spans="1:41" s="255" customFormat="1" ht="12.75" customHeight="1">
      <c r="A9" s="252" t="s">
        <v>307</v>
      </c>
      <c r="B9" s="253"/>
      <c r="C9" s="623">
        <f t="shared" ref="C9:AL9" si="3">SUM(C10:C14)</f>
        <v>488.64939432989598</v>
      </c>
      <c r="D9" s="628">
        <f t="shared" si="3"/>
        <v>488.64939432989598</v>
      </c>
      <c r="E9" s="625">
        <f t="shared" si="3"/>
        <v>0</v>
      </c>
      <c r="F9" s="638">
        <f t="shared" si="3"/>
        <v>0</v>
      </c>
      <c r="G9" s="638">
        <f t="shared" si="3"/>
        <v>0</v>
      </c>
      <c r="H9" s="626">
        <f t="shared" si="3"/>
        <v>539.94139129191865</v>
      </c>
      <c r="I9" s="628">
        <f t="shared" si="3"/>
        <v>539.94139129191865</v>
      </c>
      <c r="J9" s="627">
        <f t="shared" si="3"/>
        <v>0</v>
      </c>
      <c r="K9" s="625">
        <f t="shared" si="3"/>
        <v>0</v>
      </c>
      <c r="L9" s="626">
        <f t="shared" si="3"/>
        <v>3126.9350452866179</v>
      </c>
      <c r="M9" s="625">
        <f t="shared" si="3"/>
        <v>3092.2052611591994</v>
      </c>
      <c r="N9" s="625">
        <f t="shared" si="3"/>
        <v>0</v>
      </c>
      <c r="O9" s="625">
        <f t="shared" si="3"/>
        <v>0</v>
      </c>
      <c r="P9" s="625">
        <f t="shared" si="3"/>
        <v>0</v>
      </c>
      <c r="Q9" s="625">
        <f t="shared" si="3"/>
        <v>0</v>
      </c>
      <c r="R9" s="625">
        <f t="shared" si="3"/>
        <v>25.868327226603597</v>
      </c>
      <c r="S9" s="625">
        <f t="shared" si="3"/>
        <v>0.63499472294399995</v>
      </c>
      <c r="T9" s="625">
        <f t="shared" si="3"/>
        <v>8.2264621778709284</v>
      </c>
      <c r="U9" s="625">
        <f t="shared" si="3"/>
        <v>0</v>
      </c>
      <c r="V9" s="638">
        <f t="shared" si="3"/>
        <v>0</v>
      </c>
      <c r="W9" s="638">
        <f t="shared" si="3"/>
        <v>0</v>
      </c>
      <c r="X9" s="638">
        <f t="shared" si="3"/>
        <v>0</v>
      </c>
      <c r="Y9" s="625">
        <f t="shared" si="3"/>
        <v>0</v>
      </c>
      <c r="Z9" s="626">
        <f t="shared" si="3"/>
        <v>2501.2994242635782</v>
      </c>
      <c r="AA9" s="624">
        <f t="shared" si="3"/>
        <v>213.29280212790383</v>
      </c>
      <c r="AB9" s="639">
        <f t="shared" si="3"/>
        <v>0</v>
      </c>
      <c r="AC9" s="625">
        <f t="shared" si="3"/>
        <v>0</v>
      </c>
      <c r="AD9" s="625">
        <f t="shared" si="3"/>
        <v>172.72491180671966</v>
      </c>
      <c r="AE9" s="625">
        <f t="shared" si="3"/>
        <v>33.531818868055431</v>
      </c>
      <c r="AF9" s="625">
        <f t="shared" si="3"/>
        <v>7.0360714531287174</v>
      </c>
      <c r="AG9" s="625">
        <f t="shared" si="3"/>
        <v>0</v>
      </c>
      <c r="AH9" s="628">
        <f t="shared" si="3"/>
        <v>0</v>
      </c>
      <c r="AI9" s="638">
        <f t="shared" si="3"/>
        <v>0</v>
      </c>
      <c r="AJ9" s="626">
        <f t="shared" si="3"/>
        <v>90.714163374524205</v>
      </c>
      <c r="AK9" s="626">
        <f t="shared" si="3"/>
        <v>54.069944079999999</v>
      </c>
      <c r="AL9" s="624">
        <f t="shared" si="3"/>
        <v>0</v>
      </c>
      <c r="AM9" s="259">
        <f t="shared" si="0"/>
        <v>7014.9021647544387</v>
      </c>
      <c r="AN9" s="245"/>
      <c r="AO9" s="321"/>
    </row>
    <row r="10" spans="1:41" s="245" customFormat="1" ht="12.75" customHeight="1">
      <c r="A10" s="260" t="s">
        <v>308</v>
      </c>
      <c r="B10" s="261"/>
      <c r="C10" s="640">
        <f>SUM(D10:G10)</f>
        <v>488.64939432989598</v>
      </c>
      <c r="D10" s="641">
        <v>488.64939432989598</v>
      </c>
      <c r="E10" s="642"/>
      <c r="F10" s="643"/>
      <c r="G10" s="643"/>
      <c r="H10" s="644">
        <f>SUM(I10:K10)</f>
        <v>467.10845991760607</v>
      </c>
      <c r="I10" s="641">
        <v>467.10845991760607</v>
      </c>
      <c r="J10" s="645">
        <v>0</v>
      </c>
      <c r="K10" s="642"/>
      <c r="L10" s="644">
        <f>SUM(M10:Y10)</f>
        <v>34.094789404474525</v>
      </c>
      <c r="M10" s="642"/>
      <c r="N10" s="642"/>
      <c r="O10" s="642"/>
      <c r="P10" s="642"/>
      <c r="Q10" s="642"/>
      <c r="R10" s="642">
        <v>25.868327226603597</v>
      </c>
      <c r="S10" s="642"/>
      <c r="T10" s="642">
        <v>8.2264621778709284</v>
      </c>
      <c r="U10" s="642"/>
      <c r="V10" s="643"/>
      <c r="W10" s="643"/>
      <c r="X10" s="643"/>
      <c r="Y10" s="642"/>
      <c r="Z10" s="644">
        <v>2187.6033883210698</v>
      </c>
      <c r="AA10" s="646">
        <f>SUM(AB10:AI10)</f>
        <v>204.19282321191795</v>
      </c>
      <c r="AB10" s="647"/>
      <c r="AC10" s="642"/>
      <c r="AD10" s="642">
        <v>170.66100434386252</v>
      </c>
      <c r="AE10" s="642">
        <v>33.531818868055431</v>
      </c>
      <c r="AF10" s="642"/>
      <c r="AG10" s="642"/>
      <c r="AH10" s="641"/>
      <c r="AI10" s="643"/>
      <c r="AJ10" s="648">
        <v>90.714163374524205</v>
      </c>
      <c r="AK10" s="644"/>
      <c r="AL10" s="646"/>
      <c r="AM10" s="262">
        <f t="shared" si="0"/>
        <v>3472.3630185594884</v>
      </c>
      <c r="AO10" s="296"/>
    </row>
    <row r="11" spans="1:41" s="245" customFormat="1" ht="12.75" customHeight="1">
      <c r="A11" s="246" t="s">
        <v>309</v>
      </c>
      <c r="B11" s="247"/>
      <c r="C11" s="602">
        <f>SUM(D11:G11)</f>
        <v>0</v>
      </c>
      <c r="D11" s="607">
        <v>0</v>
      </c>
      <c r="E11" s="609"/>
      <c r="F11" s="605"/>
      <c r="G11" s="605"/>
      <c r="H11" s="606">
        <f>SUM(I11:K11)</f>
        <v>4.7573545322072528</v>
      </c>
      <c r="I11" s="607">
        <v>4.7573545322072528</v>
      </c>
      <c r="J11" s="608"/>
      <c r="K11" s="609"/>
      <c r="L11" s="606">
        <f>SUM(M11:Y11)</f>
        <v>0.63499472294399995</v>
      </c>
      <c r="M11" s="609"/>
      <c r="N11" s="649">
        <v>0</v>
      </c>
      <c r="O11" s="609"/>
      <c r="P11" s="609"/>
      <c r="Q11" s="609"/>
      <c r="R11" s="609">
        <v>0</v>
      </c>
      <c r="S11" s="609">
        <v>0.63499472294399995</v>
      </c>
      <c r="T11" s="609">
        <v>0</v>
      </c>
      <c r="U11" s="609"/>
      <c r="V11" s="605"/>
      <c r="W11" s="605"/>
      <c r="X11" s="605"/>
      <c r="Y11" s="609"/>
      <c r="Z11" s="606">
        <v>272.96145103491432</v>
      </c>
      <c r="AA11" s="610">
        <f>SUM(AB11:AI11)</f>
        <v>9.0999789159858597</v>
      </c>
      <c r="AB11" s="611"/>
      <c r="AC11" s="609"/>
      <c r="AD11" s="609">
        <v>2.0639074628571428</v>
      </c>
      <c r="AE11" s="609"/>
      <c r="AF11" s="609">
        <v>7.0360714531287174</v>
      </c>
      <c r="AG11" s="609"/>
      <c r="AH11" s="607"/>
      <c r="AI11" s="605"/>
      <c r="AJ11" s="612"/>
      <c r="AK11" s="612"/>
      <c r="AL11" s="610"/>
      <c r="AM11" s="248">
        <f t="shared" si="0"/>
        <v>287.45377920605142</v>
      </c>
      <c r="AO11" s="296"/>
    </row>
    <row r="12" spans="1:41" s="245" customFormat="1" ht="12.75" customHeight="1">
      <c r="A12" s="246" t="s">
        <v>310</v>
      </c>
      <c r="B12" s="247"/>
      <c r="C12" s="602"/>
      <c r="D12" s="607"/>
      <c r="E12" s="609"/>
      <c r="F12" s="605"/>
      <c r="G12" s="605"/>
      <c r="H12" s="606"/>
      <c r="I12" s="607"/>
      <c r="J12" s="608"/>
      <c r="K12" s="609"/>
      <c r="L12" s="606"/>
      <c r="M12" s="609"/>
      <c r="N12" s="649"/>
      <c r="O12" s="609"/>
      <c r="P12" s="609"/>
      <c r="Q12" s="609"/>
      <c r="R12" s="609"/>
      <c r="S12" s="609"/>
      <c r="T12" s="609"/>
      <c r="U12" s="609"/>
      <c r="V12" s="605"/>
      <c r="W12" s="605"/>
      <c r="X12" s="605"/>
      <c r="Y12" s="609"/>
      <c r="Z12" s="606"/>
      <c r="AA12" s="610"/>
      <c r="AB12" s="611"/>
      <c r="AC12" s="609"/>
      <c r="AD12" s="609"/>
      <c r="AE12" s="609"/>
      <c r="AF12" s="609"/>
      <c r="AG12" s="609"/>
      <c r="AH12" s="607"/>
      <c r="AI12" s="605"/>
      <c r="AJ12" s="612"/>
      <c r="AK12" s="612">
        <v>42.942060079999997</v>
      </c>
      <c r="AL12" s="610"/>
      <c r="AM12" s="248">
        <f t="shared" si="0"/>
        <v>42.942060079999997</v>
      </c>
      <c r="AO12" s="296"/>
    </row>
    <row r="13" spans="1:41" s="245" customFormat="1" ht="12.75" customHeight="1">
      <c r="A13" s="246" t="s">
        <v>311</v>
      </c>
      <c r="B13" s="247"/>
      <c r="C13" s="602">
        <f>SUM(D13:G13)</f>
        <v>0</v>
      </c>
      <c r="D13" s="607"/>
      <c r="E13" s="605"/>
      <c r="F13" s="605"/>
      <c r="G13" s="605"/>
      <c r="H13" s="606">
        <f>SUM(I13:K13)</f>
        <v>68.075576842105264</v>
      </c>
      <c r="I13" s="607">
        <v>68.075576842105264</v>
      </c>
      <c r="J13" s="608"/>
      <c r="K13" s="609"/>
      <c r="L13" s="606">
        <f>SUM(M13:Y13)</f>
        <v>0</v>
      </c>
      <c r="M13" s="609"/>
      <c r="N13" s="609"/>
      <c r="O13" s="609"/>
      <c r="P13" s="609"/>
      <c r="Q13" s="609"/>
      <c r="R13" s="609"/>
      <c r="S13" s="609"/>
      <c r="T13" s="609"/>
      <c r="U13" s="609"/>
      <c r="V13" s="605"/>
      <c r="W13" s="605"/>
      <c r="X13" s="605"/>
      <c r="Y13" s="609"/>
      <c r="Z13" s="606"/>
      <c r="AA13" s="610">
        <f>SUM(AB13:AI13)</f>
        <v>0</v>
      </c>
      <c r="AB13" s="611"/>
      <c r="AC13" s="609"/>
      <c r="AD13" s="609"/>
      <c r="AE13" s="609"/>
      <c r="AF13" s="609"/>
      <c r="AG13" s="609"/>
      <c r="AH13" s="607"/>
      <c r="AI13" s="605"/>
      <c r="AJ13" s="612"/>
      <c r="AK13" s="612"/>
      <c r="AL13" s="610"/>
      <c r="AM13" s="248">
        <f t="shared" si="0"/>
        <v>68.075576842105264</v>
      </c>
      <c r="AO13" s="296"/>
    </row>
    <row r="14" spans="1:41" s="245" customFormat="1" ht="12.75" customHeight="1">
      <c r="A14" s="263" t="s">
        <v>312</v>
      </c>
      <c r="B14" s="264"/>
      <c r="C14" s="650">
        <f>SUM(D14:G14)</f>
        <v>0</v>
      </c>
      <c r="D14" s="651"/>
      <c r="E14" s="652"/>
      <c r="F14" s="653"/>
      <c r="G14" s="653"/>
      <c r="H14" s="654">
        <f>SUM(I14:K14)</f>
        <v>0</v>
      </c>
      <c r="I14" s="651"/>
      <c r="J14" s="655"/>
      <c r="K14" s="652"/>
      <c r="L14" s="654">
        <f>SUM(M14:Y14)</f>
        <v>3092.2052611591994</v>
      </c>
      <c r="M14" s="652">
        <v>3092.2052611591994</v>
      </c>
      <c r="N14" s="652"/>
      <c r="O14" s="652"/>
      <c r="P14" s="652"/>
      <c r="Q14" s="652"/>
      <c r="R14" s="652"/>
      <c r="S14" s="652"/>
      <c r="T14" s="652"/>
      <c r="U14" s="652"/>
      <c r="V14" s="653"/>
      <c r="W14" s="653"/>
      <c r="X14" s="653"/>
      <c r="Y14" s="652"/>
      <c r="Z14" s="654">
        <v>40.734584907594211</v>
      </c>
      <c r="AA14" s="656">
        <f>SUM(AB14:AI14)</f>
        <v>0</v>
      </c>
      <c r="AB14" s="657"/>
      <c r="AC14" s="652"/>
      <c r="AD14" s="652"/>
      <c r="AE14" s="652"/>
      <c r="AF14" s="652"/>
      <c r="AG14" s="652"/>
      <c r="AH14" s="651"/>
      <c r="AI14" s="653"/>
      <c r="AJ14" s="658"/>
      <c r="AK14" s="658">
        <v>11.127884</v>
      </c>
      <c r="AL14" s="656"/>
      <c r="AM14" s="265">
        <f t="shared" si="0"/>
        <v>3144.0677300667935</v>
      </c>
      <c r="AO14" s="296"/>
    </row>
    <row r="15" spans="1:41" s="255" customFormat="1" ht="12.75" customHeight="1">
      <c r="A15" s="266" t="s">
        <v>313</v>
      </c>
      <c r="B15" s="267"/>
      <c r="C15" s="659">
        <f t="shared" ref="C15:AL15" si="4">SUM(C16:C21)</f>
        <v>0</v>
      </c>
      <c r="D15" s="660">
        <f t="shared" si="4"/>
        <v>0</v>
      </c>
      <c r="E15" s="661">
        <f t="shared" si="4"/>
        <v>0</v>
      </c>
      <c r="F15" s="662">
        <f t="shared" si="4"/>
        <v>0</v>
      </c>
      <c r="G15" s="662">
        <f t="shared" si="4"/>
        <v>0</v>
      </c>
      <c r="H15" s="663">
        <f t="shared" si="4"/>
        <v>64.671797999999995</v>
      </c>
      <c r="I15" s="660">
        <f t="shared" si="4"/>
        <v>0</v>
      </c>
      <c r="J15" s="664">
        <f t="shared" si="4"/>
        <v>0</v>
      </c>
      <c r="K15" s="661">
        <f t="shared" si="4"/>
        <v>64.671797999999995</v>
      </c>
      <c r="L15" s="663">
        <f t="shared" si="4"/>
        <v>3166.7368998172387</v>
      </c>
      <c r="M15" s="661">
        <f t="shared" si="4"/>
        <v>0</v>
      </c>
      <c r="N15" s="661">
        <f t="shared" si="4"/>
        <v>89.969014531910801</v>
      </c>
      <c r="O15" s="661">
        <f t="shared" si="4"/>
        <v>640.53679657777786</v>
      </c>
      <c r="P15" s="661">
        <f t="shared" si="4"/>
        <v>226.77459106847999</v>
      </c>
      <c r="Q15" s="661">
        <f t="shared" si="4"/>
        <v>0</v>
      </c>
      <c r="R15" s="661">
        <f t="shared" si="4"/>
        <v>960.95017928079096</v>
      </c>
      <c r="S15" s="661">
        <f t="shared" si="4"/>
        <v>64.797462901984332</v>
      </c>
      <c r="T15" s="661">
        <f t="shared" si="4"/>
        <v>1146.9502117491124</v>
      </c>
      <c r="U15" s="661">
        <f t="shared" si="4"/>
        <v>0</v>
      </c>
      <c r="V15" s="662">
        <f t="shared" si="4"/>
        <v>36.758643707182323</v>
      </c>
      <c r="W15" s="662">
        <f t="shared" si="4"/>
        <v>0</v>
      </c>
      <c r="X15" s="662">
        <f t="shared" si="4"/>
        <v>0</v>
      </c>
      <c r="Y15" s="661">
        <f t="shared" si="4"/>
        <v>0</v>
      </c>
      <c r="Z15" s="663">
        <f t="shared" si="4"/>
        <v>0</v>
      </c>
      <c r="AA15" s="665">
        <f t="shared" si="4"/>
        <v>70.406409383935852</v>
      </c>
      <c r="AB15" s="666">
        <f t="shared" si="4"/>
        <v>0</v>
      </c>
      <c r="AC15" s="661">
        <f t="shared" si="4"/>
        <v>0</v>
      </c>
      <c r="AD15" s="661">
        <f t="shared" si="4"/>
        <v>54.776406842584706</v>
      </c>
      <c r="AE15" s="667">
        <f t="shared" si="4"/>
        <v>11.967173135751148</v>
      </c>
      <c r="AF15" s="667">
        <f t="shared" si="4"/>
        <v>3.6628294055999997</v>
      </c>
      <c r="AG15" s="667">
        <f t="shared" si="4"/>
        <v>0</v>
      </c>
      <c r="AH15" s="660">
        <f t="shared" si="4"/>
        <v>0</v>
      </c>
      <c r="AI15" s="662">
        <f t="shared" si="4"/>
        <v>0</v>
      </c>
      <c r="AJ15" s="663">
        <f t="shared" si="4"/>
        <v>24.127289822325451</v>
      </c>
      <c r="AK15" s="663">
        <f t="shared" si="4"/>
        <v>1869.3696002087718</v>
      </c>
      <c r="AL15" s="665">
        <f t="shared" si="4"/>
        <v>0</v>
      </c>
      <c r="AM15" s="269">
        <f t="shared" si="0"/>
        <v>5195.3119972322711</v>
      </c>
      <c r="AN15" s="245"/>
      <c r="AO15" s="321"/>
    </row>
    <row r="16" spans="1:41" s="271" customFormat="1" ht="12.75" customHeight="1">
      <c r="A16" s="260" t="s">
        <v>308</v>
      </c>
      <c r="B16" s="261"/>
      <c r="C16" s="640">
        <f>SUM(D16:G16)</f>
        <v>0</v>
      </c>
      <c r="D16" s="641"/>
      <c r="E16" s="642"/>
      <c r="F16" s="643"/>
      <c r="G16" s="643"/>
      <c r="H16" s="644">
        <f>SUM(I16:K16)</f>
        <v>0</v>
      </c>
      <c r="I16" s="641"/>
      <c r="J16" s="645"/>
      <c r="K16" s="642"/>
      <c r="L16" s="644">
        <f>SUM(M16:Y16)</f>
        <v>0</v>
      </c>
      <c r="M16" s="642"/>
      <c r="N16" s="642"/>
      <c r="O16" s="642"/>
      <c r="P16" s="642"/>
      <c r="Q16" s="642"/>
      <c r="R16" s="642"/>
      <c r="S16" s="642"/>
      <c r="T16" s="642"/>
      <c r="U16" s="642"/>
      <c r="V16" s="643"/>
      <c r="W16" s="643"/>
      <c r="X16" s="643"/>
      <c r="Y16" s="642"/>
      <c r="Z16" s="644"/>
      <c r="AA16" s="646">
        <f>SUM(AB16:AI16)</f>
        <v>65.648541978335857</v>
      </c>
      <c r="AB16" s="647"/>
      <c r="AC16" s="642"/>
      <c r="AD16" s="642">
        <v>53.681368842584703</v>
      </c>
      <c r="AE16" s="649">
        <v>11.967173135751148</v>
      </c>
      <c r="AF16" s="649"/>
      <c r="AG16" s="649"/>
      <c r="AH16" s="641"/>
      <c r="AI16" s="643"/>
      <c r="AJ16" s="648">
        <v>24.127289822325451</v>
      </c>
      <c r="AK16" s="648">
        <v>1663.9966121740963</v>
      </c>
      <c r="AL16" s="646"/>
      <c r="AM16" s="270">
        <f>C16+H16+L16+Z16+AK16+AL16</f>
        <v>1663.9966121740963</v>
      </c>
      <c r="AN16" s="245"/>
      <c r="AO16" s="341"/>
    </row>
    <row r="17" spans="1:41" s="271" customFormat="1" ht="12.75" customHeight="1">
      <c r="A17" s="246" t="s">
        <v>314</v>
      </c>
      <c r="B17" s="247"/>
      <c r="C17" s="602">
        <f>SUM(D17:G17)</f>
        <v>0</v>
      </c>
      <c r="D17" s="607"/>
      <c r="E17" s="609"/>
      <c r="F17" s="605"/>
      <c r="G17" s="605"/>
      <c r="H17" s="606">
        <f>SUM(I17:K17)</f>
        <v>0</v>
      </c>
      <c r="I17" s="607"/>
      <c r="J17" s="608"/>
      <c r="K17" s="609"/>
      <c r="L17" s="606">
        <f>SUM(M17:Y17)</f>
        <v>0</v>
      </c>
      <c r="M17" s="609"/>
      <c r="N17" s="609"/>
      <c r="O17" s="609"/>
      <c r="P17" s="609"/>
      <c r="Q17" s="609"/>
      <c r="R17" s="609"/>
      <c r="S17" s="609"/>
      <c r="T17" s="609"/>
      <c r="U17" s="609"/>
      <c r="V17" s="605"/>
      <c r="W17" s="605"/>
      <c r="X17" s="605"/>
      <c r="Y17" s="609"/>
      <c r="Z17" s="606"/>
      <c r="AA17" s="610">
        <f>SUM(AB17:AI17)</f>
        <v>4.7578674055999999</v>
      </c>
      <c r="AB17" s="611"/>
      <c r="AC17" s="609"/>
      <c r="AD17" s="609">
        <v>1.095038</v>
      </c>
      <c r="AE17" s="609"/>
      <c r="AF17" s="609">
        <v>3.6628294055999997</v>
      </c>
      <c r="AG17" s="609"/>
      <c r="AH17" s="607"/>
      <c r="AI17" s="605"/>
      <c r="AJ17" s="612"/>
      <c r="AK17" s="668">
        <v>184.94204862424348</v>
      </c>
      <c r="AL17" s="610"/>
      <c r="AM17" s="248">
        <f>C17+H17+L17+Z17+AK17+AL17</f>
        <v>184.94204862424348</v>
      </c>
      <c r="AN17" s="245"/>
      <c r="AO17" s="341"/>
    </row>
    <row r="18" spans="1:41" s="271" customFormat="1" ht="12.75" customHeight="1">
      <c r="A18" s="246" t="s">
        <v>315</v>
      </c>
      <c r="B18" s="247"/>
      <c r="C18" s="602"/>
      <c r="D18" s="607"/>
      <c r="E18" s="609"/>
      <c r="F18" s="605"/>
      <c r="G18" s="605"/>
      <c r="H18" s="606"/>
      <c r="I18" s="607"/>
      <c r="J18" s="608"/>
      <c r="K18" s="609"/>
      <c r="L18" s="606"/>
      <c r="M18" s="609"/>
      <c r="N18" s="609"/>
      <c r="O18" s="609"/>
      <c r="P18" s="609"/>
      <c r="Q18" s="609"/>
      <c r="R18" s="609"/>
      <c r="S18" s="609"/>
      <c r="T18" s="609"/>
      <c r="U18" s="609"/>
      <c r="V18" s="605"/>
      <c r="W18" s="605"/>
      <c r="X18" s="605"/>
      <c r="Y18" s="609"/>
      <c r="Z18" s="606"/>
      <c r="AA18" s="610">
        <f>SUM(AB18:AI18)</f>
        <v>0</v>
      </c>
      <c r="AB18" s="611"/>
      <c r="AC18" s="609"/>
      <c r="AD18" s="609"/>
      <c r="AE18" s="609"/>
      <c r="AF18" s="609"/>
      <c r="AG18" s="609"/>
      <c r="AH18" s="607"/>
      <c r="AI18" s="605"/>
      <c r="AJ18" s="612"/>
      <c r="AK18" s="612"/>
      <c r="AL18" s="610"/>
      <c r="AM18" s="248">
        <f t="shared" si="0"/>
        <v>0</v>
      </c>
      <c r="AN18" s="245"/>
      <c r="AO18" s="341"/>
    </row>
    <row r="19" spans="1:41" s="271" customFormat="1" ht="12.75" customHeight="1">
      <c r="A19" s="246" t="s">
        <v>316</v>
      </c>
      <c r="B19" s="247"/>
      <c r="C19" s="602"/>
      <c r="D19" s="607"/>
      <c r="E19" s="609"/>
      <c r="F19" s="605"/>
      <c r="G19" s="605"/>
      <c r="H19" s="606"/>
      <c r="I19" s="607"/>
      <c r="J19" s="608"/>
      <c r="K19" s="609"/>
      <c r="L19" s="606"/>
      <c r="M19" s="609"/>
      <c r="N19" s="609"/>
      <c r="O19" s="609"/>
      <c r="P19" s="609"/>
      <c r="Q19" s="609"/>
      <c r="R19" s="609"/>
      <c r="S19" s="609"/>
      <c r="T19" s="609"/>
      <c r="U19" s="609"/>
      <c r="V19" s="605"/>
      <c r="W19" s="605"/>
      <c r="X19" s="605"/>
      <c r="Y19" s="609"/>
      <c r="Z19" s="606"/>
      <c r="AA19" s="610"/>
      <c r="AB19" s="611"/>
      <c r="AC19" s="609"/>
      <c r="AD19" s="609"/>
      <c r="AE19" s="609"/>
      <c r="AF19" s="609"/>
      <c r="AG19" s="609"/>
      <c r="AH19" s="607"/>
      <c r="AI19" s="605"/>
      <c r="AJ19" s="612"/>
      <c r="AK19" s="612">
        <v>20.430939410432</v>
      </c>
      <c r="AL19" s="610"/>
      <c r="AM19" s="248">
        <f t="shared" si="0"/>
        <v>20.430939410432</v>
      </c>
      <c r="AN19" s="245"/>
      <c r="AO19" s="341"/>
    </row>
    <row r="20" spans="1:41" s="271" customFormat="1" ht="12.75" customHeight="1">
      <c r="A20" s="246" t="s">
        <v>311</v>
      </c>
      <c r="B20" s="247"/>
      <c r="C20" s="602"/>
      <c r="D20" s="295"/>
      <c r="E20" s="609"/>
      <c r="F20" s="605"/>
      <c r="G20" s="605"/>
      <c r="H20" s="606">
        <f>SUM(I20:K20)</f>
        <v>64.671797999999995</v>
      </c>
      <c r="I20" s="607"/>
      <c r="J20" s="608"/>
      <c r="K20" s="609">
        <v>64.671797999999995</v>
      </c>
      <c r="L20" s="606">
        <f>SUM(M20:Y20)</f>
        <v>0</v>
      </c>
      <c r="M20" s="609"/>
      <c r="N20" s="609"/>
      <c r="O20" s="609"/>
      <c r="P20" s="609"/>
      <c r="Q20" s="609"/>
      <c r="R20" s="609"/>
      <c r="S20" s="609"/>
      <c r="T20" s="609"/>
      <c r="U20" s="609"/>
      <c r="V20" s="605"/>
      <c r="W20" s="605"/>
      <c r="X20" s="605"/>
      <c r="Y20" s="609"/>
      <c r="Z20" s="606"/>
      <c r="AA20" s="610">
        <f>SUM(AB20:AI20)</f>
        <v>0</v>
      </c>
      <c r="AB20" s="611"/>
      <c r="AC20" s="609"/>
      <c r="AD20" s="609"/>
      <c r="AE20" s="609"/>
      <c r="AF20" s="609"/>
      <c r="AG20" s="609"/>
      <c r="AH20" s="607"/>
      <c r="AI20" s="605"/>
      <c r="AJ20" s="612"/>
      <c r="AK20" s="612"/>
      <c r="AL20" s="610"/>
      <c r="AM20" s="248">
        <f t="shared" si="0"/>
        <v>64.671797999999995</v>
      </c>
      <c r="AN20" s="245"/>
      <c r="AO20" s="341"/>
    </row>
    <row r="21" spans="1:41" s="271" customFormat="1" ht="12.75" customHeight="1">
      <c r="A21" s="263" t="s">
        <v>317</v>
      </c>
      <c r="B21" s="264"/>
      <c r="C21" s="650"/>
      <c r="D21" s="651"/>
      <c r="E21" s="652"/>
      <c r="F21" s="653"/>
      <c r="G21" s="653"/>
      <c r="H21" s="654">
        <f>SUM(I21:K21)</f>
        <v>0</v>
      </c>
      <c r="I21" s="651"/>
      <c r="J21" s="655"/>
      <c r="K21" s="652"/>
      <c r="L21" s="654">
        <f>SUM(M21:Y21)</f>
        <v>3166.7368998172387</v>
      </c>
      <c r="M21" s="652"/>
      <c r="N21" s="652">
        <v>89.969014531910801</v>
      </c>
      <c r="O21" s="652">
        <v>640.53679657777786</v>
      </c>
      <c r="P21" s="652">
        <v>226.77459106847999</v>
      </c>
      <c r="Q21" s="652">
        <v>0</v>
      </c>
      <c r="R21" s="652">
        <v>960.95017928079096</v>
      </c>
      <c r="S21" s="652">
        <v>64.797462901984332</v>
      </c>
      <c r="T21" s="652">
        <v>1146.9502117491124</v>
      </c>
      <c r="U21" s="652"/>
      <c r="V21" s="653">
        <v>36.758643707182323</v>
      </c>
      <c r="W21" s="653"/>
      <c r="X21" s="653"/>
      <c r="Y21" s="652"/>
      <c r="Z21" s="654"/>
      <c r="AA21" s="656">
        <f>SUM(AB21:AI21)</f>
        <v>0</v>
      </c>
      <c r="AB21" s="657"/>
      <c r="AC21" s="652"/>
      <c r="AD21" s="652"/>
      <c r="AE21" s="652"/>
      <c r="AF21" s="652"/>
      <c r="AG21" s="652"/>
      <c r="AH21" s="651"/>
      <c r="AI21" s="653"/>
      <c r="AJ21" s="658"/>
      <c r="AK21" s="658"/>
      <c r="AL21" s="656"/>
      <c r="AM21" s="265">
        <f t="shared" si="0"/>
        <v>3166.7368998172387</v>
      </c>
      <c r="AN21" s="245"/>
      <c r="AO21" s="341"/>
    </row>
    <row r="22" spans="1:41" s="271" customFormat="1" ht="12.75" customHeight="1">
      <c r="A22" s="272" t="s">
        <v>318</v>
      </c>
      <c r="B22" s="273"/>
      <c r="C22" s="669">
        <f>SUM(C23:C25)</f>
        <v>21.675620234332229</v>
      </c>
      <c r="D22" s="670">
        <f>SUM(D23:D25)</f>
        <v>-17.141361188350004</v>
      </c>
      <c r="E22" s="671">
        <f>SUM(E23:E25)</f>
        <v>38.816981422682233</v>
      </c>
      <c r="F22" s="672">
        <f>SUM(F23:F25)</f>
        <v>0</v>
      </c>
      <c r="G22" s="672">
        <f>SUM(G23:G25)</f>
        <v>0</v>
      </c>
      <c r="H22" s="673">
        <f>SUM(I22:K22)</f>
        <v>0</v>
      </c>
      <c r="I22" s="670">
        <f>SUM(I23:I25)</f>
        <v>0</v>
      </c>
      <c r="J22" s="674">
        <f>SUM(J23:J25)</f>
        <v>0</v>
      </c>
      <c r="K22" s="671">
        <f>SUM(K23:K25)</f>
        <v>0</v>
      </c>
      <c r="L22" s="673">
        <f>SUM(M22:Y22)</f>
        <v>-24.071643477187674</v>
      </c>
      <c r="M22" s="671">
        <f t="shared" ref="M22:AL22" si="5">SUM(M23:M25)</f>
        <v>0</v>
      </c>
      <c r="N22" s="671">
        <f t="shared" si="5"/>
        <v>0</v>
      </c>
      <c r="O22" s="671">
        <f t="shared" si="5"/>
        <v>0.11733854444431926</v>
      </c>
      <c r="P22" s="671">
        <f t="shared" si="5"/>
        <v>374.46366644960005</v>
      </c>
      <c r="Q22" s="671">
        <f t="shared" si="5"/>
        <v>-373.64776418279996</v>
      </c>
      <c r="R22" s="671">
        <f t="shared" si="5"/>
        <v>0</v>
      </c>
      <c r="S22" s="671">
        <f t="shared" si="5"/>
        <v>0</v>
      </c>
      <c r="T22" s="671">
        <f t="shared" si="5"/>
        <v>-3.3292640540998377</v>
      </c>
      <c r="U22" s="671">
        <f t="shared" si="5"/>
        <v>-21.675620234332225</v>
      </c>
      <c r="V22" s="672">
        <f t="shared" si="5"/>
        <v>0</v>
      </c>
      <c r="W22" s="672">
        <f t="shared" si="5"/>
        <v>0</v>
      </c>
      <c r="X22" s="672">
        <f t="shared" si="5"/>
        <v>0</v>
      </c>
      <c r="Y22" s="671">
        <f t="shared" si="5"/>
        <v>0</v>
      </c>
      <c r="Z22" s="673">
        <f t="shared" si="5"/>
        <v>0</v>
      </c>
      <c r="AA22" s="675">
        <f t="shared" si="5"/>
        <v>-788.25144236760048</v>
      </c>
      <c r="AB22" s="676">
        <f t="shared" si="5"/>
        <v>-59.691708987970003</v>
      </c>
      <c r="AC22" s="671">
        <f t="shared" si="5"/>
        <v>-727.12733781532609</v>
      </c>
      <c r="AD22" s="671">
        <f t="shared" si="5"/>
        <v>0</v>
      </c>
      <c r="AE22" s="677">
        <f t="shared" si="5"/>
        <v>0</v>
      </c>
      <c r="AF22" s="677">
        <f t="shared" si="5"/>
        <v>0</v>
      </c>
      <c r="AG22" s="677">
        <f t="shared" si="5"/>
        <v>0</v>
      </c>
      <c r="AH22" s="670">
        <f t="shared" si="5"/>
        <v>-1.4323955643044282</v>
      </c>
      <c r="AI22" s="672">
        <f t="shared" si="5"/>
        <v>0</v>
      </c>
      <c r="AJ22" s="678">
        <f t="shared" si="5"/>
        <v>0</v>
      </c>
      <c r="AK22" s="673">
        <f t="shared" si="5"/>
        <v>788.25144236760048</v>
      </c>
      <c r="AL22" s="675">
        <f t="shared" si="5"/>
        <v>0</v>
      </c>
      <c r="AM22" s="274">
        <f t="shared" ref="AM22" si="6">SUM(AM23:AM25)</f>
        <v>-2.3960232428554455</v>
      </c>
      <c r="AN22" s="245"/>
      <c r="AO22" s="341"/>
    </row>
    <row r="23" spans="1:41" s="271" customFormat="1" ht="12.75" customHeight="1">
      <c r="A23" s="260" t="s">
        <v>1</v>
      </c>
      <c r="B23" s="261"/>
      <c r="C23" s="679"/>
      <c r="D23" s="680"/>
      <c r="E23" s="681"/>
      <c r="F23" s="643"/>
      <c r="G23" s="643"/>
      <c r="H23" s="644"/>
      <c r="I23" s="682"/>
      <c r="J23" s="645"/>
      <c r="K23" s="642"/>
      <c r="L23" s="644"/>
      <c r="M23" s="642"/>
      <c r="N23" s="642"/>
      <c r="O23" s="642"/>
      <c r="P23" s="642"/>
      <c r="Q23" s="642"/>
      <c r="R23" s="642"/>
      <c r="S23" s="642"/>
      <c r="T23" s="642"/>
      <c r="U23" s="642"/>
      <c r="V23" s="643"/>
      <c r="W23" s="643"/>
      <c r="X23" s="643"/>
      <c r="Y23" s="642"/>
      <c r="Z23" s="644"/>
      <c r="AA23" s="646">
        <f>SUM(AB23:AI23)</f>
        <v>-788.25144236760048</v>
      </c>
      <c r="AB23" s="647">
        <f>-AB2</f>
        <v>-59.691708987970003</v>
      </c>
      <c r="AC23" s="642">
        <f>-AC2</f>
        <v>-727.12733781532609</v>
      </c>
      <c r="AD23" s="642"/>
      <c r="AE23" s="649"/>
      <c r="AF23" s="649"/>
      <c r="AG23" s="649"/>
      <c r="AH23" s="641">
        <v>-1.4323955643044282</v>
      </c>
      <c r="AI23" s="643"/>
      <c r="AJ23" s="648"/>
      <c r="AK23" s="644">
        <f>-(C23+H23+L23+Z23+AA23)</f>
        <v>788.25144236760048</v>
      </c>
      <c r="AL23" s="646"/>
      <c r="AM23" s="270">
        <f>C23+H23+L23+Z23+AA23+AJ23+AK23+AL23</f>
        <v>0</v>
      </c>
      <c r="AN23" s="245"/>
      <c r="AO23" s="341"/>
    </row>
    <row r="24" spans="1:41" s="271" customFormat="1" ht="12.75" customHeight="1">
      <c r="A24" s="275" t="s">
        <v>319</v>
      </c>
      <c r="B24" s="267"/>
      <c r="C24" s="683"/>
      <c r="D24" s="684"/>
      <c r="E24" s="661"/>
      <c r="F24" s="685"/>
      <c r="G24" s="685"/>
      <c r="H24" s="663"/>
      <c r="I24" s="686"/>
      <c r="J24" s="687"/>
      <c r="K24" s="688"/>
      <c r="L24" s="663"/>
      <c r="M24" s="688"/>
      <c r="N24" s="688"/>
      <c r="O24" s="688"/>
      <c r="P24" s="688"/>
      <c r="Q24" s="688"/>
      <c r="R24" s="688"/>
      <c r="S24" s="688"/>
      <c r="T24" s="688"/>
      <c r="U24" s="688"/>
      <c r="V24" s="685"/>
      <c r="W24" s="685"/>
      <c r="X24" s="685"/>
      <c r="Y24" s="688"/>
      <c r="Z24" s="663"/>
      <c r="AA24" s="665"/>
      <c r="AB24" s="689"/>
      <c r="AC24" s="688"/>
      <c r="AD24" s="688"/>
      <c r="AE24" s="688"/>
      <c r="AF24" s="688"/>
      <c r="AG24" s="688"/>
      <c r="AH24" s="690"/>
      <c r="AI24" s="685"/>
      <c r="AJ24" s="691"/>
      <c r="AK24" s="663"/>
      <c r="AL24" s="665"/>
      <c r="AM24" s="276">
        <f>C24+H24+L24+Z24+AA24+AJ24+AK24+AL24</f>
        <v>0</v>
      </c>
      <c r="AN24" s="245"/>
      <c r="AO24" s="341"/>
    </row>
    <row r="25" spans="1:41" s="271" customFormat="1" ht="12.75" customHeight="1" thickBot="1">
      <c r="A25" s="249" t="s">
        <v>320</v>
      </c>
      <c r="B25" s="250"/>
      <c r="C25" s="692">
        <f>SUM(D25:G25)</f>
        <v>21.675620234332229</v>
      </c>
      <c r="D25" s="693">
        <v>-17.141361188350004</v>
      </c>
      <c r="E25" s="621">
        <f>-D25-U25</f>
        <v>38.816981422682233</v>
      </c>
      <c r="F25" s="615"/>
      <c r="G25" s="615"/>
      <c r="H25" s="616"/>
      <c r="I25" s="694"/>
      <c r="J25" s="695"/>
      <c r="K25" s="621"/>
      <c r="L25" s="616">
        <f>SUM(N25:Y25)</f>
        <v>-24.071643477187674</v>
      </c>
      <c r="M25" s="621"/>
      <c r="N25" s="621"/>
      <c r="O25" s="621">
        <v>0.11733854444431926</v>
      </c>
      <c r="P25" s="621">
        <v>374.46366644960005</v>
      </c>
      <c r="Q25" s="621">
        <v>-373.64776418279996</v>
      </c>
      <c r="R25" s="621">
        <v>0</v>
      </c>
      <c r="S25" s="621"/>
      <c r="T25" s="621">
        <v>-3.3292640540998377</v>
      </c>
      <c r="U25" s="615">
        <v>-21.675620234332225</v>
      </c>
      <c r="V25" s="615"/>
      <c r="W25" s="615"/>
      <c r="X25" s="615"/>
      <c r="Y25" s="621"/>
      <c r="Z25" s="616"/>
      <c r="AA25" s="616">
        <f>SUM(AB25:AI25)</f>
        <v>0</v>
      </c>
      <c r="AB25" s="620"/>
      <c r="AC25" s="621"/>
      <c r="AD25" s="621"/>
      <c r="AE25" s="621"/>
      <c r="AF25" s="621"/>
      <c r="AG25" s="621"/>
      <c r="AH25" s="617"/>
      <c r="AI25" s="615"/>
      <c r="AJ25" s="622"/>
      <c r="AK25" s="616"/>
      <c r="AL25" s="619"/>
      <c r="AM25" s="251">
        <f>C25+H25+L25+Z25+AA25+AJ25+AK25+AL25</f>
        <v>-2.3960232428554455</v>
      </c>
      <c r="AN25" s="245"/>
      <c r="AO25" s="341"/>
    </row>
    <row r="26" spans="1:41" s="271" customFormat="1" ht="12.75" customHeight="1" thickBot="1">
      <c r="A26" s="266" t="s">
        <v>321</v>
      </c>
      <c r="B26" s="267"/>
      <c r="C26" s="659">
        <f>SUM(D26:G26)</f>
        <v>0</v>
      </c>
      <c r="D26" s="660"/>
      <c r="E26" s="661"/>
      <c r="F26" s="685"/>
      <c r="G26" s="685"/>
      <c r="H26" s="663">
        <f>SUM(I26:K26)</f>
        <v>11.368440725877685</v>
      </c>
      <c r="I26" s="685">
        <v>11.368440725877685</v>
      </c>
      <c r="J26" s="687"/>
      <c r="K26" s="688"/>
      <c r="L26" s="663">
        <f>SUM(N26:Y26)</f>
        <v>92.978980127232518</v>
      </c>
      <c r="M26" s="688"/>
      <c r="N26" s="688">
        <v>89.969014531910801</v>
      </c>
      <c r="O26" s="688"/>
      <c r="P26" s="688"/>
      <c r="Q26" s="688"/>
      <c r="R26" s="688">
        <v>0</v>
      </c>
      <c r="S26" s="688">
        <v>4.1693256233877908E-3</v>
      </c>
      <c r="T26" s="688">
        <v>3.0057962696983291</v>
      </c>
      <c r="U26" s="688"/>
      <c r="V26" s="685"/>
      <c r="W26" s="685"/>
      <c r="X26" s="685"/>
      <c r="Y26" s="688"/>
      <c r="Z26" s="663">
        <v>57.528599543766255</v>
      </c>
      <c r="AA26" s="665">
        <f>SUM(AB26:AG26)</f>
        <v>0</v>
      </c>
      <c r="AB26" s="666"/>
      <c r="AC26" s="688"/>
      <c r="AD26" s="688"/>
      <c r="AE26" s="688"/>
      <c r="AF26" s="688"/>
      <c r="AG26" s="688"/>
      <c r="AH26" s="690"/>
      <c r="AI26" s="685"/>
      <c r="AJ26" s="691"/>
      <c r="AK26" s="663">
        <v>257.5554058341836</v>
      </c>
      <c r="AL26" s="665"/>
      <c r="AM26" s="276">
        <f>C26+H26+L26+Z26+AA26+AJ26+AK26+AL26</f>
        <v>419.43142623106007</v>
      </c>
      <c r="AN26" s="245"/>
      <c r="AO26" s="341"/>
    </row>
    <row r="27" spans="1:41" s="255" customFormat="1" ht="12.75" customHeight="1" thickBot="1">
      <c r="A27" s="277" t="s">
        <v>322</v>
      </c>
      <c r="B27" s="278"/>
      <c r="C27" s="696">
        <f t="shared" ref="C27:AL27" si="7">C7-C9+C15+C22-C26</f>
        <v>257.65437785433085</v>
      </c>
      <c r="D27" s="697">
        <f t="shared" si="7"/>
        <v>183.13519529469272</v>
      </c>
      <c r="E27" s="698">
        <f t="shared" si="7"/>
        <v>66.118821612900035</v>
      </c>
      <c r="F27" s="698">
        <f t="shared" si="7"/>
        <v>0</v>
      </c>
      <c r="G27" s="698">
        <f t="shared" si="7"/>
        <v>8.4003609467381786</v>
      </c>
      <c r="H27" s="699">
        <f t="shared" si="7"/>
        <v>199.31419506885075</v>
      </c>
      <c r="I27" s="697">
        <f t="shared" si="7"/>
        <v>0.37225106885080628</v>
      </c>
      <c r="J27" s="700">
        <f t="shared" si="7"/>
        <v>127.70399999999999</v>
      </c>
      <c r="K27" s="698">
        <f t="shared" si="7"/>
        <v>71.237943999999999</v>
      </c>
      <c r="L27" s="699">
        <f t="shared" si="7"/>
        <v>7302.736484101757</v>
      </c>
      <c r="M27" s="698">
        <f t="shared" si="7"/>
        <v>0</v>
      </c>
      <c r="N27" s="698">
        <f t="shared" si="7"/>
        <v>0</v>
      </c>
      <c r="O27" s="698">
        <f t="shared" si="7"/>
        <v>830.66219249999983</v>
      </c>
      <c r="P27" s="698">
        <f t="shared" si="7"/>
        <v>962.00436969728003</v>
      </c>
      <c r="Q27" s="698">
        <f t="shared" si="7"/>
        <v>1095.3569190907197</v>
      </c>
      <c r="R27" s="698">
        <f t="shared" si="7"/>
        <v>15.469962346277839</v>
      </c>
      <c r="S27" s="698">
        <f t="shared" si="7"/>
        <v>187.88084937540125</v>
      </c>
      <c r="T27" s="698">
        <f t="shared" si="7"/>
        <v>3833.6812396704358</v>
      </c>
      <c r="U27" s="698">
        <f t="shared" si="7"/>
        <v>145.4444052742318</v>
      </c>
      <c r="V27" s="698">
        <f t="shared" si="7"/>
        <v>-5.5141208563533439E-2</v>
      </c>
      <c r="W27" s="698">
        <f t="shared" si="7"/>
        <v>195.56026412750296</v>
      </c>
      <c r="X27" s="698">
        <f t="shared" si="7"/>
        <v>1.2218380210726456</v>
      </c>
      <c r="Y27" s="698">
        <f t="shared" si="7"/>
        <v>35.509585207400512</v>
      </c>
      <c r="Z27" s="699">
        <f t="shared" si="7"/>
        <v>1921.4292269183238</v>
      </c>
      <c r="AA27" s="701">
        <f t="shared" ref="AA27:AJ27" si="8">AA7-AA9+AA22-AA26</f>
        <v>453.90773416750153</v>
      </c>
      <c r="AB27" s="639">
        <f t="shared" si="8"/>
        <v>0</v>
      </c>
      <c r="AC27" s="625">
        <f t="shared" si="8"/>
        <v>0</v>
      </c>
      <c r="AD27" s="625">
        <f t="shared" si="8"/>
        <v>237.04871700223623</v>
      </c>
      <c r="AE27" s="625">
        <f t="shared" si="8"/>
        <v>0</v>
      </c>
      <c r="AF27" s="625">
        <f t="shared" si="8"/>
        <v>9.7770611234061491</v>
      </c>
      <c r="AG27" s="625">
        <f t="shared" si="8"/>
        <v>149.27283699801595</v>
      </c>
      <c r="AH27" s="628">
        <f t="shared" si="8"/>
        <v>13.54608560366562</v>
      </c>
      <c r="AI27" s="702">
        <f t="shared" si="8"/>
        <v>44.263033440177487</v>
      </c>
      <c r="AJ27" s="699">
        <f t="shared" si="8"/>
        <v>54.722939604974087</v>
      </c>
      <c r="AK27" s="699">
        <f t="shared" si="7"/>
        <v>2343.6109186821886</v>
      </c>
      <c r="AL27" s="701">
        <f t="shared" si="7"/>
        <v>0</v>
      </c>
      <c r="AM27" s="285">
        <f>C27+H27+L27+Z27+AA27+AJ27+AK27+AL27</f>
        <v>12533.375876397926</v>
      </c>
      <c r="AN27" s="245"/>
      <c r="AO27" s="321"/>
    </row>
    <row r="28" spans="1:41" s="255" customFormat="1" ht="12.75" customHeight="1">
      <c r="A28" s="252" t="s">
        <v>323</v>
      </c>
      <c r="B28" s="253"/>
      <c r="C28" s="623">
        <f t="shared" ref="C28:U28" si="9">C29</f>
        <v>0</v>
      </c>
      <c r="D28" s="628">
        <f t="shared" si="9"/>
        <v>0</v>
      </c>
      <c r="E28" s="625">
        <f t="shared" si="9"/>
        <v>0</v>
      </c>
      <c r="F28" s="638">
        <f t="shared" si="9"/>
        <v>0</v>
      </c>
      <c r="G28" s="638">
        <f t="shared" si="9"/>
        <v>0</v>
      </c>
      <c r="H28" s="626">
        <f t="shared" si="9"/>
        <v>0</v>
      </c>
      <c r="I28" s="628">
        <f t="shared" si="9"/>
        <v>0</v>
      </c>
      <c r="J28" s="627">
        <f t="shared" si="9"/>
        <v>0</v>
      </c>
      <c r="K28" s="625">
        <f t="shared" si="9"/>
        <v>0</v>
      </c>
      <c r="L28" s="626">
        <f t="shared" si="9"/>
        <v>232.29168735597611</v>
      </c>
      <c r="M28" s="625">
        <f t="shared" si="9"/>
        <v>0</v>
      </c>
      <c r="N28" s="625">
        <f t="shared" si="9"/>
        <v>0</v>
      </c>
      <c r="O28" s="625">
        <f t="shared" si="9"/>
        <v>0</v>
      </c>
      <c r="P28" s="625">
        <f t="shared" si="9"/>
        <v>0</v>
      </c>
      <c r="Q28" s="625">
        <f t="shared" si="9"/>
        <v>0</v>
      </c>
      <c r="R28" s="625">
        <f t="shared" si="9"/>
        <v>0</v>
      </c>
      <c r="S28" s="625">
        <f t="shared" si="9"/>
        <v>0</v>
      </c>
      <c r="T28" s="625">
        <f t="shared" si="9"/>
        <v>0</v>
      </c>
      <c r="U28" s="625">
        <f t="shared" si="9"/>
        <v>0</v>
      </c>
      <c r="V28" s="638"/>
      <c r="W28" s="638">
        <f t="shared" ref="W28:AL28" si="10">W29</f>
        <v>195.56026412750296</v>
      </c>
      <c r="X28" s="638">
        <f t="shared" si="10"/>
        <v>1.2218380210726456</v>
      </c>
      <c r="Y28" s="625">
        <f t="shared" si="10"/>
        <v>35.509585207400512</v>
      </c>
      <c r="Z28" s="626">
        <f t="shared" si="10"/>
        <v>0</v>
      </c>
      <c r="AA28" s="624">
        <f t="shared" si="10"/>
        <v>0</v>
      </c>
      <c r="AB28" s="639">
        <f t="shared" si="10"/>
        <v>0</v>
      </c>
      <c r="AC28" s="625">
        <f t="shared" si="10"/>
        <v>0</v>
      </c>
      <c r="AD28" s="625">
        <f t="shared" si="10"/>
        <v>0</v>
      </c>
      <c r="AE28" s="625">
        <f t="shared" si="10"/>
        <v>0</v>
      </c>
      <c r="AF28" s="625">
        <f t="shared" si="10"/>
        <v>0</v>
      </c>
      <c r="AG28" s="625">
        <f t="shared" si="10"/>
        <v>0</v>
      </c>
      <c r="AH28" s="628">
        <f t="shared" si="10"/>
        <v>0</v>
      </c>
      <c r="AI28" s="638">
        <f t="shared" si="10"/>
        <v>0</v>
      </c>
      <c r="AJ28" s="626">
        <f t="shared" si="10"/>
        <v>0</v>
      </c>
      <c r="AK28" s="626">
        <f t="shared" si="10"/>
        <v>0</v>
      </c>
      <c r="AL28" s="624">
        <f t="shared" si="10"/>
        <v>0</v>
      </c>
      <c r="AM28" s="254">
        <f t="shared" ref="AM28" si="11">AM29</f>
        <v>232.29168735597611</v>
      </c>
      <c r="AN28" s="245"/>
      <c r="AO28" s="321"/>
    </row>
    <row r="29" spans="1:41" s="245" customFormat="1" ht="12.75" customHeight="1" thickBot="1">
      <c r="A29" s="286" t="s">
        <v>324</v>
      </c>
      <c r="B29" s="287"/>
      <c r="C29" s="703">
        <f>SUM(D29:G29)</f>
        <v>0</v>
      </c>
      <c r="D29" s="670"/>
      <c r="E29" s="671"/>
      <c r="F29" s="672"/>
      <c r="G29" s="672"/>
      <c r="H29" s="678">
        <f>SUM(I29:K29)</f>
        <v>0</v>
      </c>
      <c r="I29" s="670"/>
      <c r="J29" s="674"/>
      <c r="K29" s="671"/>
      <c r="L29" s="678">
        <f>SUM(M29:Y29)</f>
        <v>232.29168735597611</v>
      </c>
      <c r="M29" s="671"/>
      <c r="N29" s="671"/>
      <c r="O29" s="671"/>
      <c r="P29" s="671"/>
      <c r="Q29" s="671"/>
      <c r="R29" s="671"/>
      <c r="S29" s="671"/>
      <c r="T29" s="671"/>
      <c r="U29" s="671"/>
      <c r="V29" s="672"/>
      <c r="W29" s="672">
        <f>W27</f>
        <v>195.56026412750296</v>
      </c>
      <c r="X29" s="672">
        <f>X27</f>
        <v>1.2218380210726456</v>
      </c>
      <c r="Y29" s="671">
        <f>Y27</f>
        <v>35.509585207400512</v>
      </c>
      <c r="Z29" s="678">
        <v>0</v>
      </c>
      <c r="AA29" s="704">
        <f>SUM(AB29:AG29)</f>
        <v>0</v>
      </c>
      <c r="AB29" s="676"/>
      <c r="AC29" s="671"/>
      <c r="AD29" s="671"/>
      <c r="AE29" s="671"/>
      <c r="AF29" s="671"/>
      <c r="AG29" s="671"/>
      <c r="AH29" s="670"/>
      <c r="AI29" s="672"/>
      <c r="AJ29" s="678"/>
      <c r="AK29" s="678"/>
      <c r="AL29" s="704"/>
      <c r="AM29" s="274">
        <f t="shared" ref="AM29:AM62" si="12">C29+H29+L29+Z29+AA29+AJ29+AK29+AL29</f>
        <v>232.29168735597611</v>
      </c>
      <c r="AO29" s="296"/>
    </row>
    <row r="30" spans="1:41" s="255" customFormat="1" ht="12.75" customHeight="1" thickBot="1">
      <c r="A30" s="252" t="s">
        <v>325</v>
      </c>
      <c r="B30" s="253"/>
      <c r="C30" s="623">
        <f>C31+C45+C56+C57+C60+C61</f>
        <v>260.60987477319378</v>
      </c>
      <c r="D30" s="628">
        <f t="shared" ref="D30:AL30" si="13">D31+D45+D56+D57+D60+D61</f>
        <v>182.95234745162335</v>
      </c>
      <c r="E30" s="625">
        <f t="shared" si="13"/>
        <v>70.131951348544106</v>
      </c>
      <c r="F30" s="638">
        <f t="shared" si="13"/>
        <v>0</v>
      </c>
      <c r="G30" s="638">
        <f t="shared" si="13"/>
        <v>7.5255759730262914</v>
      </c>
      <c r="H30" s="626">
        <f t="shared" si="13"/>
        <v>197.36847005356</v>
      </c>
      <c r="I30" s="628">
        <f t="shared" si="13"/>
        <v>0.82966372355999995</v>
      </c>
      <c r="J30" s="705">
        <f t="shared" si="13"/>
        <v>127.70399999999999</v>
      </c>
      <c r="K30" s="628">
        <f t="shared" si="13"/>
        <v>68.834806329999992</v>
      </c>
      <c r="L30" s="626">
        <f t="shared" si="13"/>
        <v>7064.8482904861212</v>
      </c>
      <c r="M30" s="625">
        <f t="shared" si="13"/>
        <v>0</v>
      </c>
      <c r="N30" s="625">
        <f t="shared" si="13"/>
        <v>0</v>
      </c>
      <c r="O30" s="625">
        <f t="shared" si="13"/>
        <v>821.48002832197108</v>
      </c>
      <c r="P30" s="625">
        <f t="shared" si="13"/>
        <v>946.63395628256001</v>
      </c>
      <c r="Q30" s="625">
        <f t="shared" si="13"/>
        <v>1102.0673096951998</v>
      </c>
      <c r="R30" s="625">
        <f t="shared" si="13"/>
        <v>30.568237653241653</v>
      </c>
      <c r="S30" s="625">
        <f t="shared" si="13"/>
        <v>181.32381570558749</v>
      </c>
      <c r="T30" s="625">
        <f t="shared" si="13"/>
        <v>3838.1558666328419</v>
      </c>
      <c r="U30" s="625">
        <f t="shared" si="13"/>
        <v>144.61907619471961</v>
      </c>
      <c r="V30" s="638">
        <f t="shared" si="13"/>
        <v>0</v>
      </c>
      <c r="W30" s="638">
        <f t="shared" si="13"/>
        <v>0</v>
      </c>
      <c r="X30" s="638">
        <f t="shared" si="13"/>
        <v>0</v>
      </c>
      <c r="Y30" s="628">
        <f t="shared" si="13"/>
        <v>0</v>
      </c>
      <c r="Z30" s="699">
        <f t="shared" si="13"/>
        <v>1948.4940140158224</v>
      </c>
      <c r="AA30" s="624">
        <f t="shared" si="13"/>
        <v>463.87782848328834</v>
      </c>
      <c r="AB30" s="639">
        <f t="shared" si="13"/>
        <v>0</v>
      </c>
      <c r="AC30" s="625">
        <f t="shared" si="13"/>
        <v>0</v>
      </c>
      <c r="AD30" s="625">
        <f t="shared" si="13"/>
        <v>242.05204627234301</v>
      </c>
      <c r="AE30" s="625">
        <f t="shared" si="13"/>
        <v>0</v>
      </c>
      <c r="AF30" s="625">
        <f t="shared" si="13"/>
        <v>9.7770611234061491</v>
      </c>
      <c r="AG30" s="625">
        <f t="shared" si="13"/>
        <v>154.23960204369604</v>
      </c>
      <c r="AH30" s="624">
        <f t="shared" si="13"/>
        <v>13.546085603665619</v>
      </c>
      <c r="AI30" s="624">
        <f t="shared" si="13"/>
        <v>44.263033440177495</v>
      </c>
      <c r="AJ30" s="624">
        <f t="shared" si="13"/>
        <v>54.722939604974094</v>
      </c>
      <c r="AK30" s="626">
        <f t="shared" si="13"/>
        <v>2334.0556267002485</v>
      </c>
      <c r="AL30" s="624">
        <f t="shared" si="13"/>
        <v>0</v>
      </c>
      <c r="AM30" s="285">
        <f t="shared" si="12"/>
        <v>12323.977044117206</v>
      </c>
      <c r="AN30" s="245"/>
      <c r="AO30" s="321"/>
    </row>
    <row r="31" spans="1:41" s="290" customFormat="1" ht="12.75" customHeight="1">
      <c r="A31" s="288" t="s">
        <v>326</v>
      </c>
      <c r="B31" s="289"/>
      <c r="C31" s="706">
        <f>SUM(C32:C44)</f>
        <v>105.42454930000001</v>
      </c>
      <c r="D31" s="707">
        <v>105.4245493</v>
      </c>
      <c r="E31" s="707">
        <v>0</v>
      </c>
      <c r="F31" s="708"/>
      <c r="G31" s="708"/>
      <c r="H31" s="709">
        <f t="shared" ref="H31:N31" si="14">SUM(H32:H44)</f>
        <v>0.82966372355999995</v>
      </c>
      <c r="I31" s="710">
        <f t="shared" si="14"/>
        <v>0.82966372355999995</v>
      </c>
      <c r="J31" s="711">
        <f t="shared" si="14"/>
        <v>0</v>
      </c>
      <c r="K31" s="707">
        <f t="shared" si="14"/>
        <v>0</v>
      </c>
      <c r="L31" s="709">
        <f t="shared" si="14"/>
        <v>515.57312076608696</v>
      </c>
      <c r="M31" s="707">
        <f t="shared" si="14"/>
        <v>0</v>
      </c>
      <c r="N31" s="707">
        <f t="shared" si="14"/>
        <v>0</v>
      </c>
      <c r="O31" s="707">
        <v>0</v>
      </c>
      <c r="P31" s="707">
        <v>94.663395628256012</v>
      </c>
      <c r="Q31" s="707">
        <f>SUM(Q32:Q44)</f>
        <v>0</v>
      </c>
      <c r="R31" s="707">
        <v>29.321232722679056</v>
      </c>
      <c r="S31" s="707">
        <v>126.43007128347482</v>
      </c>
      <c r="T31" s="707">
        <v>124.05002195842548</v>
      </c>
      <c r="U31" s="707">
        <v>141.10839917325163</v>
      </c>
      <c r="V31" s="708">
        <f>SUM(V32:V44)</f>
        <v>0</v>
      </c>
      <c r="W31" s="708">
        <f>SUM(W32:W44)</f>
        <v>0</v>
      </c>
      <c r="X31" s="708">
        <f>SUM(X32:X44)</f>
        <v>0</v>
      </c>
      <c r="Y31" s="707">
        <f>SUM(Y32:Y44)</f>
        <v>0</v>
      </c>
      <c r="Z31" s="709">
        <v>789.72423233353879</v>
      </c>
      <c r="AA31" s="712">
        <f>SUM(AA32:AA44)</f>
        <v>198.35341364492615</v>
      </c>
      <c r="AB31" s="713">
        <f>SUM(AB32:AB44)</f>
        <v>0</v>
      </c>
      <c r="AC31" s="707">
        <f>SUM(AC32:AC44)</f>
        <v>0</v>
      </c>
      <c r="AD31" s="707">
        <f>SUM(AD32:AD44)</f>
        <v>196.11790789019597</v>
      </c>
      <c r="AE31" s="707"/>
      <c r="AF31" s="707">
        <f>SUM(AF32:AF44)</f>
        <v>2.2355057547301662</v>
      </c>
      <c r="AG31" s="707">
        <f>SUM(AG32:AG44)</f>
        <v>0</v>
      </c>
      <c r="AH31" s="712">
        <f>SUM(AH32:AH44)</f>
        <v>0</v>
      </c>
      <c r="AI31" s="707">
        <f>SUM(AI32:AI44)</f>
        <v>0</v>
      </c>
      <c r="AJ31" s="709">
        <f>SUM(AJ32:AJ44)</f>
        <v>54.722939604974094</v>
      </c>
      <c r="AK31" s="709">
        <v>936.28275789094528</v>
      </c>
      <c r="AL31" s="712">
        <f>SUM(AL32:AL44)</f>
        <v>0</v>
      </c>
      <c r="AM31" s="259">
        <f t="shared" si="12"/>
        <v>2600.9106772640312</v>
      </c>
      <c r="AN31" s="245"/>
      <c r="AO31" s="342"/>
    </row>
    <row r="32" spans="1:41" ht="12.75" customHeight="1">
      <c r="A32" s="291" t="s">
        <v>327</v>
      </c>
      <c r="B32" s="292" t="s">
        <v>328</v>
      </c>
      <c r="C32" s="714">
        <f t="shared" ref="C32:C44" si="15">SUM(D32:G32)</f>
        <v>0</v>
      </c>
      <c r="D32" s="649">
        <v>0</v>
      </c>
      <c r="E32" s="649"/>
      <c r="F32" s="715"/>
      <c r="G32" s="715"/>
      <c r="H32" s="716">
        <f t="shared" ref="H32:H44" si="16">SUM(I32:K32)</f>
        <v>0</v>
      </c>
      <c r="I32" s="717"/>
      <c r="J32" s="718"/>
      <c r="K32" s="649"/>
      <c r="L32" s="293">
        <f t="shared" ref="L32:L44" si="17">SUM(M32:Y32)</f>
        <v>33.639134861596197</v>
      </c>
      <c r="M32" s="649"/>
      <c r="N32" s="649"/>
      <c r="O32" s="649"/>
      <c r="P32" s="649">
        <v>2.9872785510101791</v>
      </c>
      <c r="Q32" s="649"/>
      <c r="R32" s="649">
        <v>0.89247079050168787</v>
      </c>
      <c r="S32" s="649">
        <v>0.21512334429923258</v>
      </c>
      <c r="T32" s="649">
        <v>29.544262175785097</v>
      </c>
      <c r="U32" s="649">
        <v>0</v>
      </c>
      <c r="V32" s="715"/>
      <c r="W32" s="715"/>
      <c r="X32" s="715"/>
      <c r="Y32" s="649"/>
      <c r="Z32" s="294">
        <v>12.651334090576015</v>
      </c>
      <c r="AA32" s="719">
        <f t="shared" ref="AA32:AA44" si="18">SUM(AB32:AI32)</f>
        <v>0</v>
      </c>
      <c r="AB32" s="720"/>
      <c r="AC32" s="649"/>
      <c r="AD32" s="649"/>
      <c r="AE32" s="649"/>
      <c r="AF32" s="649"/>
      <c r="AG32" s="649"/>
      <c r="AH32" s="682"/>
      <c r="AI32" s="649"/>
      <c r="AJ32" s="648"/>
      <c r="AK32" s="294">
        <v>67.441767724292603</v>
      </c>
      <c r="AL32" s="719"/>
      <c r="AM32" s="262">
        <f t="shared" si="12"/>
        <v>113.73223667646482</v>
      </c>
    </row>
    <row r="33" spans="1:41" ht="12.75" customHeight="1">
      <c r="A33" s="297" t="s">
        <v>329</v>
      </c>
      <c r="B33" s="298" t="s">
        <v>330</v>
      </c>
      <c r="C33" s="602">
        <f t="shared" si="15"/>
        <v>18.505496800000003</v>
      </c>
      <c r="D33" s="649">
        <v>18.505496800000003</v>
      </c>
      <c r="E33" s="609"/>
      <c r="F33" s="605"/>
      <c r="G33" s="605"/>
      <c r="H33" s="606">
        <f t="shared" si="16"/>
        <v>0.82966372355999995</v>
      </c>
      <c r="I33" s="607">
        <v>0.82966372355999995</v>
      </c>
      <c r="J33" s="608"/>
      <c r="K33" s="609"/>
      <c r="L33" s="299">
        <f t="shared" si="17"/>
        <v>136.37317803157953</v>
      </c>
      <c r="M33" s="609"/>
      <c r="N33" s="609"/>
      <c r="O33" s="649"/>
      <c r="P33" s="649">
        <v>55.612421136590243</v>
      </c>
      <c r="Q33" s="609"/>
      <c r="R33" s="649">
        <v>16.614607779613237</v>
      </c>
      <c r="S33" s="649">
        <v>36.050508826919781</v>
      </c>
      <c r="T33" s="649">
        <v>28.095640288456277</v>
      </c>
      <c r="U33" s="649">
        <v>0</v>
      </c>
      <c r="V33" s="605"/>
      <c r="W33" s="605"/>
      <c r="X33" s="605"/>
      <c r="Y33" s="609"/>
      <c r="Z33" s="300">
        <v>111.23553213326231</v>
      </c>
      <c r="AA33" s="610">
        <f t="shared" si="18"/>
        <v>26.063524749810167</v>
      </c>
      <c r="AB33" s="611"/>
      <c r="AC33" s="609"/>
      <c r="AD33" s="609">
        <v>23.828018995080001</v>
      </c>
      <c r="AE33" s="649"/>
      <c r="AF33" s="649">
        <v>2.2355057547301662</v>
      </c>
      <c r="AG33" s="649"/>
      <c r="AH33" s="721"/>
      <c r="AI33" s="609"/>
      <c r="AJ33" s="612"/>
      <c r="AK33" s="300">
        <v>200.4888239822395</v>
      </c>
      <c r="AL33" s="610"/>
      <c r="AM33" s="248">
        <f t="shared" si="12"/>
        <v>493.49621942045144</v>
      </c>
    </row>
    <row r="34" spans="1:41" ht="12.75" customHeight="1">
      <c r="A34" s="301" t="s">
        <v>331</v>
      </c>
      <c r="B34" s="302" t="s">
        <v>332</v>
      </c>
      <c r="C34" s="602">
        <f t="shared" si="15"/>
        <v>0</v>
      </c>
      <c r="D34" s="649">
        <v>0</v>
      </c>
      <c r="E34" s="609"/>
      <c r="F34" s="605"/>
      <c r="G34" s="605"/>
      <c r="H34" s="606">
        <f t="shared" si="16"/>
        <v>0</v>
      </c>
      <c r="I34" s="607"/>
      <c r="J34" s="608"/>
      <c r="K34" s="609"/>
      <c r="L34" s="299">
        <f t="shared" si="17"/>
        <v>2.5106544550385581</v>
      </c>
      <c r="M34" s="609"/>
      <c r="N34" s="609"/>
      <c r="O34" s="649"/>
      <c r="P34" s="649">
        <v>1.2308100467681424</v>
      </c>
      <c r="Q34" s="609"/>
      <c r="R34" s="649">
        <v>0.36771328707365675</v>
      </c>
      <c r="S34" s="649">
        <v>5.551570175464067E-2</v>
      </c>
      <c r="T34" s="649">
        <v>0.85661541944211816</v>
      </c>
      <c r="U34" s="649">
        <v>0</v>
      </c>
      <c r="V34" s="605"/>
      <c r="W34" s="605"/>
      <c r="X34" s="605"/>
      <c r="Y34" s="609"/>
      <c r="Z34" s="300">
        <v>1.212219083963938</v>
      </c>
      <c r="AA34" s="610">
        <f t="shared" si="18"/>
        <v>0</v>
      </c>
      <c r="AB34" s="611"/>
      <c r="AC34" s="609"/>
      <c r="AD34" s="609"/>
      <c r="AE34" s="649"/>
      <c r="AF34" s="649"/>
      <c r="AG34" s="649"/>
      <c r="AH34" s="721"/>
      <c r="AI34" s="609"/>
      <c r="AJ34" s="612"/>
      <c r="AK34" s="300">
        <v>11.998516778957701</v>
      </c>
      <c r="AL34" s="610"/>
      <c r="AM34" s="248">
        <f t="shared" si="12"/>
        <v>15.721390317960196</v>
      </c>
    </row>
    <row r="35" spans="1:41" ht="12.75" customHeight="1">
      <c r="A35" s="301" t="s">
        <v>333</v>
      </c>
      <c r="B35" s="302" t="s">
        <v>334</v>
      </c>
      <c r="C35" s="602">
        <f t="shared" si="15"/>
        <v>0</v>
      </c>
      <c r="D35" s="649">
        <v>0</v>
      </c>
      <c r="E35" s="609"/>
      <c r="F35" s="605"/>
      <c r="G35" s="605"/>
      <c r="H35" s="606">
        <f t="shared" si="16"/>
        <v>0</v>
      </c>
      <c r="I35" s="607"/>
      <c r="J35" s="608"/>
      <c r="K35" s="609"/>
      <c r="L35" s="299">
        <f t="shared" si="17"/>
        <v>2.6786305315985559</v>
      </c>
      <c r="M35" s="609"/>
      <c r="N35" s="609"/>
      <c r="O35" s="649"/>
      <c r="P35" s="649">
        <v>0.43430927431532101</v>
      </c>
      <c r="Q35" s="609"/>
      <c r="R35" s="649">
        <v>0.12975299582937627</v>
      </c>
      <c r="S35" s="649">
        <v>0.29145743421186349</v>
      </c>
      <c r="T35" s="649">
        <v>1.8231108272419951</v>
      </c>
      <c r="U35" s="649">
        <v>0</v>
      </c>
      <c r="V35" s="605"/>
      <c r="W35" s="605"/>
      <c r="X35" s="605"/>
      <c r="Y35" s="609"/>
      <c r="Z35" s="300">
        <v>2.1627527783737563</v>
      </c>
      <c r="AA35" s="610">
        <f t="shared" si="18"/>
        <v>129.37121058215999</v>
      </c>
      <c r="AB35" s="611"/>
      <c r="AC35" s="609"/>
      <c r="AD35" s="609">
        <v>129.37121058215999</v>
      </c>
      <c r="AE35" s="649"/>
      <c r="AF35" s="649"/>
      <c r="AG35" s="649"/>
      <c r="AH35" s="721"/>
      <c r="AI35" s="609"/>
      <c r="AJ35" s="612"/>
      <c r="AK35" s="300">
        <v>40.3299761469967</v>
      </c>
      <c r="AL35" s="610"/>
      <c r="AM35" s="248">
        <f t="shared" si="12"/>
        <v>174.542570039129</v>
      </c>
    </row>
    <row r="36" spans="1:41" ht="12.75" customHeight="1">
      <c r="A36" s="301" t="s">
        <v>335</v>
      </c>
      <c r="B36" s="302" t="s">
        <v>336</v>
      </c>
      <c r="C36" s="602">
        <f t="shared" si="15"/>
        <v>0</v>
      </c>
      <c r="D36" s="649">
        <v>0</v>
      </c>
      <c r="E36" s="609"/>
      <c r="F36" s="605"/>
      <c r="G36" s="605"/>
      <c r="H36" s="606">
        <f t="shared" si="16"/>
        <v>0</v>
      </c>
      <c r="I36" s="607"/>
      <c r="J36" s="608"/>
      <c r="K36" s="609"/>
      <c r="L36" s="299">
        <f t="shared" si="17"/>
        <v>2.916718912628498</v>
      </c>
      <c r="M36" s="609"/>
      <c r="N36" s="609"/>
      <c r="O36" s="649"/>
      <c r="P36" s="649">
        <v>1.0064436319926997</v>
      </c>
      <c r="Q36" s="609"/>
      <c r="R36" s="649">
        <v>0.30068221911752141</v>
      </c>
      <c r="S36" s="649">
        <v>0.27757850877320334</v>
      </c>
      <c r="T36" s="649">
        <v>1.3320145527450737</v>
      </c>
      <c r="U36" s="649">
        <v>0</v>
      </c>
      <c r="V36" s="605"/>
      <c r="W36" s="605"/>
      <c r="X36" s="605"/>
      <c r="Y36" s="609"/>
      <c r="Z36" s="300">
        <v>3.5770083763316833</v>
      </c>
      <c r="AA36" s="610">
        <f t="shared" si="18"/>
        <v>0</v>
      </c>
      <c r="AB36" s="611"/>
      <c r="AC36" s="609"/>
      <c r="AD36" s="609"/>
      <c r="AE36" s="649"/>
      <c r="AF36" s="649"/>
      <c r="AG36" s="649"/>
      <c r="AH36" s="721"/>
      <c r="AI36" s="609"/>
      <c r="AJ36" s="612"/>
      <c r="AK36" s="300">
        <v>22.01123577046986</v>
      </c>
      <c r="AL36" s="610"/>
      <c r="AM36" s="248">
        <f t="shared" si="12"/>
        <v>28.50496305943004</v>
      </c>
    </row>
    <row r="37" spans="1:41" ht="12.75" customHeight="1">
      <c r="A37" s="301" t="s">
        <v>337</v>
      </c>
      <c r="B37" s="302" t="s">
        <v>338</v>
      </c>
      <c r="C37" s="602">
        <f t="shared" si="15"/>
        <v>0</v>
      </c>
      <c r="D37" s="649">
        <v>0</v>
      </c>
      <c r="E37" s="609"/>
      <c r="F37" s="605"/>
      <c r="G37" s="605"/>
      <c r="H37" s="606">
        <f t="shared" si="16"/>
        <v>0</v>
      </c>
      <c r="I37" s="607"/>
      <c r="J37" s="608"/>
      <c r="K37" s="609"/>
      <c r="L37" s="299">
        <f t="shared" si="17"/>
        <v>28.334981145867548</v>
      </c>
      <c r="M37" s="609"/>
      <c r="N37" s="609"/>
      <c r="O37" s="649"/>
      <c r="P37" s="649">
        <v>13.229605385509133</v>
      </c>
      <c r="Q37" s="609"/>
      <c r="R37" s="649">
        <v>3.9524390426992668</v>
      </c>
      <c r="S37" s="649">
        <v>3.2684869408044692</v>
      </c>
      <c r="T37" s="649">
        <v>7.8844497768546802</v>
      </c>
      <c r="U37" s="649">
        <v>0</v>
      </c>
      <c r="V37" s="605"/>
      <c r="W37" s="605"/>
      <c r="X37" s="605"/>
      <c r="Y37" s="609"/>
      <c r="Z37" s="303">
        <v>68.682793971575805</v>
      </c>
      <c r="AA37" s="610">
        <f t="shared" si="18"/>
        <v>0</v>
      </c>
      <c r="AB37" s="611"/>
      <c r="AC37" s="609"/>
      <c r="AD37" s="609">
        <v>0</v>
      </c>
      <c r="AE37" s="649"/>
      <c r="AF37" s="649"/>
      <c r="AG37" s="649"/>
      <c r="AH37" s="722"/>
      <c r="AI37" s="609"/>
      <c r="AJ37" s="723"/>
      <c r="AK37" s="303">
        <v>170.83024325379245</v>
      </c>
      <c r="AL37" s="610"/>
      <c r="AM37" s="248">
        <f t="shared" si="12"/>
        <v>267.84801837123581</v>
      </c>
    </row>
    <row r="38" spans="1:41" ht="12.75" customHeight="1">
      <c r="A38" s="301" t="s">
        <v>339</v>
      </c>
      <c r="B38" s="302" t="s">
        <v>340</v>
      </c>
      <c r="C38" s="602">
        <f t="shared" si="15"/>
        <v>0</v>
      </c>
      <c r="D38" s="649">
        <v>0</v>
      </c>
      <c r="E38" s="609"/>
      <c r="F38" s="605"/>
      <c r="G38" s="605"/>
      <c r="H38" s="606">
        <f t="shared" si="16"/>
        <v>0</v>
      </c>
      <c r="I38" s="607"/>
      <c r="J38" s="608"/>
      <c r="K38" s="609"/>
      <c r="L38" s="299">
        <f t="shared" si="17"/>
        <v>10.093508126388487</v>
      </c>
      <c r="M38" s="609"/>
      <c r="N38" s="609"/>
      <c r="O38" s="649"/>
      <c r="P38" s="649">
        <v>8.4938714164988993E-2</v>
      </c>
      <c r="Q38" s="609"/>
      <c r="R38" s="649">
        <v>2.5376047154822671E-2</v>
      </c>
      <c r="S38" s="649">
        <v>6.5230949561702776</v>
      </c>
      <c r="T38" s="649">
        <v>3.4600984088983981</v>
      </c>
      <c r="U38" s="649">
        <v>0</v>
      </c>
      <c r="V38" s="605"/>
      <c r="W38" s="605"/>
      <c r="X38" s="605"/>
      <c r="Y38" s="609"/>
      <c r="Z38" s="300">
        <v>4.7507443147729562</v>
      </c>
      <c r="AA38" s="610">
        <f t="shared" si="18"/>
        <v>0</v>
      </c>
      <c r="AB38" s="611"/>
      <c r="AC38" s="609"/>
      <c r="AD38" s="609"/>
      <c r="AE38" s="649"/>
      <c r="AF38" s="649"/>
      <c r="AG38" s="649"/>
      <c r="AH38" s="721"/>
      <c r="AI38" s="609"/>
      <c r="AJ38" s="612"/>
      <c r="AK38" s="300">
        <v>41.304035778505472</v>
      </c>
      <c r="AL38" s="610"/>
      <c r="AM38" s="248">
        <f t="shared" si="12"/>
        <v>56.148288219666917</v>
      </c>
    </row>
    <row r="39" spans="1:41" ht="12.75" customHeight="1">
      <c r="A39" s="301" t="s">
        <v>341</v>
      </c>
      <c r="B39" s="302" t="s">
        <v>342</v>
      </c>
      <c r="C39" s="602">
        <f t="shared" si="15"/>
        <v>86.919052500000006</v>
      </c>
      <c r="D39" s="607">
        <v>86.919052500000006</v>
      </c>
      <c r="E39" s="609"/>
      <c r="F39" s="605"/>
      <c r="G39" s="605"/>
      <c r="H39" s="606">
        <f t="shared" si="16"/>
        <v>0</v>
      </c>
      <c r="I39" s="607"/>
      <c r="J39" s="608"/>
      <c r="K39" s="609"/>
      <c r="L39" s="299">
        <f t="shared" si="17"/>
        <v>193.30293553297051</v>
      </c>
      <c r="M39" s="609"/>
      <c r="N39" s="609"/>
      <c r="O39" s="649"/>
      <c r="P39" s="607">
        <v>8.9570278012853475</v>
      </c>
      <c r="Q39" s="609"/>
      <c r="R39" s="607">
        <v>2.6759759914774315</v>
      </c>
      <c r="S39" s="607">
        <v>1.4711660964979776</v>
      </c>
      <c r="T39" s="607">
        <v>39.090366470458122</v>
      </c>
      <c r="U39" s="607">
        <v>141.10839917325163</v>
      </c>
      <c r="V39" s="605"/>
      <c r="W39" s="605"/>
      <c r="X39" s="605"/>
      <c r="Y39" s="609"/>
      <c r="Z39" s="300">
        <v>17.906207611695887</v>
      </c>
      <c r="AA39" s="610">
        <f t="shared" si="18"/>
        <v>42.918678312955997</v>
      </c>
      <c r="AB39" s="611"/>
      <c r="AC39" s="609"/>
      <c r="AD39" s="609">
        <v>42.918678312955997</v>
      </c>
      <c r="AE39" s="649"/>
      <c r="AF39" s="649"/>
      <c r="AG39" s="649"/>
      <c r="AH39" s="721"/>
      <c r="AI39" s="609"/>
      <c r="AJ39" s="612">
        <v>54.722939604974094</v>
      </c>
      <c r="AK39" s="300">
        <v>59.811168777172263</v>
      </c>
      <c r="AL39" s="610"/>
      <c r="AM39" s="248">
        <f t="shared" si="12"/>
        <v>455.58098233976875</v>
      </c>
    </row>
    <row r="40" spans="1:41" ht="12.75" customHeight="1">
      <c r="A40" s="301" t="s">
        <v>343</v>
      </c>
      <c r="B40" s="302" t="s">
        <v>344</v>
      </c>
      <c r="C40" s="602">
        <f t="shared" si="15"/>
        <v>0</v>
      </c>
      <c r="D40" s="649">
        <v>0</v>
      </c>
      <c r="E40" s="609"/>
      <c r="F40" s="605"/>
      <c r="G40" s="605"/>
      <c r="H40" s="606">
        <f t="shared" si="16"/>
        <v>0</v>
      </c>
      <c r="I40" s="607"/>
      <c r="J40" s="608"/>
      <c r="K40" s="609"/>
      <c r="L40" s="299">
        <f t="shared" si="17"/>
        <v>9.5454998465741827</v>
      </c>
      <c r="M40" s="609"/>
      <c r="N40" s="609"/>
      <c r="O40" s="649"/>
      <c r="P40" s="649">
        <v>0</v>
      </c>
      <c r="Q40" s="609"/>
      <c r="R40" s="649">
        <v>1.0398675653004681</v>
      </c>
      <c r="S40" s="649">
        <v>6.0165141776591833</v>
      </c>
      <c r="T40" s="649">
        <v>2.4891181036145316</v>
      </c>
      <c r="U40" s="649">
        <v>0</v>
      </c>
      <c r="V40" s="605"/>
      <c r="W40" s="605"/>
      <c r="X40" s="605"/>
      <c r="Y40" s="609"/>
      <c r="Z40" s="300">
        <v>422.29485551224087</v>
      </c>
      <c r="AA40" s="610">
        <f t="shared" si="18"/>
        <v>0</v>
      </c>
      <c r="AB40" s="611"/>
      <c r="AC40" s="609"/>
      <c r="AD40" s="609"/>
      <c r="AE40" s="649"/>
      <c r="AF40" s="649"/>
      <c r="AG40" s="649"/>
      <c r="AH40" s="721"/>
      <c r="AI40" s="609"/>
      <c r="AJ40" s="612"/>
      <c r="AK40" s="300">
        <v>70.833566297205223</v>
      </c>
      <c r="AL40" s="610"/>
      <c r="AM40" s="248">
        <f t="shared" si="12"/>
        <v>502.67392165602024</v>
      </c>
    </row>
    <row r="41" spans="1:41" ht="12.75" customHeight="1">
      <c r="A41" s="301" t="s">
        <v>345</v>
      </c>
      <c r="B41" s="302" t="s">
        <v>346</v>
      </c>
      <c r="C41" s="602">
        <f t="shared" si="15"/>
        <v>0</v>
      </c>
      <c r="D41" s="649">
        <v>0</v>
      </c>
      <c r="E41" s="609"/>
      <c r="F41" s="605"/>
      <c r="G41" s="605"/>
      <c r="H41" s="606">
        <f t="shared" si="16"/>
        <v>0</v>
      </c>
      <c r="I41" s="607"/>
      <c r="J41" s="608"/>
      <c r="K41" s="609"/>
      <c r="L41" s="299">
        <f t="shared" si="17"/>
        <v>5.708883992955986</v>
      </c>
      <c r="M41" s="609"/>
      <c r="N41" s="609"/>
      <c r="O41" s="649"/>
      <c r="P41" s="649">
        <v>0.46315638478644938</v>
      </c>
      <c r="Q41" s="609"/>
      <c r="R41" s="649">
        <v>0.13837127599516511</v>
      </c>
      <c r="S41" s="649">
        <v>2.46350926536218</v>
      </c>
      <c r="T41" s="649">
        <v>2.6438470668121914</v>
      </c>
      <c r="U41" s="649">
        <v>0</v>
      </c>
      <c r="V41" s="605"/>
      <c r="W41" s="605"/>
      <c r="X41" s="605"/>
      <c r="Y41" s="609"/>
      <c r="Z41" s="300">
        <v>5.8051825020939676</v>
      </c>
      <c r="AA41" s="610">
        <f t="shared" si="18"/>
        <v>0</v>
      </c>
      <c r="AB41" s="611"/>
      <c r="AC41" s="609"/>
      <c r="AD41" s="609"/>
      <c r="AE41" s="649"/>
      <c r="AF41" s="649"/>
      <c r="AG41" s="649"/>
      <c r="AH41" s="721"/>
      <c r="AI41" s="609"/>
      <c r="AJ41" s="612"/>
      <c r="AK41" s="300">
        <v>23.962146035296893</v>
      </c>
      <c r="AL41" s="610"/>
      <c r="AM41" s="248">
        <f t="shared" si="12"/>
        <v>35.476212530346842</v>
      </c>
    </row>
    <row r="42" spans="1:41" ht="12.75" customHeight="1">
      <c r="A42" s="301" t="s">
        <v>347</v>
      </c>
      <c r="B42" s="302" t="s">
        <v>348</v>
      </c>
      <c r="C42" s="602">
        <f t="shared" si="15"/>
        <v>0</v>
      </c>
      <c r="D42" s="649">
        <v>0</v>
      </c>
      <c r="E42" s="609"/>
      <c r="F42" s="605"/>
      <c r="G42" s="605"/>
      <c r="H42" s="606">
        <f t="shared" si="16"/>
        <v>0</v>
      </c>
      <c r="I42" s="607"/>
      <c r="J42" s="608"/>
      <c r="K42" s="609"/>
      <c r="L42" s="299">
        <f t="shared" si="17"/>
        <v>45.56990540482289</v>
      </c>
      <c r="M42" s="609"/>
      <c r="N42" s="609"/>
      <c r="O42" s="649"/>
      <c r="P42" s="649">
        <v>0.38302552236664844</v>
      </c>
      <c r="Q42" s="609"/>
      <c r="R42" s="649">
        <v>0.11443160886797392</v>
      </c>
      <c r="S42" s="649">
        <v>43.552068026515606</v>
      </c>
      <c r="T42" s="649">
        <v>1.5203802470726597</v>
      </c>
      <c r="U42" s="649">
        <v>0</v>
      </c>
      <c r="V42" s="605"/>
      <c r="W42" s="605"/>
      <c r="X42" s="605"/>
      <c r="Y42" s="609"/>
      <c r="Z42" s="303">
        <v>130.62718916213302</v>
      </c>
      <c r="AA42" s="610">
        <f t="shared" si="18"/>
        <v>0</v>
      </c>
      <c r="AB42" s="611"/>
      <c r="AC42" s="609"/>
      <c r="AD42" s="609"/>
      <c r="AE42" s="649"/>
      <c r="AF42" s="649"/>
      <c r="AG42" s="649"/>
      <c r="AH42" s="722"/>
      <c r="AI42" s="609"/>
      <c r="AJ42" s="723"/>
      <c r="AK42" s="303">
        <v>116.09451126716088</v>
      </c>
      <c r="AL42" s="610"/>
      <c r="AM42" s="248">
        <f t="shared" si="12"/>
        <v>292.29160583411681</v>
      </c>
    </row>
    <row r="43" spans="1:41" ht="12.75" customHeight="1">
      <c r="A43" s="301" t="s">
        <v>349</v>
      </c>
      <c r="B43" s="302" t="s">
        <v>350</v>
      </c>
      <c r="C43" s="602">
        <f t="shared" si="15"/>
        <v>0</v>
      </c>
      <c r="D43" s="649">
        <v>0</v>
      </c>
      <c r="E43" s="609"/>
      <c r="F43" s="605"/>
      <c r="G43" s="605"/>
      <c r="H43" s="606">
        <f t="shared" si="16"/>
        <v>0</v>
      </c>
      <c r="I43" s="607"/>
      <c r="J43" s="608"/>
      <c r="K43" s="609"/>
      <c r="L43" s="299">
        <f t="shared" si="17"/>
        <v>5.0143612384070462</v>
      </c>
      <c r="M43" s="609"/>
      <c r="N43" s="609"/>
      <c r="O43" s="649"/>
      <c r="P43" s="649">
        <v>0.2996894254500555</v>
      </c>
      <c r="Q43" s="609"/>
      <c r="R43" s="649">
        <v>8.9534355055695083E-2</v>
      </c>
      <c r="S43" s="649">
        <v>3.9277358991408273</v>
      </c>
      <c r="T43" s="649">
        <v>0.69740155876046783</v>
      </c>
      <c r="U43" s="649">
        <v>0</v>
      </c>
      <c r="V43" s="605"/>
      <c r="W43" s="605"/>
      <c r="X43" s="605"/>
      <c r="Y43" s="609"/>
      <c r="Z43" s="304">
        <v>1.9741853653126986</v>
      </c>
      <c r="AA43" s="610">
        <f t="shared" si="18"/>
        <v>0</v>
      </c>
      <c r="AB43" s="611"/>
      <c r="AC43" s="609"/>
      <c r="AD43" s="609"/>
      <c r="AE43" s="649"/>
      <c r="AF43" s="649"/>
      <c r="AG43" s="649"/>
      <c r="AH43" s="686"/>
      <c r="AI43" s="609"/>
      <c r="AJ43" s="691"/>
      <c r="AK43" s="304">
        <v>19.85937337536021</v>
      </c>
      <c r="AL43" s="610"/>
      <c r="AM43" s="248">
        <f t="shared" si="12"/>
        <v>26.847919979079954</v>
      </c>
    </row>
    <row r="44" spans="1:41" ht="12.75" customHeight="1">
      <c r="A44" s="305" t="s">
        <v>351</v>
      </c>
      <c r="B44" s="306" t="s">
        <v>352</v>
      </c>
      <c r="C44" s="724">
        <f t="shared" si="15"/>
        <v>0</v>
      </c>
      <c r="D44" s="725">
        <v>0</v>
      </c>
      <c r="E44" s="725"/>
      <c r="F44" s="726"/>
      <c r="G44" s="726"/>
      <c r="H44" s="727">
        <f t="shared" si="16"/>
        <v>0</v>
      </c>
      <c r="I44" s="728"/>
      <c r="J44" s="729"/>
      <c r="K44" s="725">
        <v>0</v>
      </c>
      <c r="L44" s="307">
        <f t="shared" si="17"/>
        <v>39.884728685658985</v>
      </c>
      <c r="M44" s="725"/>
      <c r="N44" s="725"/>
      <c r="O44" s="649"/>
      <c r="P44" s="725">
        <v>9.9746897540168185</v>
      </c>
      <c r="Q44" s="725"/>
      <c r="R44" s="725">
        <v>2.9800097639927601</v>
      </c>
      <c r="S44" s="725">
        <v>22.317312105365545</v>
      </c>
      <c r="T44" s="725">
        <v>4.612717062283866</v>
      </c>
      <c r="U44" s="725">
        <v>0</v>
      </c>
      <c r="V44" s="726"/>
      <c r="W44" s="726"/>
      <c r="X44" s="726"/>
      <c r="Y44" s="725"/>
      <c r="Z44" s="308">
        <v>6.8442274312059155</v>
      </c>
      <c r="AA44" s="730">
        <f t="shared" si="18"/>
        <v>0</v>
      </c>
      <c r="AB44" s="731"/>
      <c r="AC44" s="725"/>
      <c r="AD44" s="725"/>
      <c r="AE44" s="688"/>
      <c r="AF44" s="688"/>
      <c r="AG44" s="688"/>
      <c r="AH44" s="732"/>
      <c r="AI44" s="725"/>
      <c r="AJ44" s="658"/>
      <c r="AK44" s="308">
        <v>91.317392703495614</v>
      </c>
      <c r="AL44" s="730"/>
      <c r="AM44" s="309">
        <f t="shared" si="12"/>
        <v>138.04634882036052</v>
      </c>
    </row>
    <row r="45" spans="1:41" s="255" customFormat="1" ht="12.75" customHeight="1">
      <c r="A45" s="266" t="s">
        <v>139</v>
      </c>
      <c r="B45" s="267"/>
      <c r="C45" s="733">
        <f t="shared" ref="C45:AL45" si="19">SUM(C46:C55)</f>
        <v>0</v>
      </c>
      <c r="D45" s="667">
        <f t="shared" si="19"/>
        <v>0</v>
      </c>
      <c r="E45" s="667">
        <f t="shared" si="19"/>
        <v>0</v>
      </c>
      <c r="F45" s="734">
        <f t="shared" si="19"/>
        <v>0</v>
      </c>
      <c r="G45" s="734">
        <f t="shared" si="19"/>
        <v>0</v>
      </c>
      <c r="H45" s="735">
        <f t="shared" si="19"/>
        <v>0</v>
      </c>
      <c r="I45" s="736">
        <f t="shared" si="19"/>
        <v>0</v>
      </c>
      <c r="J45" s="737">
        <f t="shared" si="19"/>
        <v>0</v>
      </c>
      <c r="K45" s="667">
        <f t="shared" si="19"/>
        <v>0</v>
      </c>
      <c r="L45" s="735">
        <f t="shared" si="19"/>
        <v>5019.924775938709</v>
      </c>
      <c r="M45" s="667">
        <f t="shared" si="19"/>
        <v>0</v>
      </c>
      <c r="N45" s="667">
        <f t="shared" si="19"/>
        <v>0</v>
      </c>
      <c r="O45" s="667">
        <f t="shared" si="19"/>
        <v>821.48002832197108</v>
      </c>
      <c r="P45" s="667">
        <f t="shared" si="19"/>
        <v>0</v>
      </c>
      <c r="Q45" s="667">
        <f t="shared" si="19"/>
        <v>1102.0673096951998</v>
      </c>
      <c r="R45" s="667">
        <f t="shared" si="19"/>
        <v>0</v>
      </c>
      <c r="S45" s="667">
        <f t="shared" si="19"/>
        <v>1.8520724281984335</v>
      </c>
      <c r="T45" s="667">
        <f>SUM(T46:T55)</f>
        <v>3094.5253654933399</v>
      </c>
      <c r="U45" s="667">
        <f t="shared" si="19"/>
        <v>0</v>
      </c>
      <c r="V45" s="734">
        <f t="shared" si="19"/>
        <v>0</v>
      </c>
      <c r="W45" s="734">
        <f t="shared" si="19"/>
        <v>0</v>
      </c>
      <c r="X45" s="734">
        <f t="shared" si="19"/>
        <v>0</v>
      </c>
      <c r="Y45" s="667">
        <f t="shared" si="19"/>
        <v>0</v>
      </c>
      <c r="Z45" s="735">
        <f t="shared" si="19"/>
        <v>22.560835415583806</v>
      </c>
      <c r="AA45" s="738">
        <f t="shared" si="19"/>
        <v>154.23960204369604</v>
      </c>
      <c r="AB45" s="739">
        <f t="shared" si="19"/>
        <v>0</v>
      </c>
      <c r="AC45" s="667">
        <f t="shared" si="19"/>
        <v>0</v>
      </c>
      <c r="AD45" s="667">
        <f t="shared" si="19"/>
        <v>0</v>
      </c>
      <c r="AE45" s="667">
        <f t="shared" si="19"/>
        <v>0</v>
      </c>
      <c r="AF45" s="667">
        <f t="shared" si="19"/>
        <v>0</v>
      </c>
      <c r="AG45" s="667">
        <f t="shared" si="19"/>
        <v>154.23960204369604</v>
      </c>
      <c r="AH45" s="738">
        <f t="shared" si="19"/>
        <v>0</v>
      </c>
      <c r="AI45" s="667">
        <f t="shared" si="19"/>
        <v>0</v>
      </c>
      <c r="AJ45" s="735">
        <f t="shared" si="19"/>
        <v>0</v>
      </c>
      <c r="AK45" s="735">
        <f t="shared" si="19"/>
        <v>5.1986846762489369</v>
      </c>
      <c r="AL45" s="738">
        <f t="shared" si="19"/>
        <v>0</v>
      </c>
      <c r="AM45" s="310">
        <f t="shared" si="12"/>
        <v>5201.9238980742384</v>
      </c>
      <c r="AN45" s="245"/>
      <c r="AO45" s="321"/>
    </row>
    <row r="46" spans="1:41" s="245" customFormat="1" ht="12.75" customHeight="1">
      <c r="A46" s="311" t="s">
        <v>353</v>
      </c>
      <c r="B46" s="261"/>
      <c r="C46" s="640">
        <f t="shared" ref="C46:C56" si="20">SUM(D46:G46)</f>
        <v>0</v>
      </c>
      <c r="D46" s="740"/>
      <c r="E46" s="681"/>
      <c r="F46" s="643"/>
      <c r="G46" s="643"/>
      <c r="H46" s="644">
        <f t="shared" ref="H46:H56" si="21">SUM(I46:K46)</f>
        <v>0</v>
      </c>
      <c r="I46" s="641"/>
      <c r="J46" s="645"/>
      <c r="K46" s="642"/>
      <c r="L46" s="644">
        <f t="shared" ref="L46:L56" si="22">SUM(M46:Y46)</f>
        <v>696.81086860411278</v>
      </c>
      <c r="M46" s="642"/>
      <c r="N46" s="642"/>
      <c r="O46" s="642"/>
      <c r="P46" s="642"/>
      <c r="Q46" s="642"/>
      <c r="R46" s="642"/>
      <c r="S46" s="642"/>
      <c r="T46" s="642">
        <v>696.81086860411278</v>
      </c>
      <c r="U46" s="642"/>
      <c r="V46" s="643"/>
      <c r="W46" s="643"/>
      <c r="X46" s="643"/>
      <c r="Y46" s="642"/>
      <c r="Z46" s="648"/>
      <c r="AA46" s="646">
        <f t="shared" ref="AA46:AA56" si="23">SUM(AB46:AI46)</f>
        <v>29.763125082569886</v>
      </c>
      <c r="AB46" s="647"/>
      <c r="AC46" s="642"/>
      <c r="AD46" s="642"/>
      <c r="AE46" s="642"/>
      <c r="AF46" s="642"/>
      <c r="AG46" s="642">
        <v>29.763125082569886</v>
      </c>
      <c r="AH46" s="682"/>
      <c r="AI46" s="642"/>
      <c r="AJ46" s="644"/>
      <c r="AK46" s="648"/>
      <c r="AL46" s="646"/>
      <c r="AM46" s="270">
        <f t="shared" si="12"/>
        <v>726.57399368668268</v>
      </c>
      <c r="AO46" s="296"/>
    </row>
    <row r="47" spans="1:41" s="245" customFormat="1" ht="12.75" customHeight="1">
      <c r="A47" s="312" t="s">
        <v>354</v>
      </c>
      <c r="B47" s="313"/>
      <c r="C47" s="714"/>
      <c r="D47" s="741"/>
      <c r="E47" s="742"/>
      <c r="F47" s="715"/>
      <c r="G47" s="715"/>
      <c r="H47" s="716"/>
      <c r="I47" s="717"/>
      <c r="J47" s="718"/>
      <c r="K47" s="649"/>
      <c r="L47" s="716">
        <f t="shared" si="22"/>
        <v>318.14346273201534</v>
      </c>
      <c r="M47" s="649"/>
      <c r="N47" s="649"/>
      <c r="O47" s="649"/>
      <c r="P47" s="649"/>
      <c r="Q47" s="649"/>
      <c r="R47" s="649"/>
      <c r="S47" s="649"/>
      <c r="T47" s="649">
        <v>318.14346273201534</v>
      </c>
      <c r="U47" s="649"/>
      <c r="V47" s="715"/>
      <c r="W47" s="715"/>
      <c r="X47" s="715"/>
      <c r="Y47" s="649"/>
      <c r="Z47" s="723">
        <v>2.9723185667999998E-2</v>
      </c>
      <c r="AA47" s="719">
        <f t="shared" si="23"/>
        <v>13.588972420111009</v>
      </c>
      <c r="AB47" s="720"/>
      <c r="AC47" s="649"/>
      <c r="AD47" s="649"/>
      <c r="AE47" s="649"/>
      <c r="AF47" s="649"/>
      <c r="AG47" s="649">
        <v>13.588972420111009</v>
      </c>
      <c r="AH47" s="722"/>
      <c r="AI47" s="649"/>
      <c r="AJ47" s="716"/>
      <c r="AK47" s="723"/>
      <c r="AL47" s="719"/>
      <c r="AM47" s="262">
        <f t="shared" si="12"/>
        <v>331.76215833779435</v>
      </c>
      <c r="AO47" s="296"/>
    </row>
    <row r="48" spans="1:41" s="245" customFormat="1" ht="12.75" customHeight="1">
      <c r="A48" s="314" t="s">
        <v>355</v>
      </c>
      <c r="B48" s="247"/>
      <c r="C48" s="602">
        <f t="shared" si="20"/>
        <v>0</v>
      </c>
      <c r="D48" s="603"/>
      <c r="E48" s="613"/>
      <c r="F48" s="605"/>
      <c r="G48" s="605"/>
      <c r="H48" s="606">
        <f t="shared" si="21"/>
        <v>0</v>
      </c>
      <c r="I48" s="607"/>
      <c r="J48" s="608"/>
      <c r="K48" s="609"/>
      <c r="L48" s="606">
        <f t="shared" si="22"/>
        <v>1979.3195171155053</v>
      </c>
      <c r="M48" s="609"/>
      <c r="N48" s="609"/>
      <c r="O48" s="609">
        <v>665.22585458348442</v>
      </c>
      <c r="P48" s="609"/>
      <c r="Q48" s="609"/>
      <c r="R48" s="609"/>
      <c r="S48" s="609">
        <v>1.8520724281984335</v>
      </c>
      <c r="T48" s="609">
        <v>1312.2415901038223</v>
      </c>
      <c r="U48" s="609"/>
      <c r="V48" s="605"/>
      <c r="W48" s="605"/>
      <c r="X48" s="605"/>
      <c r="Y48" s="609"/>
      <c r="Z48" s="612"/>
      <c r="AA48" s="610">
        <f t="shared" si="23"/>
        <v>78.152181932232637</v>
      </c>
      <c r="AB48" s="611"/>
      <c r="AC48" s="609"/>
      <c r="AD48" s="609"/>
      <c r="AE48" s="609"/>
      <c r="AF48" s="609"/>
      <c r="AG48" s="609">
        <v>78.152181932232637</v>
      </c>
      <c r="AH48" s="721"/>
      <c r="AI48" s="609"/>
      <c r="AJ48" s="606"/>
      <c r="AK48" s="612">
        <v>1.012968700248938</v>
      </c>
      <c r="AL48" s="610"/>
      <c r="AM48" s="248">
        <f t="shared" si="12"/>
        <v>2058.4846677479868</v>
      </c>
      <c r="AO48" s="296"/>
    </row>
    <row r="49" spans="1:41" s="245" customFormat="1" ht="12.75" customHeight="1">
      <c r="A49" s="314" t="s">
        <v>356</v>
      </c>
      <c r="B49" s="247"/>
      <c r="C49" s="602">
        <f t="shared" si="20"/>
        <v>0</v>
      </c>
      <c r="D49" s="603"/>
      <c r="E49" s="613"/>
      <c r="F49" s="605"/>
      <c r="G49" s="605"/>
      <c r="H49" s="606">
        <f t="shared" si="21"/>
        <v>0</v>
      </c>
      <c r="I49" s="607"/>
      <c r="J49" s="608"/>
      <c r="K49" s="609"/>
      <c r="L49" s="606">
        <f t="shared" si="22"/>
        <v>133.353235953808</v>
      </c>
      <c r="M49" s="609"/>
      <c r="N49" s="609"/>
      <c r="O49" s="609">
        <v>6.5648739648342556</v>
      </c>
      <c r="P49" s="609"/>
      <c r="Q49" s="609"/>
      <c r="R49" s="609"/>
      <c r="S49" s="609"/>
      <c r="T49" s="609">
        <v>126.78836198897375</v>
      </c>
      <c r="U49" s="609"/>
      <c r="V49" s="605"/>
      <c r="W49" s="605"/>
      <c r="X49" s="605"/>
      <c r="Y49" s="609"/>
      <c r="Z49" s="612"/>
      <c r="AA49" s="610">
        <f t="shared" si="23"/>
        <v>5.6336715948500125</v>
      </c>
      <c r="AB49" s="611"/>
      <c r="AC49" s="609"/>
      <c r="AD49" s="609"/>
      <c r="AE49" s="609"/>
      <c r="AF49" s="609"/>
      <c r="AG49" s="609">
        <v>5.6336715948500125</v>
      </c>
      <c r="AH49" s="721"/>
      <c r="AI49" s="609"/>
      <c r="AJ49" s="606"/>
      <c r="AK49" s="612"/>
      <c r="AL49" s="610"/>
      <c r="AM49" s="248">
        <f t="shared" si="12"/>
        <v>138.986907548658</v>
      </c>
      <c r="AO49" s="296"/>
    </row>
    <row r="50" spans="1:41" s="245" customFormat="1" ht="12.75" customHeight="1">
      <c r="A50" s="314" t="s">
        <v>140</v>
      </c>
      <c r="B50" s="247"/>
      <c r="C50" s="602">
        <f t="shared" si="20"/>
        <v>0</v>
      </c>
      <c r="D50" s="603"/>
      <c r="E50" s="613"/>
      <c r="F50" s="605"/>
      <c r="G50" s="605"/>
      <c r="H50" s="606">
        <f t="shared" si="21"/>
        <v>0</v>
      </c>
      <c r="I50" s="607"/>
      <c r="J50" s="608"/>
      <c r="K50" s="609"/>
      <c r="L50" s="606">
        <f t="shared" si="22"/>
        <v>38.043221783939138</v>
      </c>
      <c r="M50" s="609"/>
      <c r="N50" s="609"/>
      <c r="O50" s="609"/>
      <c r="P50" s="609"/>
      <c r="Q50" s="725"/>
      <c r="R50" s="609"/>
      <c r="S50" s="609"/>
      <c r="T50" s="609">
        <v>38.043221783939138</v>
      </c>
      <c r="U50" s="609"/>
      <c r="V50" s="605"/>
      <c r="W50" s="605"/>
      <c r="X50" s="605"/>
      <c r="Y50" s="609"/>
      <c r="Z50" s="612"/>
      <c r="AA50" s="610">
        <f t="shared" si="23"/>
        <v>0</v>
      </c>
      <c r="AB50" s="611"/>
      <c r="AC50" s="609"/>
      <c r="AD50" s="609"/>
      <c r="AE50" s="609"/>
      <c r="AF50" s="609"/>
      <c r="AG50" s="609">
        <v>0</v>
      </c>
      <c r="AH50" s="721"/>
      <c r="AI50" s="609"/>
      <c r="AJ50" s="606"/>
      <c r="AK50" s="612">
        <v>4.1857159759999991</v>
      </c>
      <c r="AL50" s="610"/>
      <c r="AM50" s="248">
        <f t="shared" si="12"/>
        <v>42.228937759939136</v>
      </c>
      <c r="AO50" s="296"/>
    </row>
    <row r="51" spans="1:41" s="245" customFormat="1" ht="12.75" customHeight="1">
      <c r="A51" s="314" t="s">
        <v>357</v>
      </c>
      <c r="B51" s="247"/>
      <c r="C51" s="602">
        <f t="shared" si="20"/>
        <v>0</v>
      </c>
      <c r="D51" s="603"/>
      <c r="E51" s="613"/>
      <c r="F51" s="605"/>
      <c r="G51" s="605"/>
      <c r="H51" s="606">
        <f t="shared" si="21"/>
        <v>0</v>
      </c>
      <c r="I51" s="607"/>
      <c r="J51" s="608"/>
      <c r="K51" s="609"/>
      <c r="L51" s="606">
        <f t="shared" si="22"/>
        <v>5.5768892778871404</v>
      </c>
      <c r="M51" s="609"/>
      <c r="N51" s="609"/>
      <c r="O51" s="609">
        <v>0.66818888888888883</v>
      </c>
      <c r="P51" s="609"/>
      <c r="Q51" s="609">
        <v>4.9087003889982519</v>
      </c>
      <c r="R51" s="609"/>
      <c r="S51" s="609"/>
      <c r="T51" s="609"/>
      <c r="U51" s="609"/>
      <c r="V51" s="605"/>
      <c r="W51" s="605"/>
      <c r="X51" s="605"/>
      <c r="Y51" s="609"/>
      <c r="Z51" s="612"/>
      <c r="AA51" s="610">
        <f t="shared" si="23"/>
        <v>0</v>
      </c>
      <c r="AB51" s="611"/>
      <c r="AC51" s="609"/>
      <c r="AD51" s="609"/>
      <c r="AE51" s="609"/>
      <c r="AF51" s="609"/>
      <c r="AG51" s="609"/>
      <c r="AH51" s="721"/>
      <c r="AI51" s="609"/>
      <c r="AJ51" s="606"/>
      <c r="AK51" s="612"/>
      <c r="AL51" s="610"/>
      <c r="AM51" s="248">
        <f t="shared" si="12"/>
        <v>5.5768892778871404</v>
      </c>
      <c r="AO51" s="296"/>
    </row>
    <row r="52" spans="1:41" s="245" customFormat="1" ht="12.75" customHeight="1">
      <c r="A52" s="314" t="s">
        <v>358</v>
      </c>
      <c r="B52" s="315"/>
      <c r="C52" s="724">
        <f t="shared" si="20"/>
        <v>0</v>
      </c>
      <c r="D52" s="725"/>
      <c r="E52" s="725"/>
      <c r="F52" s="726"/>
      <c r="G52" s="726"/>
      <c r="H52" s="727">
        <f t="shared" si="21"/>
        <v>0</v>
      </c>
      <c r="I52" s="728"/>
      <c r="J52" s="729"/>
      <c r="K52" s="725"/>
      <c r="L52" s="727">
        <f t="shared" si="22"/>
        <v>1097.1586093062015</v>
      </c>
      <c r="M52" s="725"/>
      <c r="N52" s="725"/>
      <c r="O52" s="649"/>
      <c r="P52" s="725"/>
      <c r="Q52" s="725">
        <v>1097.1586093062015</v>
      </c>
      <c r="R52" s="725"/>
      <c r="S52" s="725"/>
      <c r="T52" s="725"/>
      <c r="U52" s="725"/>
      <c r="V52" s="726"/>
      <c r="W52" s="726"/>
      <c r="X52" s="726"/>
      <c r="Y52" s="725"/>
      <c r="Z52" s="723"/>
      <c r="AA52" s="730">
        <f t="shared" si="23"/>
        <v>0</v>
      </c>
      <c r="AB52" s="731"/>
      <c r="AC52" s="725"/>
      <c r="AD52" s="725"/>
      <c r="AE52" s="725"/>
      <c r="AF52" s="725"/>
      <c r="AG52" s="725"/>
      <c r="AH52" s="722"/>
      <c r="AI52" s="725"/>
      <c r="AJ52" s="723"/>
      <c r="AK52" s="723"/>
      <c r="AL52" s="730"/>
      <c r="AM52" s="309">
        <f t="shared" si="12"/>
        <v>1097.1586093062015</v>
      </c>
      <c r="AO52" s="296"/>
    </row>
    <row r="53" spans="1:41" s="245" customFormat="1" ht="12.75" customHeight="1">
      <c r="A53" s="314" t="s">
        <v>359</v>
      </c>
      <c r="B53" s="315"/>
      <c r="C53" s="724">
        <f t="shared" si="20"/>
        <v>0</v>
      </c>
      <c r="D53" s="728"/>
      <c r="E53" s="725"/>
      <c r="F53" s="726"/>
      <c r="G53" s="726"/>
      <c r="H53" s="727">
        <f t="shared" si="21"/>
        <v>0</v>
      </c>
      <c r="I53" s="728"/>
      <c r="J53" s="729"/>
      <c r="K53" s="725"/>
      <c r="L53" s="727">
        <f t="shared" si="22"/>
        <v>176.94052908505745</v>
      </c>
      <c r="M53" s="725"/>
      <c r="N53" s="725"/>
      <c r="O53" s="725">
        <v>0</v>
      </c>
      <c r="P53" s="725"/>
      <c r="Q53" s="725"/>
      <c r="R53" s="725"/>
      <c r="S53" s="725"/>
      <c r="T53" s="725">
        <v>176.94052908505745</v>
      </c>
      <c r="U53" s="725"/>
      <c r="V53" s="726"/>
      <c r="W53" s="726"/>
      <c r="X53" s="726"/>
      <c r="Y53" s="725"/>
      <c r="Z53" s="723"/>
      <c r="AA53" s="730">
        <f t="shared" si="23"/>
        <v>7.5577223843887342</v>
      </c>
      <c r="AB53" s="731"/>
      <c r="AC53" s="725"/>
      <c r="AD53" s="725"/>
      <c r="AE53" s="725"/>
      <c r="AF53" s="725"/>
      <c r="AG53" s="609">
        <v>7.5577223843887342</v>
      </c>
      <c r="AH53" s="725"/>
      <c r="AI53" s="725"/>
      <c r="AJ53" s="723"/>
      <c r="AK53" s="612"/>
      <c r="AL53" s="730"/>
      <c r="AM53" s="309">
        <f t="shared" si="12"/>
        <v>184.49825146944619</v>
      </c>
      <c r="AO53" s="296"/>
    </row>
    <row r="54" spans="1:41" s="245" customFormat="1" ht="12.75" customHeight="1">
      <c r="A54" s="246" t="s">
        <v>360</v>
      </c>
      <c r="B54" s="247"/>
      <c r="C54" s="724">
        <f t="shared" si="20"/>
        <v>0</v>
      </c>
      <c r="D54" s="728"/>
      <c r="E54" s="725"/>
      <c r="F54" s="726"/>
      <c r="G54" s="726"/>
      <c r="H54" s="727">
        <f t="shared" si="21"/>
        <v>0</v>
      </c>
      <c r="I54" s="728"/>
      <c r="J54" s="729"/>
      <c r="K54" s="725"/>
      <c r="L54" s="727">
        <f t="shared" si="22"/>
        <v>83.913724293678101</v>
      </c>
      <c r="M54" s="725"/>
      <c r="N54" s="725"/>
      <c r="O54" s="725"/>
      <c r="P54" s="725"/>
      <c r="Q54" s="725"/>
      <c r="R54" s="725"/>
      <c r="S54" s="725"/>
      <c r="T54" s="725">
        <v>83.913724293678101</v>
      </c>
      <c r="U54" s="725"/>
      <c r="V54" s="726"/>
      <c r="W54" s="726"/>
      <c r="X54" s="726"/>
      <c r="Y54" s="725"/>
      <c r="Z54" s="691"/>
      <c r="AA54" s="730">
        <f t="shared" si="23"/>
        <v>0</v>
      </c>
      <c r="AB54" s="731"/>
      <c r="AC54" s="725"/>
      <c r="AD54" s="725"/>
      <c r="AE54" s="725"/>
      <c r="AF54" s="725"/>
      <c r="AG54" s="725"/>
      <c r="AH54" s="725"/>
      <c r="AI54" s="725"/>
      <c r="AJ54" s="691"/>
      <c r="AK54" s="723"/>
      <c r="AL54" s="730"/>
      <c r="AM54" s="309">
        <f t="shared" si="12"/>
        <v>83.913724293678101</v>
      </c>
      <c r="AO54" s="296"/>
    </row>
    <row r="55" spans="1:41" s="245" customFormat="1" ht="12.75" customHeight="1">
      <c r="A55" s="263" t="s">
        <v>361</v>
      </c>
      <c r="B55" s="264"/>
      <c r="C55" s="650">
        <f t="shared" si="20"/>
        <v>0</v>
      </c>
      <c r="D55" s="743"/>
      <c r="E55" s="744"/>
      <c r="F55" s="653"/>
      <c r="G55" s="653"/>
      <c r="H55" s="654">
        <f t="shared" si="21"/>
        <v>0</v>
      </c>
      <c r="I55" s="651"/>
      <c r="J55" s="655"/>
      <c r="K55" s="652"/>
      <c r="L55" s="654">
        <f t="shared" si="22"/>
        <v>490.66471778650487</v>
      </c>
      <c r="M55" s="652"/>
      <c r="N55" s="652"/>
      <c r="O55" s="652">
        <v>149.02111088476352</v>
      </c>
      <c r="P55" s="652"/>
      <c r="Q55" s="652"/>
      <c r="R55" s="652">
        <v>0</v>
      </c>
      <c r="S55" s="652"/>
      <c r="T55" s="652">
        <v>341.64360690174135</v>
      </c>
      <c r="U55" s="652"/>
      <c r="V55" s="653"/>
      <c r="W55" s="653"/>
      <c r="X55" s="653"/>
      <c r="Y55" s="652"/>
      <c r="Z55" s="658">
        <v>22.531112229915806</v>
      </c>
      <c r="AA55" s="656">
        <f t="shared" si="23"/>
        <v>19.543928629543746</v>
      </c>
      <c r="AB55" s="657"/>
      <c r="AC55" s="652"/>
      <c r="AD55" s="652"/>
      <c r="AE55" s="652"/>
      <c r="AF55" s="652"/>
      <c r="AG55" s="652">
        <v>19.543928629543746</v>
      </c>
      <c r="AH55" s="732"/>
      <c r="AI55" s="652"/>
      <c r="AJ55" s="654"/>
      <c r="AK55" s="658"/>
      <c r="AL55" s="656"/>
      <c r="AM55" s="265">
        <f t="shared" si="12"/>
        <v>532.73975864596446</v>
      </c>
      <c r="AO55" s="296"/>
    </row>
    <row r="56" spans="1:41" s="255" customFormat="1" ht="12.75" customHeight="1">
      <c r="A56" s="316" t="s">
        <v>141</v>
      </c>
      <c r="B56" s="317"/>
      <c r="C56" s="733">
        <f t="shared" si="20"/>
        <v>155.18532547319376</v>
      </c>
      <c r="D56" s="736">
        <v>77.527798151623358</v>
      </c>
      <c r="E56" s="604">
        <v>70.131951348544106</v>
      </c>
      <c r="F56" s="734"/>
      <c r="G56" s="734">
        <v>7.5255759730262914</v>
      </c>
      <c r="H56" s="735">
        <f t="shared" si="21"/>
        <v>196.53880633</v>
      </c>
      <c r="I56" s="736"/>
      <c r="J56" s="737">
        <v>127.70399999999999</v>
      </c>
      <c r="K56" s="667">
        <v>68.834806329999992</v>
      </c>
      <c r="L56" s="735">
        <f t="shared" si="22"/>
        <v>1059.0610846185803</v>
      </c>
      <c r="M56" s="667"/>
      <c r="N56" s="667"/>
      <c r="O56" s="667">
        <v>0</v>
      </c>
      <c r="P56" s="667">
        <v>851.97056065430399</v>
      </c>
      <c r="Q56" s="667"/>
      <c r="R56" s="667">
        <v>0</v>
      </c>
      <c r="S56" s="667">
        <v>43.620998386839176</v>
      </c>
      <c r="T56" s="667">
        <v>159.95923884112759</v>
      </c>
      <c r="U56" s="667">
        <v>3.5102867363093639</v>
      </c>
      <c r="V56" s="734"/>
      <c r="W56" s="734"/>
      <c r="X56" s="734"/>
      <c r="Y56" s="667"/>
      <c r="Z56" s="735">
        <v>604.09375845912712</v>
      </c>
      <c r="AA56" s="738">
        <f t="shared" si="23"/>
        <v>68.387102733754332</v>
      </c>
      <c r="AB56" s="739"/>
      <c r="AC56" s="667"/>
      <c r="AD56" s="667">
        <v>27.857660562107053</v>
      </c>
      <c r="AE56" s="667"/>
      <c r="AF56" s="667"/>
      <c r="AG56" s="667"/>
      <c r="AH56" s="738">
        <v>13.379590942008413</v>
      </c>
      <c r="AI56" s="667">
        <v>27.149851229638866</v>
      </c>
      <c r="AJ56" s="735"/>
      <c r="AK56" s="735">
        <v>702.9445639999999</v>
      </c>
      <c r="AL56" s="738"/>
      <c r="AM56" s="269">
        <f t="shared" si="12"/>
        <v>2786.2106416146557</v>
      </c>
      <c r="AN56" s="245"/>
      <c r="AO56" s="321"/>
    </row>
    <row r="57" spans="1:41" s="255" customFormat="1" ht="12.75" customHeight="1">
      <c r="A57" s="397" t="s">
        <v>362</v>
      </c>
      <c r="B57" s="398"/>
      <c r="C57" s="733">
        <f t="shared" ref="C57:N57" si="24">SUM(C58:C59)</f>
        <v>0</v>
      </c>
      <c r="D57" s="667">
        <f t="shared" si="24"/>
        <v>0</v>
      </c>
      <c r="E57" s="667">
        <f t="shared" si="24"/>
        <v>0</v>
      </c>
      <c r="F57" s="734">
        <f t="shared" si="24"/>
        <v>0</v>
      </c>
      <c r="G57" s="734">
        <f t="shared" si="24"/>
        <v>0</v>
      </c>
      <c r="H57" s="735">
        <f t="shared" si="24"/>
        <v>0</v>
      </c>
      <c r="I57" s="736">
        <f t="shared" si="24"/>
        <v>0</v>
      </c>
      <c r="J57" s="745">
        <f t="shared" si="24"/>
        <v>0</v>
      </c>
      <c r="K57" s="736">
        <f t="shared" si="24"/>
        <v>0</v>
      </c>
      <c r="L57" s="735">
        <f t="shared" si="24"/>
        <v>267.57395184315021</v>
      </c>
      <c r="M57" s="667">
        <f t="shared" si="24"/>
        <v>0</v>
      </c>
      <c r="N57" s="667">
        <f t="shared" si="24"/>
        <v>0</v>
      </c>
      <c r="O57" s="667">
        <v>0</v>
      </c>
      <c r="P57" s="667">
        <f>SUM(P58:P59)</f>
        <v>0</v>
      </c>
      <c r="Q57" s="667">
        <f>SUM(Q58:Q59)</f>
        <v>0</v>
      </c>
      <c r="R57" s="667">
        <v>1.247004930562597</v>
      </c>
      <c r="S57" s="667">
        <v>9.4206736070750594</v>
      </c>
      <c r="T57" s="667">
        <v>256.90588302035394</v>
      </c>
      <c r="U57" s="667">
        <f>SUM(U58:U59)</f>
        <v>3.9028515863367719E-4</v>
      </c>
      <c r="V57" s="734">
        <f>SUM(V58:V59)</f>
        <v>0</v>
      </c>
      <c r="W57" s="734">
        <f>SUM(W58:W59)</f>
        <v>0</v>
      </c>
      <c r="X57" s="734">
        <f>SUM(X58:X59)</f>
        <v>0</v>
      </c>
      <c r="Y57" s="736">
        <f>SUM(Y58:Y59)</f>
        <v>0</v>
      </c>
      <c r="Z57" s="735">
        <v>532.11518780757262</v>
      </c>
      <c r="AA57" s="738">
        <f>SUM(AA58:AA59)</f>
        <v>42.897710060911812</v>
      </c>
      <c r="AB57" s="739">
        <f>SUM(AB58:AB59)</f>
        <v>0</v>
      </c>
      <c r="AC57" s="667">
        <f>SUM(AC58:AC59)</f>
        <v>0</v>
      </c>
      <c r="AD57" s="667">
        <f>SUM(AD58:AD59)</f>
        <v>18.076477820039997</v>
      </c>
      <c r="AE57" s="667">
        <f>SUM(AE58:AE59)</f>
        <v>0</v>
      </c>
      <c r="AF57" s="667">
        <f>SUM(AF59:AF59)</f>
        <v>7.541555368675982</v>
      </c>
      <c r="AG57" s="667">
        <f>SUM(AG58:AG59)</f>
        <v>0</v>
      </c>
      <c r="AH57" s="667">
        <f>SUM(AH58:AH59)</f>
        <v>0.16649466165720572</v>
      </c>
      <c r="AI57" s="736">
        <f>SUM(AI58:AI59)</f>
        <v>17.113182210538625</v>
      </c>
      <c r="AJ57" s="735">
        <f>SUM(AJ58:AJ59)</f>
        <v>0</v>
      </c>
      <c r="AK57" s="735">
        <v>641.64162013305452</v>
      </c>
      <c r="AL57" s="738">
        <f>SUM(AL58:AL59)</f>
        <v>0</v>
      </c>
      <c r="AM57" s="399">
        <f t="shared" si="12"/>
        <v>1484.2284698446892</v>
      </c>
      <c r="AN57" s="245"/>
      <c r="AO57" s="321"/>
    </row>
    <row r="58" spans="1:41" s="245" customFormat="1" ht="12.75" customHeight="1">
      <c r="A58" s="400" t="s">
        <v>363</v>
      </c>
      <c r="B58" s="401"/>
      <c r="C58" s="640">
        <f>SUM(D58:G58)</f>
        <v>0</v>
      </c>
      <c r="D58" s="641">
        <v>0</v>
      </c>
      <c r="E58" s="642">
        <v>0</v>
      </c>
      <c r="F58" s="643"/>
      <c r="G58" s="643">
        <v>0</v>
      </c>
      <c r="H58" s="644">
        <f>SUM(I58:K58)</f>
        <v>0</v>
      </c>
      <c r="I58" s="641"/>
      <c r="J58" s="645"/>
      <c r="K58" s="642"/>
      <c r="L58" s="644">
        <f>SUM(M58:Y58)</f>
        <v>176.73204143195045</v>
      </c>
      <c r="M58" s="642"/>
      <c r="N58" s="642"/>
      <c r="O58" s="642"/>
      <c r="P58" s="642">
        <v>0</v>
      </c>
      <c r="Q58" s="642"/>
      <c r="R58" s="642"/>
      <c r="S58" s="642">
        <f>S57*7.63/10.25</f>
        <v>7.0126575240958742</v>
      </c>
      <c r="T58" s="642">
        <f>T57*319.4/483.48</f>
        <v>169.71899362269593</v>
      </c>
      <c r="U58" s="642">
        <v>3.9028515863367719E-4</v>
      </c>
      <c r="V58" s="643"/>
      <c r="W58" s="643"/>
      <c r="X58" s="643"/>
      <c r="Y58" s="642"/>
      <c r="Z58" s="644">
        <f>Z57*37.95/86.6</f>
        <v>233.18442698957719</v>
      </c>
      <c r="AA58" s="646">
        <f>SUM(AB58:AI58)</f>
        <v>35.356154692235833</v>
      </c>
      <c r="AB58" s="647"/>
      <c r="AC58" s="642"/>
      <c r="AD58" s="642">
        <v>18.076477820039997</v>
      </c>
      <c r="AE58" s="649"/>
      <c r="AF58" s="649"/>
      <c r="AG58" s="649"/>
      <c r="AH58" s="682">
        <v>0.16649466165720572</v>
      </c>
      <c r="AI58" s="642">
        <v>17.113182210538625</v>
      </c>
      <c r="AJ58" s="644"/>
      <c r="AK58" s="648">
        <f>AK57*172.28/240.31</f>
        <v>459.99757944539402</v>
      </c>
      <c r="AL58" s="646"/>
      <c r="AM58" s="402">
        <f t="shared" si="12"/>
        <v>905.2702025591575</v>
      </c>
      <c r="AO58" s="296"/>
    </row>
    <row r="59" spans="1:41" s="245" customFormat="1" ht="12.75" customHeight="1">
      <c r="A59" s="403" t="s">
        <v>364</v>
      </c>
      <c r="B59" s="404"/>
      <c r="C59" s="650">
        <f>SUM(D59:G59)</f>
        <v>0</v>
      </c>
      <c r="D59" s="651"/>
      <c r="E59" s="652"/>
      <c r="F59" s="653"/>
      <c r="G59" s="653"/>
      <c r="H59" s="654">
        <f>SUM(I59:K59)</f>
        <v>0</v>
      </c>
      <c r="I59" s="651"/>
      <c r="J59" s="655">
        <v>0</v>
      </c>
      <c r="K59" s="652">
        <v>0</v>
      </c>
      <c r="L59" s="654">
        <f>SUM(M59:Y59)</f>
        <v>90.841910411199763</v>
      </c>
      <c r="M59" s="652"/>
      <c r="N59" s="652"/>
      <c r="O59" s="652"/>
      <c r="P59" s="652"/>
      <c r="Q59" s="652"/>
      <c r="R59" s="652">
        <f>R57</f>
        <v>1.247004930562597</v>
      </c>
      <c r="S59" s="652">
        <f>S57*2.62/10.25</f>
        <v>2.4080160829791861</v>
      </c>
      <c r="T59" s="652">
        <f>T57*164.08/483.48</f>
        <v>87.186889397657978</v>
      </c>
      <c r="U59" s="652"/>
      <c r="V59" s="653"/>
      <c r="W59" s="653"/>
      <c r="X59" s="653"/>
      <c r="Y59" s="652"/>
      <c r="Z59" s="654">
        <f>Z57*48.65/86.6</f>
        <v>298.93076081799552</v>
      </c>
      <c r="AA59" s="656">
        <f>SUM(AB59:AI59)</f>
        <v>7.541555368675982</v>
      </c>
      <c r="AB59" s="657"/>
      <c r="AC59" s="652"/>
      <c r="AD59" s="652"/>
      <c r="AE59" s="652"/>
      <c r="AF59" s="652">
        <v>7.541555368675982</v>
      </c>
      <c r="AG59" s="652"/>
      <c r="AH59" s="732"/>
      <c r="AI59" s="652"/>
      <c r="AJ59" s="654"/>
      <c r="AK59" s="658">
        <f>AK57*68.03/240.31</f>
        <v>181.64404068766049</v>
      </c>
      <c r="AL59" s="656"/>
      <c r="AM59" s="405">
        <f t="shared" si="12"/>
        <v>578.95826728553175</v>
      </c>
      <c r="AO59" s="296"/>
    </row>
    <row r="60" spans="1:41" s="255" customFormat="1" ht="12.75" customHeight="1">
      <c r="A60" s="272" t="s">
        <v>365</v>
      </c>
      <c r="B60" s="273"/>
      <c r="C60" s="669">
        <f>SUM(D60:G60)</f>
        <v>0</v>
      </c>
      <c r="D60" s="746">
        <v>0</v>
      </c>
      <c r="E60" s="747"/>
      <c r="F60" s="748"/>
      <c r="G60" s="748"/>
      <c r="H60" s="673">
        <f>SUM(I60:K60)</f>
        <v>0</v>
      </c>
      <c r="I60" s="746"/>
      <c r="J60" s="749"/>
      <c r="K60" s="747"/>
      <c r="L60" s="673">
        <f>SUM(M60:Y60)</f>
        <v>175.46549158593075</v>
      </c>
      <c r="M60" s="747"/>
      <c r="N60" s="747"/>
      <c r="O60" s="747">
        <v>0</v>
      </c>
      <c r="P60" s="747">
        <v>0</v>
      </c>
      <c r="Q60" s="747"/>
      <c r="R60" s="747"/>
      <c r="S60" s="747">
        <v>0</v>
      </c>
      <c r="T60" s="747">
        <v>175.46549158593075</v>
      </c>
      <c r="U60" s="642"/>
      <c r="V60" s="748"/>
      <c r="W60" s="748"/>
      <c r="X60" s="748"/>
      <c r="Y60" s="747"/>
      <c r="Z60" s="673">
        <v>0</v>
      </c>
      <c r="AA60" s="675">
        <f>SUM(AB60:AI60)</f>
        <v>0</v>
      </c>
      <c r="AB60" s="750"/>
      <c r="AC60" s="747"/>
      <c r="AD60" s="747"/>
      <c r="AE60" s="747"/>
      <c r="AF60" s="747"/>
      <c r="AG60" s="747"/>
      <c r="AH60" s="675"/>
      <c r="AI60" s="747"/>
      <c r="AJ60" s="673"/>
      <c r="AK60" s="673">
        <v>47.988</v>
      </c>
      <c r="AL60" s="675"/>
      <c r="AM60" s="269">
        <f t="shared" si="12"/>
        <v>223.45349158593075</v>
      </c>
      <c r="AN60" s="245"/>
      <c r="AO60" s="321"/>
    </row>
    <row r="61" spans="1:41" s="255" customFormat="1" ht="12.75" customHeight="1" thickBot="1">
      <c r="A61" s="318" t="s">
        <v>366</v>
      </c>
      <c r="B61" s="264"/>
      <c r="C61" s="650">
        <f>SUM(D61:G61)</f>
        <v>0</v>
      </c>
      <c r="D61" s="651"/>
      <c r="E61" s="652"/>
      <c r="F61" s="653"/>
      <c r="G61" s="653"/>
      <c r="H61" s="654">
        <f>SUM(I61:K61)</f>
        <v>0</v>
      </c>
      <c r="I61" s="651"/>
      <c r="J61" s="655"/>
      <c r="K61" s="652"/>
      <c r="L61" s="654">
        <f>SUM(M61:Y61)</f>
        <v>27.249865733664667</v>
      </c>
      <c r="M61" s="652"/>
      <c r="N61" s="652"/>
      <c r="O61" s="652"/>
      <c r="P61" s="652"/>
      <c r="Q61" s="652"/>
      <c r="R61" s="652"/>
      <c r="S61" s="652"/>
      <c r="T61" s="744">
        <v>27.249865733664667</v>
      </c>
      <c r="U61" s="652"/>
      <c r="V61" s="653"/>
      <c r="W61" s="653"/>
      <c r="X61" s="653"/>
      <c r="Y61" s="652"/>
      <c r="Z61" s="654"/>
      <c r="AA61" s="656">
        <f>SUM(AB61:AI61)</f>
        <v>0</v>
      </c>
      <c r="AB61" s="657"/>
      <c r="AC61" s="652"/>
      <c r="AD61" s="652"/>
      <c r="AE61" s="652"/>
      <c r="AF61" s="652"/>
      <c r="AG61" s="652"/>
      <c r="AH61" s="732"/>
      <c r="AI61" s="652"/>
      <c r="AJ61" s="654"/>
      <c r="AK61" s="658"/>
      <c r="AL61" s="656"/>
      <c r="AM61" s="319">
        <f t="shared" si="12"/>
        <v>27.249865733664667</v>
      </c>
      <c r="AN61" s="245"/>
      <c r="AO61" s="321"/>
    </row>
    <row r="62" spans="1:41" s="255" customFormat="1" ht="12.75" customHeight="1" thickBot="1">
      <c r="A62" s="277" t="s">
        <v>367</v>
      </c>
      <c r="B62" s="278"/>
      <c r="C62" s="279">
        <f t="shared" ref="C62:AL62" si="25">C27-C28-C30</f>
        <v>-2.9554969188629343</v>
      </c>
      <c r="D62" s="280">
        <f t="shared" si="25"/>
        <v>0.18284784306936785</v>
      </c>
      <c r="E62" s="281">
        <f t="shared" si="25"/>
        <v>-4.0131297356440712</v>
      </c>
      <c r="F62" s="284">
        <f t="shared" si="25"/>
        <v>0</v>
      </c>
      <c r="G62" s="284">
        <f t="shared" si="25"/>
        <v>0.87478497371188713</v>
      </c>
      <c r="H62" s="282">
        <f t="shared" si="25"/>
        <v>1.9457250152907477</v>
      </c>
      <c r="I62" s="280">
        <f t="shared" si="25"/>
        <v>-0.45741265470919368</v>
      </c>
      <c r="J62" s="281">
        <f t="shared" si="25"/>
        <v>0</v>
      </c>
      <c r="K62" s="281">
        <f t="shared" si="25"/>
        <v>2.4031376700000067</v>
      </c>
      <c r="L62" s="282">
        <f t="shared" si="25"/>
        <v>5.5965062596596908</v>
      </c>
      <c r="M62" s="281">
        <f t="shared" si="25"/>
        <v>0</v>
      </c>
      <c r="N62" s="281">
        <f t="shared" si="25"/>
        <v>0</v>
      </c>
      <c r="O62" s="281">
        <f t="shared" si="25"/>
        <v>9.1821641780287564</v>
      </c>
      <c r="P62" s="281">
        <f t="shared" si="25"/>
        <v>15.370413414720019</v>
      </c>
      <c r="Q62" s="281">
        <f t="shared" si="25"/>
        <v>-6.7103906044801533</v>
      </c>
      <c r="R62" s="281">
        <f t="shared" si="25"/>
        <v>-15.098275306963814</v>
      </c>
      <c r="S62" s="281">
        <f t="shared" si="25"/>
        <v>6.5570336698137623</v>
      </c>
      <c r="T62" s="281">
        <f t="shared" si="25"/>
        <v>-4.4746269624060915</v>
      </c>
      <c r="U62" s="281">
        <f t="shared" si="25"/>
        <v>0.82532907951218704</v>
      </c>
      <c r="V62" s="284">
        <f t="shared" si="25"/>
        <v>-5.5141208563533439E-2</v>
      </c>
      <c r="W62" s="284">
        <f t="shared" si="25"/>
        <v>0</v>
      </c>
      <c r="X62" s="284">
        <f t="shared" si="25"/>
        <v>0</v>
      </c>
      <c r="Y62" s="281">
        <f t="shared" si="25"/>
        <v>0</v>
      </c>
      <c r="Z62" s="282">
        <f t="shared" si="25"/>
        <v>-27.064787097498538</v>
      </c>
      <c r="AA62" s="283">
        <f t="shared" si="25"/>
        <v>-9.9700943157868096</v>
      </c>
      <c r="AB62" s="320">
        <f t="shared" si="25"/>
        <v>0</v>
      </c>
      <c r="AC62" s="281">
        <f t="shared" si="25"/>
        <v>0</v>
      </c>
      <c r="AD62" s="281">
        <f t="shared" si="25"/>
        <v>-5.0033292701067751</v>
      </c>
      <c r="AE62" s="281">
        <f t="shared" si="25"/>
        <v>0</v>
      </c>
      <c r="AF62" s="281">
        <f t="shared" si="25"/>
        <v>0</v>
      </c>
      <c r="AG62" s="281">
        <f t="shared" si="25"/>
        <v>-4.9667650456800914</v>
      </c>
      <c r="AH62" s="283">
        <f t="shared" si="25"/>
        <v>0</v>
      </c>
      <c r="AI62" s="281">
        <f t="shared" si="25"/>
        <v>0</v>
      </c>
      <c r="AJ62" s="282">
        <f t="shared" si="25"/>
        <v>0</v>
      </c>
      <c r="AK62" s="282">
        <f t="shared" si="25"/>
        <v>9.5552919819401723</v>
      </c>
      <c r="AL62" s="283">
        <f t="shared" si="25"/>
        <v>0</v>
      </c>
      <c r="AM62" s="285">
        <f t="shared" si="12"/>
        <v>-22.892855075257671</v>
      </c>
      <c r="AN62" s="245"/>
      <c r="AO62" s="321"/>
    </row>
    <row r="63" spans="1:41" ht="12.75" customHeight="1">
      <c r="A63" s="322"/>
      <c r="B63" s="322"/>
      <c r="C63" s="323"/>
      <c r="D63" s="323"/>
      <c r="E63" s="323"/>
      <c r="F63" s="323"/>
      <c r="G63" s="323"/>
      <c r="H63" s="323"/>
      <c r="I63" s="323"/>
      <c r="J63" s="323"/>
      <c r="K63" s="323"/>
      <c r="L63" s="323"/>
      <c r="M63" s="323"/>
      <c r="N63" s="323"/>
      <c r="O63" s="323"/>
      <c r="P63" s="323"/>
      <c r="Q63" s="323"/>
      <c r="R63" s="323"/>
      <c r="S63" s="323"/>
      <c r="T63" s="323"/>
      <c r="U63" s="323"/>
      <c r="V63" s="323"/>
      <c r="W63" s="323"/>
      <c r="X63" s="323"/>
      <c r="Y63" s="323"/>
      <c r="Z63" s="323"/>
      <c r="AA63" s="323"/>
      <c r="AB63" s="323"/>
      <c r="AC63" s="323"/>
      <c r="AD63" s="323"/>
      <c r="AE63" s="323"/>
      <c r="AF63" s="323"/>
      <c r="AG63" s="323"/>
      <c r="AH63" s="323"/>
      <c r="AI63" s="323"/>
      <c r="AJ63" s="323"/>
      <c r="AK63" s="322"/>
      <c r="AL63" s="323"/>
      <c r="AM63" s="323"/>
    </row>
    <row r="64" spans="1:41" s="326" customFormat="1" ht="15" customHeight="1">
      <c r="A64" s="751" t="s">
        <v>368</v>
      </c>
      <c r="B64" s="324"/>
      <c r="C64" s="268"/>
      <c r="D64" s="268"/>
      <c r="E64" s="268"/>
      <c r="F64" s="268"/>
      <c r="G64" s="268"/>
      <c r="H64" s="268"/>
      <c r="I64" s="268"/>
      <c r="J64" s="268"/>
      <c r="K64" s="268"/>
      <c r="L64" s="325"/>
      <c r="M64" s="268"/>
      <c r="N64" s="255"/>
      <c r="O64" s="255"/>
      <c r="P64" s="268"/>
      <c r="Q64" s="268"/>
      <c r="R64" s="268"/>
      <c r="S64" s="268"/>
      <c r="T64" s="268"/>
      <c r="U64" s="268"/>
      <c r="V64" s="266"/>
      <c r="W64" s="255"/>
      <c r="X64" s="268"/>
      <c r="Y64" s="268"/>
      <c r="Z64" s="268"/>
      <c r="AA64" s="268"/>
      <c r="AB64" s="268"/>
      <c r="AC64" s="268"/>
      <c r="AD64" s="268"/>
      <c r="AE64" s="268"/>
      <c r="AF64" s="268"/>
      <c r="AG64" s="268"/>
      <c r="AH64" s="268"/>
      <c r="AI64" s="268"/>
      <c r="AJ64" s="268"/>
      <c r="AK64" s="324"/>
      <c r="AL64" s="268"/>
      <c r="AM64" s="268"/>
      <c r="AO64" s="321"/>
    </row>
    <row r="65" spans="1:39" ht="12.75" customHeight="1">
      <c r="A65" s="752" t="s">
        <v>593</v>
      </c>
      <c r="B65" s="322"/>
      <c r="C65" s="323"/>
      <c r="D65" s="323"/>
      <c r="E65" s="323"/>
      <c r="F65" s="323"/>
      <c r="G65" s="323"/>
      <c r="H65" s="323"/>
      <c r="I65" s="323"/>
      <c r="J65" s="323"/>
      <c r="K65" s="323"/>
      <c r="L65" s="323"/>
      <c r="M65" s="323"/>
      <c r="N65" s="323"/>
      <c r="O65" s="323"/>
      <c r="P65" s="323"/>
      <c r="Q65" s="323"/>
      <c r="R65" s="323"/>
      <c r="S65" s="323"/>
      <c r="T65" s="323"/>
      <c r="U65" s="323"/>
      <c r="V65" s="323"/>
      <c r="W65" s="323"/>
      <c r="X65" s="323"/>
      <c r="Y65" s="323"/>
      <c r="Z65" s="322"/>
      <c r="AA65" s="323"/>
      <c r="AB65" s="323"/>
      <c r="AC65" s="323"/>
      <c r="AD65" s="323"/>
      <c r="AE65" s="323"/>
      <c r="AF65" s="323"/>
      <c r="AG65" s="323"/>
      <c r="AH65" s="323"/>
      <c r="AI65" s="323"/>
      <c r="AJ65" s="323"/>
      <c r="AK65" s="322"/>
      <c r="AL65" s="323"/>
      <c r="AM65" s="323"/>
    </row>
    <row r="66" spans="1:39" ht="12.75" customHeight="1">
      <c r="A66" s="753" t="s">
        <v>594</v>
      </c>
      <c r="B66" s="327"/>
      <c r="C66" s="323"/>
      <c r="D66" s="323"/>
      <c r="E66" s="323"/>
      <c r="F66" s="323"/>
      <c r="G66" s="323"/>
      <c r="H66" s="323"/>
      <c r="I66" s="323"/>
      <c r="J66" s="323"/>
      <c r="K66" s="323"/>
      <c r="L66" s="323"/>
      <c r="M66" s="323"/>
      <c r="N66" s="323"/>
      <c r="O66" s="323"/>
      <c r="P66" s="323"/>
      <c r="Q66" s="323"/>
      <c r="R66" s="323"/>
      <c r="S66" s="323"/>
      <c r="T66" s="323"/>
      <c r="U66" s="323"/>
      <c r="V66" s="323"/>
      <c r="W66" s="323"/>
      <c r="X66" s="323"/>
      <c r="Y66" s="323"/>
      <c r="Z66" s="322"/>
      <c r="AA66" s="323"/>
      <c r="AB66" s="323"/>
      <c r="AC66" s="323"/>
      <c r="AD66" s="323"/>
      <c r="AE66" s="323"/>
      <c r="AF66" s="415"/>
      <c r="AG66" s="323"/>
      <c r="AH66" s="323"/>
      <c r="AI66" s="323"/>
      <c r="AJ66" s="323"/>
      <c r="AK66" s="322"/>
      <c r="AL66" s="323"/>
      <c r="AM66" s="323"/>
    </row>
    <row r="67" spans="1:39" ht="12.75" customHeight="1">
      <c r="A67" s="754" t="s">
        <v>595</v>
      </c>
      <c r="B67" s="328"/>
      <c r="C67" s="323"/>
      <c r="D67" s="323"/>
      <c r="E67" s="323"/>
      <c r="F67" s="323"/>
      <c r="G67" s="323"/>
      <c r="H67" s="323"/>
      <c r="I67" s="323"/>
      <c r="J67" s="323"/>
      <c r="K67" s="323"/>
      <c r="L67" s="323"/>
      <c r="M67" s="323"/>
      <c r="N67" s="323"/>
      <c r="O67" s="323"/>
      <c r="P67" s="323"/>
      <c r="Q67" s="323"/>
      <c r="R67" s="323"/>
      <c r="S67" s="323"/>
      <c r="T67" s="323"/>
      <c r="U67" s="323"/>
      <c r="V67" s="323"/>
      <c r="W67" s="323"/>
      <c r="X67" s="323"/>
      <c r="Y67" s="323"/>
      <c r="Z67" s="322"/>
      <c r="AA67" s="323"/>
      <c r="AB67" s="323"/>
      <c r="AC67" s="323"/>
      <c r="AD67" s="323"/>
      <c r="AE67" s="323"/>
      <c r="AF67" s="323"/>
      <c r="AG67" s="323"/>
      <c r="AH67" s="323"/>
      <c r="AI67" s="323"/>
      <c r="AJ67" s="323"/>
      <c r="AK67" s="322"/>
      <c r="AL67" s="323"/>
      <c r="AM67" s="323"/>
    </row>
    <row r="68" spans="1:39" ht="12.75" customHeight="1">
      <c r="A68" s="755" t="s">
        <v>596</v>
      </c>
      <c r="B68" s="328"/>
      <c r="C68" s="323"/>
      <c r="D68" s="323"/>
      <c r="E68" s="323"/>
      <c r="F68" s="323"/>
      <c r="G68" s="323"/>
      <c r="H68" s="323"/>
      <c r="I68" s="323"/>
      <c r="J68" s="323"/>
      <c r="K68" s="323"/>
      <c r="L68" s="323"/>
      <c r="M68" s="323"/>
      <c r="N68" s="323"/>
      <c r="O68" s="323"/>
      <c r="P68" s="323"/>
      <c r="Q68" s="323"/>
      <c r="R68" s="323"/>
      <c r="S68" s="323"/>
      <c r="T68" s="323"/>
      <c r="U68" s="323"/>
      <c r="V68" s="323"/>
      <c r="W68" s="323"/>
      <c r="X68" s="323"/>
      <c r="Y68" s="323"/>
      <c r="Z68" s="322"/>
      <c r="AA68" s="323"/>
      <c r="AB68" s="323"/>
      <c r="AC68" s="323"/>
      <c r="AD68" s="323"/>
      <c r="AE68" s="323"/>
      <c r="AF68" s="323"/>
      <c r="AG68" s="323"/>
      <c r="AH68" s="323"/>
      <c r="AI68" s="323"/>
      <c r="AJ68" s="323"/>
      <c r="AK68" s="322"/>
      <c r="AL68" s="323"/>
      <c r="AM68" s="323"/>
    </row>
    <row r="69" spans="1:39" ht="12.75" customHeight="1">
      <c r="A69" s="756" t="s">
        <v>369</v>
      </c>
      <c r="B69" s="329"/>
      <c r="C69" s="329"/>
      <c r="D69" s="329"/>
      <c r="E69" s="330"/>
      <c r="F69" s="331"/>
      <c r="G69" s="331"/>
      <c r="H69" s="332"/>
      <c r="I69" s="331"/>
      <c r="J69" s="331"/>
      <c r="K69" s="331"/>
      <c r="R69" s="333"/>
      <c r="S69" s="1"/>
      <c r="T69" s="333"/>
      <c r="U69" s="333"/>
      <c r="Y69" s="331"/>
      <c r="AA69" s="335"/>
      <c r="AL69" s="336"/>
    </row>
    <row r="70" spans="1:39" ht="12.75" customHeight="1">
      <c r="A70" s="756" t="s">
        <v>370</v>
      </c>
      <c r="B70" s="329"/>
      <c r="C70" s="329"/>
      <c r="D70" s="329"/>
      <c r="E70" s="330"/>
      <c r="F70" s="331"/>
      <c r="G70" s="331"/>
      <c r="H70" s="332"/>
      <c r="I70" s="331"/>
      <c r="J70" s="331"/>
      <c r="K70" s="331"/>
      <c r="R70" s="333"/>
      <c r="S70" s="1"/>
      <c r="T70" s="333"/>
      <c r="U70" s="333"/>
      <c r="Y70" s="331"/>
      <c r="AA70" s="335"/>
      <c r="AL70" s="336"/>
    </row>
  </sheetData>
  <pageMargins left="0.19685039370078741" right="0.19685039370078741" top="0.59055118110236227" bottom="0.78740157480314965" header="0.31496062992125984" footer="0.19685039370078741"/>
  <pageSetup paperSize="9" scale="45" fitToHeight="0" orientation="landscape" cellComments="asDisplayed" r:id="rId1"/>
  <headerFooter alignWithMargins="0">
    <oddHeader>&amp;C&amp;"Myriad Pro,Regular"&amp;14Ireland's Energy Balance &amp;A</oddHeader>
    <oddFooter>&amp;L&amp;G&amp;RPage &amp;P of &amp;N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8"/>
  <dimension ref="B1:BM72"/>
  <sheetViews>
    <sheetView topLeftCell="A34" zoomScale="75" zoomScaleNormal="75" workbookViewId="0">
      <selection activeCell="C62" sqref="C62"/>
    </sheetView>
  </sheetViews>
  <sheetFormatPr defaultColWidth="8.85546875" defaultRowHeight="12.75"/>
  <cols>
    <col min="1" max="1" width="3.85546875" style="350" customWidth="1"/>
    <col min="2" max="2" width="43.7109375" style="350" customWidth="1"/>
    <col min="3" max="3" width="22.28515625" style="350" bestFit="1" customWidth="1"/>
    <col min="4" max="4" width="16.85546875" style="350" customWidth="1"/>
    <col min="5" max="5" width="13.28515625" style="350" customWidth="1"/>
    <col min="6" max="6" width="12" style="350" customWidth="1"/>
    <col min="7" max="7" width="11.140625" style="350" bestFit="1" customWidth="1"/>
    <col min="8" max="8" width="12.140625" style="350" customWidth="1"/>
    <col min="9" max="9" width="12" style="350" bestFit="1" customWidth="1"/>
    <col min="10" max="10" width="12.85546875" style="350" bestFit="1" customWidth="1"/>
    <col min="11" max="11" width="13" style="350" bestFit="1" customWidth="1"/>
    <col min="12" max="12" width="14.42578125" style="350" bestFit="1" customWidth="1"/>
    <col min="13" max="13" width="15.28515625" style="350" customWidth="1"/>
    <col min="14" max="14" width="13.28515625" style="350" customWidth="1"/>
    <col min="15" max="15" width="12.7109375" style="350" bestFit="1" customWidth="1"/>
    <col min="16" max="16" width="9.28515625" style="350" bestFit="1" customWidth="1"/>
    <col min="17" max="17" width="10.85546875" style="350" bestFit="1" customWidth="1"/>
    <col min="18" max="18" width="10.28515625" style="350" bestFit="1" customWidth="1"/>
    <col min="19" max="19" width="20.28515625" style="350" bestFit="1" customWidth="1"/>
    <col min="20" max="20" width="10.85546875" style="350" bestFit="1" customWidth="1"/>
    <col min="21" max="21" width="12.140625" style="350" bestFit="1" customWidth="1"/>
    <col min="22" max="22" width="11.7109375" style="350" bestFit="1" customWidth="1"/>
    <col min="23" max="23" width="10.85546875" style="350" bestFit="1" customWidth="1"/>
    <col min="24" max="24" width="8.28515625" style="350" bestFit="1" customWidth="1"/>
    <col min="25" max="25" width="8.140625" style="350" bestFit="1" customWidth="1"/>
    <col min="26" max="26" width="8.42578125" style="350" bestFit="1" customWidth="1"/>
    <col min="27" max="27" width="10.7109375" style="350" bestFit="1" customWidth="1"/>
    <col min="28" max="16384" width="8.85546875" style="350"/>
  </cols>
  <sheetData>
    <row r="1" spans="2:65" ht="28.5">
      <c r="B1" s="60" t="s">
        <v>201</v>
      </c>
      <c r="C1" s="61" t="s">
        <v>263</v>
      </c>
      <c r="D1" s="61"/>
      <c r="E1" s="61"/>
      <c r="F1" s="373"/>
      <c r="G1" s="373"/>
      <c r="H1" s="373"/>
      <c r="I1" s="373"/>
      <c r="J1" s="373"/>
      <c r="K1" s="373"/>
      <c r="L1" s="373"/>
      <c r="M1" s="373"/>
      <c r="N1" s="373"/>
      <c r="O1" s="373"/>
      <c r="P1" s="373"/>
      <c r="Q1" s="373"/>
      <c r="R1" s="373"/>
      <c r="S1" s="373"/>
      <c r="T1" s="373"/>
      <c r="U1" s="373"/>
      <c r="V1" s="373"/>
      <c r="W1" s="373"/>
      <c r="X1" s="373"/>
      <c r="Y1" s="373"/>
      <c r="Z1" s="373"/>
      <c r="AA1" s="373"/>
    </row>
    <row r="2" spans="2:65" ht="28.5">
      <c r="B2" s="60" t="s">
        <v>14</v>
      </c>
      <c r="C2" s="61" t="s">
        <v>362</v>
      </c>
      <c r="D2" s="61"/>
      <c r="E2" s="61"/>
      <c r="F2" s="373"/>
      <c r="G2" s="373"/>
      <c r="H2" s="373"/>
      <c r="I2" s="373"/>
      <c r="J2" s="373"/>
      <c r="K2" s="373"/>
      <c r="L2" s="373"/>
      <c r="M2" s="373"/>
      <c r="N2" s="373"/>
      <c r="O2" s="373"/>
      <c r="P2" s="373"/>
      <c r="Q2" s="373"/>
      <c r="R2" s="373"/>
      <c r="S2" s="373"/>
      <c r="T2" s="373"/>
      <c r="U2" s="373"/>
      <c r="V2" s="373"/>
      <c r="W2" s="373"/>
      <c r="X2" s="373"/>
      <c r="Y2" s="373"/>
      <c r="Z2" s="373"/>
      <c r="AA2" s="373"/>
      <c r="AB2" s="373"/>
      <c r="AC2" s="373"/>
      <c r="AD2" s="373"/>
      <c r="AE2" s="373"/>
      <c r="AF2" s="373"/>
      <c r="AG2" s="373"/>
      <c r="AH2" s="373"/>
      <c r="AI2" s="373"/>
      <c r="AJ2" s="373"/>
      <c r="AK2" s="373"/>
      <c r="AL2" s="373"/>
      <c r="AM2" s="373"/>
      <c r="AN2" s="373"/>
      <c r="AO2" s="373"/>
      <c r="AP2" s="373"/>
      <c r="AQ2" s="373"/>
      <c r="AR2" s="373"/>
      <c r="AS2" s="373"/>
      <c r="AT2" s="373"/>
      <c r="AU2" s="373"/>
      <c r="AV2" s="373"/>
      <c r="AW2" s="373"/>
      <c r="AX2" s="373"/>
      <c r="AY2" s="373"/>
      <c r="AZ2" s="373"/>
      <c r="BA2" s="373"/>
      <c r="BB2" s="373"/>
      <c r="BC2" s="373"/>
      <c r="BD2" s="373"/>
      <c r="BE2" s="373"/>
      <c r="BF2" s="373"/>
      <c r="BG2" s="373"/>
      <c r="BH2" s="373"/>
      <c r="BI2" s="373"/>
      <c r="BJ2" s="373"/>
      <c r="BK2" s="373"/>
      <c r="BL2" s="373"/>
      <c r="BM2" s="373"/>
    </row>
    <row r="3" spans="2:65" ht="28.5">
      <c r="B3" s="60" t="s">
        <v>202</v>
      </c>
      <c r="C3" s="61">
        <v>2018</v>
      </c>
      <c r="D3" s="61"/>
      <c r="E3" s="61"/>
      <c r="F3" s="373"/>
      <c r="G3" s="373"/>
      <c r="H3" s="373"/>
      <c r="I3" s="373"/>
      <c r="J3" s="373"/>
      <c r="K3" s="373"/>
      <c r="L3" s="373"/>
      <c r="M3" s="373"/>
      <c r="N3" s="373"/>
      <c r="O3" s="373"/>
      <c r="P3" s="373"/>
      <c r="Q3" s="373"/>
      <c r="R3" s="373"/>
      <c r="S3" s="373"/>
      <c r="T3" s="373"/>
      <c r="U3" s="373"/>
      <c r="V3" s="373"/>
      <c r="W3" s="373"/>
      <c r="X3" s="373"/>
      <c r="Y3" s="373"/>
      <c r="Z3" s="373"/>
      <c r="AA3" s="373"/>
      <c r="AB3" s="373"/>
      <c r="AC3" s="373"/>
      <c r="AD3" s="373"/>
      <c r="AE3" s="373"/>
      <c r="AF3" s="373"/>
      <c r="AG3" s="373"/>
      <c r="AH3" s="373"/>
      <c r="AI3" s="373"/>
      <c r="AJ3" s="373"/>
      <c r="AK3" s="373"/>
      <c r="AL3" s="373"/>
      <c r="AM3" s="373"/>
      <c r="AN3" s="373"/>
      <c r="AO3" s="373"/>
      <c r="AP3" s="373"/>
      <c r="AQ3" s="373"/>
      <c r="AR3" s="373"/>
      <c r="AS3" s="373"/>
      <c r="AT3" s="373"/>
      <c r="AU3" s="373"/>
      <c r="AV3" s="373"/>
      <c r="AW3" s="373"/>
      <c r="AX3" s="373"/>
      <c r="AY3" s="373"/>
      <c r="AZ3" s="373"/>
      <c r="BA3" s="373"/>
      <c r="BB3" s="373"/>
      <c r="BC3" s="373"/>
      <c r="BD3" s="373"/>
      <c r="BE3" s="373"/>
      <c r="BF3" s="373"/>
      <c r="BG3" s="373"/>
      <c r="BH3" s="373"/>
      <c r="BI3" s="373"/>
      <c r="BJ3" s="373"/>
      <c r="BK3" s="373"/>
      <c r="BL3" s="373"/>
      <c r="BM3" s="373"/>
    </row>
    <row r="4" spans="2:65" ht="15">
      <c r="N4" s="392"/>
      <c r="P4" s="373"/>
      <c r="Q4" s="373"/>
      <c r="R4" s="395" t="s">
        <v>371</v>
      </c>
      <c r="S4" s="396"/>
      <c r="T4" s="396"/>
      <c r="U4" s="373"/>
      <c r="V4" s="373"/>
      <c r="W4" s="373"/>
      <c r="X4" s="373"/>
      <c r="Y4" s="373"/>
      <c r="Z4" s="373"/>
    </row>
    <row r="5" spans="2:65" ht="15">
      <c r="D5" s="373"/>
      <c r="E5" s="373"/>
      <c r="O5" s="392"/>
      <c r="Q5" s="373"/>
      <c r="R5" s="394" t="s">
        <v>372</v>
      </c>
      <c r="S5" s="394">
        <v>4.1868000000000002E-2</v>
      </c>
      <c r="T5" s="394" t="s">
        <v>10</v>
      </c>
      <c r="V5" s="373"/>
      <c r="W5" s="373"/>
      <c r="X5" s="373"/>
      <c r="Y5" s="373"/>
      <c r="Z5" s="373"/>
      <c r="AA5" s="373"/>
    </row>
    <row r="6" spans="2:65">
      <c r="D6" s="373"/>
      <c r="E6" s="373"/>
      <c r="F6" s="373"/>
      <c r="G6" s="373"/>
      <c r="H6" s="373"/>
      <c r="I6" s="373"/>
      <c r="J6" s="373"/>
      <c r="K6" s="373"/>
      <c r="L6" s="373"/>
      <c r="M6" s="373"/>
      <c r="N6" s="373"/>
      <c r="O6" s="373"/>
      <c r="P6" s="373"/>
      <c r="Q6" s="373"/>
      <c r="R6" s="373"/>
      <c r="S6" s="373"/>
      <c r="T6" s="373"/>
      <c r="U6" s="373"/>
      <c r="V6" s="373"/>
      <c r="W6" s="373"/>
      <c r="X6" s="373"/>
      <c r="Y6" s="373"/>
      <c r="Z6" s="373"/>
      <c r="AA6" s="373"/>
      <c r="AB6" s="373"/>
    </row>
    <row r="7" spans="2:65">
      <c r="H7" s="416"/>
      <c r="I7" s="416"/>
    </row>
    <row r="8" spans="2:65" ht="18.75">
      <c r="B8" s="361" t="s">
        <v>79</v>
      </c>
      <c r="C8" s="393"/>
      <c r="D8" s="393"/>
      <c r="E8" s="393"/>
    </row>
    <row r="9" spans="2:65" ht="29.45" customHeight="1" thickBot="1">
      <c r="B9" s="390"/>
      <c r="C9" s="360"/>
      <c r="D9" s="391" t="s">
        <v>8</v>
      </c>
      <c r="E9" s="391" t="s">
        <v>7</v>
      </c>
      <c r="F9" s="391" t="s">
        <v>37</v>
      </c>
      <c r="G9" s="391" t="s">
        <v>9</v>
      </c>
      <c r="H9" s="391" t="s">
        <v>52</v>
      </c>
      <c r="I9" s="391" t="s">
        <v>391</v>
      </c>
      <c r="J9" s="391" t="s">
        <v>6</v>
      </c>
      <c r="K9" s="391" t="s">
        <v>5</v>
      </c>
      <c r="L9" s="391" t="s">
        <v>1</v>
      </c>
      <c r="M9" s="391" t="s">
        <v>319</v>
      </c>
      <c r="N9" s="372" t="s">
        <v>92</v>
      </c>
      <c r="O9" s="349" t="s">
        <v>2</v>
      </c>
    </row>
    <row r="10" spans="2:65" ht="14.45" customHeight="1">
      <c r="B10" s="388" t="s">
        <v>363</v>
      </c>
      <c r="C10" s="359" t="str">
        <f>COM_Balance!R11</f>
        <v>CS</v>
      </c>
      <c r="D10" s="389">
        <f>'EB2018'!C59*$S$5</f>
        <v>0</v>
      </c>
      <c r="E10" s="389">
        <f>'EB2018'!S58*COM_Balance!$S$5</f>
        <v>0.29360594521884609</v>
      </c>
      <c r="F10" s="389">
        <f>('EB2018'!L58-'EB2018'!S58)*$S$5</f>
        <v>7.105811165454055</v>
      </c>
      <c r="G10" s="371">
        <f>'EB2018'!Z58*COM_Balance!$S$5</f>
        <v>9.7629655891996183</v>
      </c>
      <c r="H10" s="371">
        <f>'EB2018'!AD58*COM_Balance!$S$5</f>
        <v>0.75682597336943469</v>
      </c>
      <c r="I10" s="371">
        <f>'EB2018'!AF58*COM_Balance!$S$5</f>
        <v>0</v>
      </c>
      <c r="J10" s="371">
        <f>'EB2018'!AH58*COM_Balance!$S$5</f>
        <v>6.9707984942638896E-3</v>
      </c>
      <c r="K10" s="371">
        <f>'EB2018'!AI58*COM_Balance!$S$5</f>
        <v>0.71649471279083121</v>
      </c>
      <c r="L10" s="371">
        <f>'EB2018'!AK58*COM_Balance!$S$5</f>
        <v>19.25917865621976</v>
      </c>
      <c r="M10" s="371">
        <f>'EB2018'!AL58*COM_Balance!$S$5</f>
        <v>0</v>
      </c>
      <c r="N10" s="348"/>
      <c r="O10" s="387">
        <f>SUM(D10:M10)</f>
        <v>37.901852840746812</v>
      </c>
      <c r="R10" s="502" t="s">
        <v>199</v>
      </c>
      <c r="S10" s="503" t="s">
        <v>200</v>
      </c>
    </row>
    <row r="11" spans="2:65" ht="14.45" customHeight="1">
      <c r="B11" s="388" t="s">
        <v>364</v>
      </c>
      <c r="C11" s="359" t="str">
        <f>COM_Balance!R12</f>
        <v>PS</v>
      </c>
      <c r="D11" s="389">
        <f>'EB2018'!C60*$S$5</f>
        <v>0</v>
      </c>
      <c r="E11" s="389">
        <f>'EB2018'!S59*COM_Balance!$S$5</f>
        <v>0.10081881736217257</v>
      </c>
      <c r="F11" s="389">
        <f>('EB2018'!L59-'EB2018'!S59)*$S$5</f>
        <v>3.7025502877339393</v>
      </c>
      <c r="G11" s="371">
        <f>'EB2018'!Z59*COM_Balance!$S$5</f>
        <v>12.515633093927837</v>
      </c>
      <c r="H11" s="371">
        <f>'EB2018'!AD59*COM_Balance!$S$5</f>
        <v>0</v>
      </c>
      <c r="I11" s="371">
        <f>'EB2018'!AF59*COM_Balance!$S$5</f>
        <v>0.31574984017572605</v>
      </c>
      <c r="J11" s="371">
        <f>'EB2018'!AH59*COM_Balance!$S$5</f>
        <v>0</v>
      </c>
      <c r="K11" s="371">
        <f>'EB2018'!AI59*COM_Balance!$S$5</f>
        <v>0</v>
      </c>
      <c r="L11" s="371">
        <f>'EB2018'!AK59*COM_Balance!$S$5</f>
        <v>7.6050726955109695</v>
      </c>
      <c r="M11" s="371">
        <f>'EB2018'!AL59*COM_Balance!$S$5</f>
        <v>0</v>
      </c>
      <c r="N11" s="348"/>
      <c r="O11" s="387">
        <f>SUM(D11:M11)</f>
        <v>24.239824734710645</v>
      </c>
      <c r="R11" s="504" t="s">
        <v>143</v>
      </c>
      <c r="S11" s="505" t="s">
        <v>363</v>
      </c>
    </row>
    <row r="12" spans="2:65" ht="14.45" customHeight="1" thickBot="1">
      <c r="B12" s="358" t="s">
        <v>2</v>
      </c>
      <c r="C12" s="358" t="s">
        <v>53</v>
      </c>
      <c r="D12" s="370">
        <f>SUM(D10:D11)</f>
        <v>0</v>
      </c>
      <c r="E12" s="370">
        <f t="shared" ref="E12:O12" si="0">SUM(E10:E11)</f>
        <v>0.39442476258101866</v>
      </c>
      <c r="F12" s="370">
        <f t="shared" si="0"/>
        <v>10.808361453187995</v>
      </c>
      <c r="G12" s="370">
        <f t="shared" si="0"/>
        <v>22.278598683127456</v>
      </c>
      <c r="H12" s="370">
        <f t="shared" si="0"/>
        <v>0.75682597336943469</v>
      </c>
      <c r="I12" s="370">
        <f t="shared" si="0"/>
        <v>0.31574984017572605</v>
      </c>
      <c r="J12" s="370">
        <f t="shared" si="0"/>
        <v>6.9707984942638896E-3</v>
      </c>
      <c r="K12" s="370">
        <f t="shared" si="0"/>
        <v>0.71649471279083121</v>
      </c>
      <c r="L12" s="370">
        <f t="shared" si="0"/>
        <v>26.864251351730729</v>
      </c>
      <c r="M12" s="370">
        <f t="shared" si="0"/>
        <v>0</v>
      </c>
      <c r="N12" s="347">
        <f t="shared" si="0"/>
        <v>0</v>
      </c>
      <c r="O12" s="370">
        <f t="shared" si="0"/>
        <v>62.141677575457457</v>
      </c>
      <c r="P12" s="350">
        <f>O12/3.6</f>
        <v>17.261577104293739</v>
      </c>
      <c r="R12" s="758" t="s">
        <v>373</v>
      </c>
      <c r="S12" s="759" t="s">
        <v>364</v>
      </c>
    </row>
    <row r="13" spans="2:65">
      <c r="D13" s="385" t="s">
        <v>65</v>
      </c>
      <c r="E13" s="385" t="s">
        <v>66</v>
      </c>
      <c r="F13" s="385" t="s">
        <v>67</v>
      </c>
      <c r="G13" s="385" t="s">
        <v>68</v>
      </c>
      <c r="H13" s="385" t="s">
        <v>69</v>
      </c>
      <c r="I13" s="385" t="s">
        <v>116</v>
      </c>
      <c r="J13" s="385" t="s">
        <v>70</v>
      </c>
      <c r="K13" s="385" t="s">
        <v>71</v>
      </c>
      <c r="L13" s="385" t="s">
        <v>72</v>
      </c>
      <c r="M13" s="385" t="s">
        <v>212</v>
      </c>
      <c r="N13" s="357" t="s">
        <v>93</v>
      </c>
      <c r="P13" s="350" t="s">
        <v>144</v>
      </c>
    </row>
    <row r="16" spans="2:65" ht="18.75">
      <c r="B16" s="386" t="s">
        <v>608</v>
      </c>
      <c r="C16" s="393"/>
      <c r="D16" s="393"/>
      <c r="E16" s="393"/>
    </row>
    <row r="17" spans="2:16" ht="18.600000000000001" customHeight="1" thickBot="1">
      <c r="B17" s="360" t="s">
        <v>20</v>
      </c>
      <c r="C17" s="360"/>
      <c r="D17" s="349" t="str">
        <f>D$13</f>
        <v>COMCOA</v>
      </c>
      <c r="E17" s="349" t="str">
        <f t="shared" ref="E17:N17" si="1">E$13</f>
        <v>COMLPG</v>
      </c>
      <c r="F17" s="349" t="str">
        <f t="shared" si="1"/>
        <v>COMOIL</v>
      </c>
      <c r="G17" s="349" t="str">
        <f t="shared" si="1"/>
        <v>COMGAS</v>
      </c>
      <c r="H17" s="349" t="str">
        <f t="shared" si="1"/>
        <v>COMBIO</v>
      </c>
      <c r="I17" s="349" t="s">
        <v>116</v>
      </c>
      <c r="J17" s="349" t="str">
        <f t="shared" si="1"/>
        <v>COMSOL</v>
      </c>
      <c r="K17" s="349" t="str">
        <f t="shared" si="1"/>
        <v>COMGEO</v>
      </c>
      <c r="L17" s="349" t="str">
        <f t="shared" si="1"/>
        <v>COMELC</v>
      </c>
      <c r="M17" s="349" t="str">
        <f t="shared" si="1"/>
        <v>COMHET</v>
      </c>
      <c r="N17" s="349" t="str">
        <f t="shared" si="1"/>
        <v>COMHTH</v>
      </c>
    </row>
    <row r="18" spans="2:16">
      <c r="B18" s="369" t="s">
        <v>3</v>
      </c>
      <c r="C18" s="346"/>
      <c r="D18" s="383"/>
      <c r="E18" s="778">
        <f>F18</f>
        <v>0.87546499686926149</v>
      </c>
      <c r="F18" s="778">
        <v>0.87546499686926149</v>
      </c>
      <c r="G18" s="778">
        <f>F18</f>
        <v>0.87546499686926149</v>
      </c>
      <c r="H18" s="778">
        <f>G18</f>
        <v>0.87546499686926149</v>
      </c>
      <c r="I18" s="778">
        <f>(G18/SUM(G18,G20))</f>
        <v>0.90213435443920675</v>
      </c>
      <c r="J18" s="778">
        <v>0.6</v>
      </c>
      <c r="K18" s="778">
        <v>1</v>
      </c>
      <c r="L18" s="779">
        <v>8.093150444706064E-2</v>
      </c>
      <c r="M18" s="383">
        <v>1</v>
      </c>
      <c r="N18" s="383"/>
      <c r="P18" s="356"/>
    </row>
    <row r="19" spans="2:16">
      <c r="B19" s="369" t="s">
        <v>4</v>
      </c>
      <c r="C19" s="346"/>
      <c r="D19" s="384"/>
      <c r="E19" s="780"/>
      <c r="F19" s="780"/>
      <c r="G19" s="780"/>
      <c r="H19" s="780"/>
      <c r="I19" s="780"/>
      <c r="J19" s="780"/>
      <c r="K19" s="778"/>
      <c r="L19" s="779">
        <v>9.612234966465158E-2</v>
      </c>
      <c r="M19" s="384"/>
      <c r="N19" s="383"/>
      <c r="P19" s="356"/>
    </row>
    <row r="20" spans="2:16">
      <c r="B20" s="368" t="s">
        <v>11</v>
      </c>
      <c r="C20" s="346"/>
      <c r="D20" s="383"/>
      <c r="E20" s="778">
        <f>F20</f>
        <v>9.4972491251314795E-2</v>
      </c>
      <c r="F20" s="778">
        <v>9.4972491251314795E-2</v>
      </c>
      <c r="G20" s="778">
        <f>F20</f>
        <v>9.4972491251314795E-2</v>
      </c>
      <c r="H20" s="778">
        <f>G20</f>
        <v>9.4972491251314795E-2</v>
      </c>
      <c r="I20" s="778">
        <f>(G20/SUM(G18,G20))</f>
        <v>9.7865645560793219E-2</v>
      </c>
      <c r="J20" s="778">
        <v>0.4</v>
      </c>
      <c r="K20" s="778">
        <v>0</v>
      </c>
      <c r="L20" s="779">
        <v>0.01</v>
      </c>
      <c r="M20" s="383">
        <v>0</v>
      </c>
      <c r="N20" s="383"/>
      <c r="P20" s="356"/>
    </row>
    <row r="21" spans="2:16">
      <c r="B21" s="368" t="s">
        <v>12</v>
      </c>
      <c r="C21" s="346"/>
      <c r="D21" s="384"/>
      <c r="E21" s="780"/>
      <c r="F21" s="780"/>
      <c r="G21" s="780"/>
      <c r="H21" s="780"/>
      <c r="I21" s="780"/>
      <c r="J21" s="780"/>
      <c r="K21" s="780"/>
      <c r="L21" s="779">
        <v>0.34737807779251362</v>
      </c>
      <c r="M21" s="384"/>
      <c r="N21" s="384"/>
      <c r="P21" s="356"/>
    </row>
    <row r="22" spans="2:16">
      <c r="B22" s="368" t="s">
        <v>13</v>
      </c>
      <c r="C22" s="346"/>
      <c r="D22" s="383"/>
      <c r="E22" s="778">
        <f>F22</f>
        <v>2.9562511879423735E-2</v>
      </c>
      <c r="F22" s="778">
        <v>2.9562511879423735E-2</v>
      </c>
      <c r="G22" s="778">
        <f>F22</f>
        <v>2.9562511879423735E-2</v>
      </c>
      <c r="H22" s="778">
        <f>G22</f>
        <v>2.9562511879423735E-2</v>
      </c>
      <c r="I22" s="778"/>
      <c r="J22" s="778"/>
      <c r="K22" s="780"/>
      <c r="L22" s="779">
        <v>2.0000000000000001E-4</v>
      </c>
      <c r="M22" s="384"/>
      <c r="N22" s="384"/>
      <c r="P22" s="356"/>
    </row>
    <row r="23" spans="2:16">
      <c r="B23" s="368" t="s">
        <v>28</v>
      </c>
      <c r="C23" s="346"/>
      <c r="D23" s="384"/>
      <c r="E23" s="780"/>
      <c r="F23" s="780"/>
      <c r="G23" s="780"/>
      <c r="H23" s="780"/>
      <c r="I23" s="780"/>
      <c r="J23" s="780"/>
      <c r="K23" s="780"/>
      <c r="L23" s="779">
        <v>6.5740840843886192E-2</v>
      </c>
      <c r="M23" s="384"/>
      <c r="N23" s="384"/>
      <c r="P23" s="356"/>
    </row>
    <row r="24" spans="2:16">
      <c r="B24" s="368" t="s">
        <v>42</v>
      </c>
      <c r="C24" s="346"/>
      <c r="D24" s="384"/>
      <c r="E24" s="384"/>
      <c r="F24" s="384"/>
      <c r="G24" s="384"/>
      <c r="H24" s="384"/>
      <c r="I24" s="384"/>
      <c r="J24" s="384"/>
      <c r="K24" s="384"/>
      <c r="L24" s="411">
        <f>'Public SEAI'!E29*L11/L12</f>
        <v>2.3116647192785285E-2</v>
      </c>
      <c r="M24" s="384"/>
      <c r="N24" s="384"/>
      <c r="P24" s="356"/>
    </row>
    <row r="25" spans="2:16">
      <c r="B25" s="368" t="s">
        <v>26</v>
      </c>
      <c r="C25" s="381"/>
      <c r="D25" s="384"/>
      <c r="E25" s="384"/>
      <c r="F25" s="384"/>
      <c r="G25" s="384"/>
      <c r="H25" s="384"/>
      <c r="I25" s="384"/>
      <c r="J25" s="384"/>
      <c r="K25" s="384"/>
      <c r="L25" s="411">
        <f>1-SUM(L18:L24)</f>
        <v>0.37651058005910265</v>
      </c>
      <c r="M25" s="384"/>
      <c r="N25" s="384"/>
      <c r="P25" s="356"/>
    </row>
    <row r="26" spans="2:16">
      <c r="B26" s="368" t="s">
        <v>27</v>
      </c>
      <c r="C26" s="381"/>
      <c r="D26" s="383"/>
      <c r="E26" s="383"/>
      <c r="F26" s="383"/>
      <c r="G26" s="383"/>
      <c r="H26" s="383"/>
      <c r="I26" s="383"/>
      <c r="J26" s="383"/>
      <c r="K26" s="383"/>
      <c r="L26" s="383"/>
      <c r="M26" s="384"/>
      <c r="N26" s="384"/>
    </row>
    <row r="27" spans="2:16">
      <c r="B27" s="368" t="s">
        <v>2</v>
      </c>
      <c r="C27" s="355"/>
      <c r="D27" s="382"/>
      <c r="E27" s="382">
        <f t="shared" ref="E27:M27" si="2">IF(SUM(E18:E26)&lt;&gt;1,"ERR: " &amp;  SUM(E18:E26),SUM(E18:E26))</f>
        <v>1</v>
      </c>
      <c r="F27" s="382">
        <f t="shared" si="2"/>
        <v>1</v>
      </c>
      <c r="G27" s="382">
        <f>SUM(G18:G26)</f>
        <v>1</v>
      </c>
      <c r="H27" s="382">
        <f t="shared" si="2"/>
        <v>1</v>
      </c>
      <c r="I27" s="382">
        <f t="shared" si="2"/>
        <v>1</v>
      </c>
      <c r="J27" s="382">
        <f t="shared" si="2"/>
        <v>1</v>
      </c>
      <c r="K27" s="382">
        <f t="shared" si="2"/>
        <v>1</v>
      </c>
      <c r="L27" s="382">
        <f t="shared" si="2"/>
        <v>1</v>
      </c>
      <c r="M27" s="382">
        <f t="shared" si="2"/>
        <v>1</v>
      </c>
      <c r="N27" s="382"/>
    </row>
    <row r="30" spans="2:16" s="367" customFormat="1" ht="12.75" customHeight="1">
      <c r="C30" s="345"/>
    </row>
    <row r="31" spans="2:16" s="367" customFormat="1" ht="18.75">
      <c r="B31" s="386" t="s">
        <v>142</v>
      </c>
      <c r="C31" s="386"/>
      <c r="D31" s="386"/>
      <c r="E31" s="386"/>
    </row>
    <row r="32" spans="2:16" s="367" customFormat="1" ht="18.600000000000001" customHeight="1" thickBot="1">
      <c r="B32" s="360" t="s">
        <v>21</v>
      </c>
      <c r="C32" s="360" t="s">
        <v>41</v>
      </c>
      <c r="D32" s="349" t="str">
        <f>D$13</f>
        <v>COMCOA</v>
      </c>
      <c r="E32" s="349" t="str">
        <f t="shared" ref="E32:N32" si="3">E$13</f>
        <v>COMLPG</v>
      </c>
      <c r="F32" s="349" t="str">
        <f t="shared" si="3"/>
        <v>COMOIL</v>
      </c>
      <c r="G32" s="349" t="str">
        <f t="shared" si="3"/>
        <v>COMGAS</v>
      </c>
      <c r="H32" s="349" t="str">
        <f t="shared" si="3"/>
        <v>COMBIO</v>
      </c>
      <c r="I32" s="349" t="s">
        <v>116</v>
      </c>
      <c r="J32" s="349" t="str">
        <f t="shared" si="3"/>
        <v>COMSOL</v>
      </c>
      <c r="K32" s="349" t="str">
        <f t="shared" si="3"/>
        <v>COMGEO</v>
      </c>
      <c r="L32" s="349" t="str">
        <f t="shared" si="3"/>
        <v>COMELC</v>
      </c>
      <c r="M32" s="349" t="str">
        <f t="shared" si="3"/>
        <v>COMHET</v>
      </c>
      <c r="N32" s="354" t="str">
        <f t="shared" si="3"/>
        <v>COMHTH</v>
      </c>
      <c r="O32" s="349" t="s">
        <v>145</v>
      </c>
    </row>
    <row r="33" spans="2:21" s="367" customFormat="1" ht="12.75" customHeight="1">
      <c r="B33" s="381" t="str">
        <f>COM_Commodities!D29</f>
        <v>Commercial space heat  demand - Commercial Services</v>
      </c>
      <c r="C33" s="380" t="str">
        <f>COM_Commodities!C29</f>
        <v>CHCS</v>
      </c>
      <c r="D33" s="366">
        <f>D10*D$18</f>
        <v>0</v>
      </c>
      <c r="E33" s="366">
        <f t="shared" ref="E33:M33" si="4">E10*E$18</f>
        <v>0.25704172791181368</v>
      </c>
      <c r="F33" s="366">
        <f t="shared" si="4"/>
        <v>6.2208889497177973</v>
      </c>
      <c r="G33" s="366">
        <f t="shared" si="4"/>
        <v>8.5471346389833514</v>
      </c>
      <c r="H33" s="366">
        <f t="shared" si="4"/>
        <v>0.66257464840644797</v>
      </c>
      <c r="I33" s="366">
        <f t="shared" si="4"/>
        <v>0</v>
      </c>
      <c r="J33" s="366">
        <f t="shared" si="4"/>
        <v>4.1824790965583336E-3</v>
      </c>
      <c r="K33" s="366">
        <f t="shared" si="4"/>
        <v>0.71649471279083121</v>
      </c>
      <c r="L33" s="366">
        <f t="shared" si="4"/>
        <v>1.5586743030625849</v>
      </c>
      <c r="M33" s="366">
        <f t="shared" si="4"/>
        <v>0</v>
      </c>
      <c r="N33" s="344"/>
      <c r="O33" s="65"/>
      <c r="Q33" s="350"/>
      <c r="T33" s="65"/>
      <c r="U33" s="378"/>
    </row>
    <row r="34" spans="2:21" s="367" customFormat="1" ht="12.75" customHeight="1">
      <c r="B34" s="381" t="str">
        <f>COM_Commodities!D30</f>
        <v>Commercial space heat demand - Public Services</v>
      </c>
      <c r="C34" s="380" t="str">
        <f>COM_Commodities!C30</f>
        <v>CHPS</v>
      </c>
      <c r="D34" s="366">
        <f t="shared" ref="D34:M34" si="5">D11*D$18</f>
        <v>0</v>
      </c>
      <c r="E34" s="366">
        <f t="shared" si="5"/>
        <v>8.8263345626337059E-2</v>
      </c>
      <c r="F34" s="366">
        <f t="shared" si="5"/>
        <v>3.2414531760592764</v>
      </c>
      <c r="G34" s="366">
        <f t="shared" si="5"/>
        <v>10.95699868739236</v>
      </c>
      <c r="H34" s="366">
        <f t="shared" si="5"/>
        <v>0</v>
      </c>
      <c r="I34" s="366">
        <f t="shared" si="5"/>
        <v>0.28484877823121135</v>
      </c>
      <c r="J34" s="366">
        <f t="shared" si="5"/>
        <v>0</v>
      </c>
      <c r="K34" s="366">
        <f t="shared" si="5"/>
        <v>0</v>
      </c>
      <c r="L34" s="366">
        <f t="shared" si="5"/>
        <v>0.61548997467696542</v>
      </c>
      <c r="M34" s="366">
        <f t="shared" si="5"/>
        <v>0</v>
      </c>
      <c r="N34" s="344"/>
      <c r="O34" s="65"/>
      <c r="Q34" s="350"/>
      <c r="T34" s="65"/>
      <c r="U34" s="378"/>
    </row>
    <row r="35" spans="2:21" s="367" customFormat="1" ht="12.75" customHeight="1">
      <c r="B35" s="353"/>
      <c r="C35" s="379" t="s">
        <v>23</v>
      </c>
      <c r="D35" s="365">
        <f t="shared" ref="D35:N35" si="6">SUM(D33:D34)</f>
        <v>0</v>
      </c>
      <c r="E35" s="365">
        <f t="shared" si="6"/>
        <v>0.34530507353815076</v>
      </c>
      <c r="F35" s="365">
        <f t="shared" si="6"/>
        <v>9.4623421257770737</v>
      </c>
      <c r="G35" s="365">
        <f t="shared" si="6"/>
        <v>19.504133326375712</v>
      </c>
      <c r="H35" s="365">
        <f t="shared" si="6"/>
        <v>0.66257464840644797</v>
      </c>
      <c r="I35" s="365">
        <f t="shared" si="6"/>
        <v>0.28484877823121135</v>
      </c>
      <c r="J35" s="365">
        <f t="shared" si="6"/>
        <v>4.1824790965583336E-3</v>
      </c>
      <c r="K35" s="365">
        <f t="shared" si="6"/>
        <v>0.71649471279083121</v>
      </c>
      <c r="L35" s="365">
        <f t="shared" si="6"/>
        <v>2.1741642777395502</v>
      </c>
      <c r="M35" s="365">
        <f t="shared" si="6"/>
        <v>0</v>
      </c>
      <c r="N35" s="343">
        <f t="shared" si="6"/>
        <v>0</v>
      </c>
      <c r="O35" s="135">
        <f>SUM(D35:N35)</f>
        <v>33.154045421955537</v>
      </c>
      <c r="R35" s="350"/>
      <c r="S35" s="350"/>
      <c r="T35" s="65"/>
      <c r="U35" s="378"/>
    </row>
    <row r="36" spans="2:21" s="367" customFormat="1" ht="12.75" customHeight="1">
      <c r="B36" s="381" t="str">
        <f>COM_Commodities!D31</f>
        <v>Commercial space cooling demand - Commercial Services</v>
      </c>
      <c r="C36" s="380" t="str">
        <f>COM_Commodities!C31</f>
        <v>CCCS</v>
      </c>
      <c r="D36" s="366">
        <f t="shared" ref="D36:M36" si="7">D10*D$19</f>
        <v>0</v>
      </c>
      <c r="E36" s="366">
        <f t="shared" si="7"/>
        <v>0</v>
      </c>
      <c r="F36" s="366">
        <f t="shared" si="7"/>
        <v>0</v>
      </c>
      <c r="G36" s="366">
        <f t="shared" si="7"/>
        <v>0</v>
      </c>
      <c r="H36" s="366">
        <f t="shared" si="7"/>
        <v>0</v>
      </c>
      <c r="I36" s="366">
        <f t="shared" si="7"/>
        <v>0</v>
      </c>
      <c r="J36" s="366">
        <f t="shared" si="7"/>
        <v>0</v>
      </c>
      <c r="K36" s="366">
        <f t="shared" si="7"/>
        <v>0</v>
      </c>
      <c r="L36" s="366">
        <f t="shared" si="7"/>
        <v>1.8512375050471503</v>
      </c>
      <c r="M36" s="366">
        <f t="shared" si="7"/>
        <v>0</v>
      </c>
      <c r="N36" s="344"/>
      <c r="O36" s="65"/>
      <c r="R36" s="350"/>
      <c r="S36" s="350"/>
      <c r="T36" s="65"/>
      <c r="U36" s="378"/>
    </row>
    <row r="37" spans="2:21" s="367" customFormat="1" ht="12.75" customHeight="1">
      <c r="B37" s="381" t="str">
        <f>COM_Commodities!D32</f>
        <v>Commercial space cooling demand - Public Services</v>
      </c>
      <c r="C37" s="380" t="str">
        <f>COM_Commodities!C32</f>
        <v>CCPS</v>
      </c>
      <c r="D37" s="366">
        <f t="shared" ref="D37:M37" si="8">D11*D$19</f>
        <v>0</v>
      </c>
      <c r="E37" s="366">
        <f t="shared" si="8"/>
        <v>0</v>
      </c>
      <c r="F37" s="366">
        <f t="shared" si="8"/>
        <v>0</v>
      </c>
      <c r="G37" s="366">
        <f t="shared" si="8"/>
        <v>0</v>
      </c>
      <c r="H37" s="366">
        <f t="shared" si="8"/>
        <v>0</v>
      </c>
      <c r="I37" s="366">
        <f t="shared" si="8"/>
        <v>0</v>
      </c>
      <c r="J37" s="366">
        <f t="shared" si="8"/>
        <v>0</v>
      </c>
      <c r="K37" s="366">
        <f t="shared" si="8"/>
        <v>0</v>
      </c>
      <c r="L37" s="366">
        <f t="shared" si="8"/>
        <v>0.73101745686299968</v>
      </c>
      <c r="M37" s="366">
        <f t="shared" si="8"/>
        <v>0</v>
      </c>
      <c r="N37" s="344"/>
      <c r="O37" s="65"/>
      <c r="R37" s="350"/>
      <c r="S37" s="350"/>
      <c r="T37" s="65"/>
      <c r="U37" s="378"/>
    </row>
    <row r="38" spans="2:21" s="367" customFormat="1" ht="12.75" customHeight="1">
      <c r="B38" s="381"/>
      <c r="C38" s="380"/>
      <c r="D38" s="365">
        <f t="shared" ref="D38:N38" si="9">SUM(D36:D37)</f>
        <v>0</v>
      </c>
      <c r="E38" s="365">
        <f t="shared" si="9"/>
        <v>0</v>
      </c>
      <c r="F38" s="365">
        <f t="shared" si="9"/>
        <v>0</v>
      </c>
      <c r="G38" s="365">
        <f t="shared" si="9"/>
        <v>0</v>
      </c>
      <c r="H38" s="365">
        <f t="shared" si="9"/>
        <v>0</v>
      </c>
      <c r="I38" s="365">
        <f t="shared" si="9"/>
        <v>0</v>
      </c>
      <c r="J38" s="365">
        <f t="shared" si="9"/>
        <v>0</v>
      </c>
      <c r="K38" s="365">
        <f t="shared" si="9"/>
        <v>0</v>
      </c>
      <c r="L38" s="365">
        <f t="shared" si="9"/>
        <v>2.58225496191015</v>
      </c>
      <c r="M38" s="365">
        <f t="shared" si="9"/>
        <v>0</v>
      </c>
      <c r="N38" s="343">
        <f t="shared" si="9"/>
        <v>0</v>
      </c>
      <c r="O38" s="135">
        <f>SUM(D38:N38)</f>
        <v>2.58225496191015</v>
      </c>
      <c r="R38" s="350"/>
      <c r="S38" s="350"/>
      <c r="T38" s="65"/>
      <c r="U38" s="378"/>
    </row>
    <row r="39" spans="2:21">
      <c r="B39" s="381" t="str">
        <f>COM_Commodities!D33</f>
        <v>Commercial water heating demand - Commercial Services</v>
      </c>
      <c r="C39" s="380" t="str">
        <f>COM_Commodities!C33</f>
        <v>CWCS</v>
      </c>
      <c r="D39" s="366">
        <f t="shared" ref="D39:M39" si="10">D10*D$20</f>
        <v>0</v>
      </c>
      <c r="E39" s="366">
        <f t="shared" si="10"/>
        <v>2.788448806363087E-2</v>
      </c>
      <c r="F39" s="366">
        <f t="shared" si="10"/>
        <v>0.67485658874458021</v>
      </c>
      <c r="G39" s="366">
        <f t="shared" si="10"/>
        <v>0.92721316400714815</v>
      </c>
      <c r="H39" s="366">
        <f t="shared" si="10"/>
        <v>7.1877648134596434E-2</v>
      </c>
      <c r="I39" s="366">
        <f t="shared" si="10"/>
        <v>0</v>
      </c>
      <c r="J39" s="366">
        <f t="shared" si="10"/>
        <v>2.788319397705556E-3</v>
      </c>
      <c r="K39" s="366">
        <f t="shared" si="10"/>
        <v>0</v>
      </c>
      <c r="L39" s="366">
        <f t="shared" si="10"/>
        <v>0.19259178656219761</v>
      </c>
      <c r="M39" s="366">
        <f t="shared" si="10"/>
        <v>0</v>
      </c>
      <c r="N39" s="344"/>
      <c r="O39" s="65"/>
      <c r="T39" s="65"/>
      <c r="U39" s="378"/>
    </row>
    <row r="40" spans="2:21">
      <c r="B40" s="381" t="str">
        <f>COM_Commodities!D34</f>
        <v>Commercial water heating demand - Public Services</v>
      </c>
      <c r="C40" s="380" t="str">
        <f>COM_Commodities!C34</f>
        <v>CWPS</v>
      </c>
      <c r="D40" s="366">
        <f t="shared" ref="D40:M40" si="11">D11*D$20</f>
        <v>0</v>
      </c>
      <c r="E40" s="366">
        <f t="shared" si="11"/>
        <v>9.5750142498968391E-3</v>
      </c>
      <c r="F40" s="366">
        <f t="shared" si="11"/>
        <v>0.35164042480936464</v>
      </c>
      <c r="G40" s="366">
        <f t="shared" si="11"/>
        <v>1.1886408545177274</v>
      </c>
      <c r="H40" s="366">
        <f t="shared" si="11"/>
        <v>0</v>
      </c>
      <c r="I40" s="366">
        <f t="shared" si="11"/>
        <v>3.0901061944514713E-2</v>
      </c>
      <c r="J40" s="366">
        <f t="shared" si="11"/>
        <v>0</v>
      </c>
      <c r="K40" s="366">
        <f t="shared" si="11"/>
        <v>0</v>
      </c>
      <c r="L40" s="366">
        <f t="shared" si="11"/>
        <v>7.6050726955109699E-2</v>
      </c>
      <c r="M40" s="366">
        <f t="shared" si="11"/>
        <v>0</v>
      </c>
      <c r="N40" s="344"/>
      <c r="O40" s="65"/>
      <c r="T40" s="65"/>
      <c r="U40" s="378"/>
    </row>
    <row r="41" spans="2:21">
      <c r="B41" s="353"/>
      <c r="C41" s="379"/>
      <c r="D41" s="365">
        <f t="shared" ref="D41:N41" si="12">SUM(D39:D40)</f>
        <v>0</v>
      </c>
      <c r="E41" s="365">
        <f t="shared" si="12"/>
        <v>3.7459502313527709E-2</v>
      </c>
      <c r="F41" s="365">
        <f t="shared" si="12"/>
        <v>1.0264970135539448</v>
      </c>
      <c r="G41" s="365">
        <f t="shared" si="12"/>
        <v>2.1158540185248755</v>
      </c>
      <c r="H41" s="365">
        <f t="shared" si="12"/>
        <v>7.1877648134596434E-2</v>
      </c>
      <c r="I41" s="365">
        <f t="shared" si="12"/>
        <v>3.0901061944514713E-2</v>
      </c>
      <c r="J41" s="365">
        <f t="shared" si="12"/>
        <v>2.788319397705556E-3</v>
      </c>
      <c r="K41" s="365">
        <f t="shared" si="12"/>
        <v>0</v>
      </c>
      <c r="L41" s="365">
        <f t="shared" si="12"/>
        <v>0.26864251351730728</v>
      </c>
      <c r="M41" s="365">
        <f t="shared" si="12"/>
        <v>0</v>
      </c>
      <c r="N41" s="343">
        <f t="shared" si="12"/>
        <v>0</v>
      </c>
      <c r="O41" s="135">
        <f>SUM(D41:N41)</f>
        <v>3.5540200773864719</v>
      </c>
      <c r="T41" s="65"/>
      <c r="U41" s="378"/>
    </row>
    <row r="42" spans="2:21">
      <c r="B42" s="374" t="str">
        <f>COM_Commodities!D35</f>
        <v>Commercial Lighting Demand</v>
      </c>
      <c r="C42" s="374" t="str">
        <f>COM_Commodities!C35</f>
        <v>CLIG</v>
      </c>
      <c r="D42" s="366">
        <f t="shared" ref="D42:M42" si="13">D12*D21</f>
        <v>0</v>
      </c>
      <c r="E42" s="366">
        <f t="shared" si="13"/>
        <v>0</v>
      </c>
      <c r="F42" s="366">
        <f t="shared" si="13"/>
        <v>0</v>
      </c>
      <c r="G42" s="366">
        <f t="shared" si="13"/>
        <v>0</v>
      </c>
      <c r="H42" s="366">
        <f t="shared" si="13"/>
        <v>0</v>
      </c>
      <c r="I42" s="366">
        <f t="shared" si="13"/>
        <v>0</v>
      </c>
      <c r="J42" s="366">
        <f t="shared" si="13"/>
        <v>0</v>
      </c>
      <c r="K42" s="366">
        <f t="shared" si="13"/>
        <v>0</v>
      </c>
      <c r="L42" s="366">
        <f t="shared" si="13"/>
        <v>9.3320519958991568</v>
      </c>
      <c r="M42" s="366">
        <f t="shared" si="13"/>
        <v>0</v>
      </c>
      <c r="N42" s="344"/>
      <c r="O42" s="65"/>
      <c r="T42" s="65"/>
      <c r="U42" s="378"/>
    </row>
    <row r="43" spans="2:21">
      <c r="B43" s="374" t="str">
        <f>COM_Commodities!D36</f>
        <v>Commercial Cooking Demand</v>
      </c>
      <c r="C43" s="374" t="str">
        <f>COM_Commodities!C36</f>
        <v>CCOK</v>
      </c>
      <c r="D43" s="366">
        <f t="shared" ref="D43:M43" si="14">D12*D22</f>
        <v>0</v>
      </c>
      <c r="E43" s="366">
        <f t="shared" si="14"/>
        <v>1.1660186729340251E-2</v>
      </c>
      <c r="F43" s="366">
        <f t="shared" si="14"/>
        <v>0.31952231385697571</v>
      </c>
      <c r="G43" s="366">
        <f t="shared" si="14"/>
        <v>0.65861133822686935</v>
      </c>
      <c r="H43" s="366">
        <f t="shared" si="14"/>
        <v>2.2373676828390344E-2</v>
      </c>
      <c r="I43" s="366">
        <f t="shared" si="14"/>
        <v>0</v>
      </c>
      <c r="J43" s="366">
        <f t="shared" si="14"/>
        <v>0</v>
      </c>
      <c r="K43" s="366">
        <f t="shared" si="14"/>
        <v>0</v>
      </c>
      <c r="L43" s="366">
        <f t="shared" si="14"/>
        <v>5.3728502703461458E-3</v>
      </c>
      <c r="M43" s="366">
        <f t="shared" si="14"/>
        <v>0</v>
      </c>
      <c r="N43" s="344"/>
      <c r="O43" s="65"/>
      <c r="T43" s="65"/>
      <c r="U43" s="378"/>
    </row>
    <row r="44" spans="2:21">
      <c r="B44" s="374" t="str">
        <f>COM_Commodities!D37</f>
        <v>Commercial Refrigeration Demand</v>
      </c>
      <c r="C44" s="374" t="str">
        <f>COM_Commodities!C37</f>
        <v>CREF</v>
      </c>
      <c r="D44" s="366"/>
      <c r="E44" s="366"/>
      <c r="F44" s="366"/>
      <c r="G44" s="366"/>
      <c r="H44" s="366"/>
      <c r="I44" s="366"/>
      <c r="J44" s="366"/>
      <c r="K44" s="366"/>
      <c r="L44" s="366">
        <f>L$12*L23</f>
        <v>1.7660784725042844</v>
      </c>
      <c r="M44" s="366"/>
      <c r="N44" s="344"/>
      <c r="T44" s="65"/>
      <c r="U44" s="378"/>
    </row>
    <row r="45" spans="2:21">
      <c r="B45" s="374" t="str">
        <f>COM_Commodities!D38</f>
        <v>Commercial Public Lighting Demand</v>
      </c>
      <c r="C45" s="374" t="str">
        <f>COM_Commodities!C38</f>
        <v>CPLI</v>
      </c>
      <c r="D45" s="366"/>
      <c r="E45" s="366"/>
      <c r="F45" s="366"/>
      <c r="G45" s="366"/>
      <c r="H45" s="366"/>
      <c r="I45" s="366"/>
      <c r="J45" s="366"/>
      <c r="K45" s="366"/>
      <c r="L45" s="366">
        <f>L$12*L24</f>
        <v>0.62101142059626446</v>
      </c>
      <c r="M45" s="366"/>
      <c r="N45" s="344"/>
      <c r="T45" s="65"/>
      <c r="U45" s="378"/>
    </row>
    <row r="46" spans="2:21">
      <c r="B46" s="374" t="str">
        <f>COM_Commodities!D39</f>
        <v>Commercial Other Electric Demand</v>
      </c>
      <c r="C46" s="374" t="str">
        <f>COM_Commodities!C39</f>
        <v>COEL</v>
      </c>
      <c r="D46" s="366"/>
      <c r="E46" s="366"/>
      <c r="F46" s="366"/>
      <c r="G46" s="366"/>
      <c r="H46" s="366"/>
      <c r="I46" s="366"/>
      <c r="J46" s="366"/>
      <c r="K46" s="366"/>
      <c r="L46" s="366">
        <f>L$12*L25</f>
        <v>10.11467485929367</v>
      </c>
      <c r="M46" s="366"/>
      <c r="N46" s="344"/>
      <c r="T46" s="65"/>
      <c r="U46" s="378"/>
    </row>
    <row r="47" spans="2:21">
      <c r="B47" s="374" t="str">
        <f>COM_Commodities!D40</f>
        <v>Commercial Other Energy Demand</v>
      </c>
      <c r="C47" s="374" t="str">
        <f>COM_Commodities!C40</f>
        <v>COEN</v>
      </c>
      <c r="D47" s="366"/>
      <c r="E47" s="366"/>
      <c r="F47" s="366"/>
      <c r="G47" s="366"/>
      <c r="H47" s="366"/>
      <c r="I47" s="366"/>
      <c r="J47" s="366"/>
      <c r="K47" s="366"/>
      <c r="L47" s="366"/>
      <c r="M47" s="366"/>
      <c r="N47" s="344"/>
      <c r="T47" s="65"/>
      <c r="U47" s="378"/>
    </row>
    <row r="48" spans="2:21">
      <c r="B48" s="374"/>
      <c r="C48" s="374"/>
      <c r="D48" s="365">
        <f>SUM(D42:D47)</f>
        <v>0</v>
      </c>
      <c r="E48" s="365">
        <f t="shared" ref="E48:N48" si="15">SUM(E42:E47)</f>
        <v>1.1660186729340251E-2</v>
      </c>
      <c r="F48" s="365">
        <f t="shared" si="15"/>
        <v>0.31952231385697571</v>
      </c>
      <c r="G48" s="365">
        <f t="shared" si="15"/>
        <v>0.65861133822686935</v>
      </c>
      <c r="H48" s="365">
        <f t="shared" si="15"/>
        <v>2.2373676828390344E-2</v>
      </c>
      <c r="I48" s="365">
        <f t="shared" si="15"/>
        <v>0</v>
      </c>
      <c r="J48" s="365">
        <f t="shared" si="15"/>
        <v>0</v>
      </c>
      <c r="K48" s="365">
        <f t="shared" si="15"/>
        <v>0</v>
      </c>
      <c r="L48" s="365">
        <f t="shared" si="15"/>
        <v>21.839189598563721</v>
      </c>
      <c r="M48" s="365">
        <f t="shared" si="15"/>
        <v>0</v>
      </c>
      <c r="N48" s="343">
        <f t="shared" si="15"/>
        <v>0</v>
      </c>
      <c r="O48" s="135">
        <f>SUM(D48:N48)</f>
        <v>22.851357114205296</v>
      </c>
      <c r="T48" s="65"/>
      <c r="U48" s="378"/>
    </row>
    <row r="49" spans="2:21" ht="12.75" customHeight="1">
      <c r="B49" s="351"/>
      <c r="C49" s="351"/>
      <c r="D49" s="351"/>
      <c r="E49" s="351"/>
      <c r="F49" s="351"/>
      <c r="G49" s="351"/>
      <c r="H49" s="351"/>
      <c r="I49" s="351"/>
      <c r="O49" s="377">
        <f>O35+O38+O41+O48</f>
        <v>62.141677575457464</v>
      </c>
      <c r="P49" s="350">
        <f>O49/3.6</f>
        <v>17.261577104293739</v>
      </c>
      <c r="Q49" s="479">
        <f>O49/S5</f>
        <v>1484.2284698446895</v>
      </c>
      <c r="T49" s="65"/>
      <c r="U49" s="378"/>
    </row>
    <row r="50" spans="2:21" ht="12.75" customHeight="1">
      <c r="B50" s="351"/>
      <c r="C50" s="351"/>
      <c r="D50" s="351"/>
      <c r="E50" s="351"/>
      <c r="F50" s="351"/>
      <c r="G50" s="351"/>
      <c r="H50" s="351"/>
      <c r="I50" s="351"/>
      <c r="J50" s="351"/>
      <c r="K50" s="351"/>
      <c r="L50" s="351"/>
      <c r="M50" s="351"/>
      <c r="N50" s="351"/>
      <c r="O50" s="377" t="s">
        <v>10</v>
      </c>
      <c r="P50" s="350" t="s">
        <v>144</v>
      </c>
      <c r="Q50" s="350" t="s">
        <v>511</v>
      </c>
      <c r="T50" s="65"/>
      <c r="U50" s="378"/>
    </row>
    <row r="51" spans="2:21">
      <c r="B51" s="351"/>
      <c r="C51" s="351"/>
      <c r="D51" s="351"/>
      <c r="E51" s="362"/>
      <c r="F51" s="351"/>
      <c r="G51" s="351"/>
      <c r="H51" s="351"/>
      <c r="N51" s="377"/>
    </row>
    <row r="52" spans="2:21" ht="18.75">
      <c r="B52" s="363" t="s">
        <v>535</v>
      </c>
      <c r="C52" s="386"/>
      <c r="D52" s="386"/>
      <c r="E52" s="362"/>
      <c r="F52" s="351"/>
      <c r="G52" s="351"/>
      <c r="H52" s="351"/>
      <c r="N52" s="377"/>
    </row>
    <row r="53" spans="2:21" ht="13.5" thickBot="1">
      <c r="B53" s="375" t="s">
        <v>19</v>
      </c>
      <c r="C53" s="349" t="s">
        <v>96</v>
      </c>
      <c r="D53" s="349" t="s">
        <v>63</v>
      </c>
      <c r="E53" s="362"/>
      <c r="F53" s="351"/>
      <c r="G53" s="351"/>
      <c r="H53" s="351"/>
      <c r="N53" s="377"/>
    </row>
    <row r="54" spans="2:21">
      <c r="B54" s="353" t="s">
        <v>388</v>
      </c>
      <c r="C54" s="352">
        <f>SUM('Commercial SEAI'!C6:G6)/1000</f>
        <v>109.35299999999999</v>
      </c>
      <c r="D54" s="376">
        <f>C54/$C$56</f>
        <v>0.60992645064535489</v>
      </c>
      <c r="E54" s="362"/>
      <c r="F54" s="351"/>
      <c r="G54" s="351"/>
      <c r="H54" s="351"/>
      <c r="N54" s="377"/>
    </row>
    <row r="55" spans="2:21">
      <c r="B55" s="353" t="s">
        <v>364</v>
      </c>
      <c r="C55" s="468">
        <f>C54*O11/O10</f>
        <v>69.935830455368944</v>
      </c>
      <c r="D55" s="376">
        <f>C55/$C$56</f>
        <v>0.390073549354645</v>
      </c>
      <c r="E55" s="362"/>
      <c r="F55" s="351"/>
      <c r="G55" s="351"/>
      <c r="H55" s="351"/>
      <c r="N55" s="377"/>
    </row>
    <row r="56" spans="2:21" ht="13.5" thickBot="1">
      <c r="B56" s="360" t="s">
        <v>2</v>
      </c>
      <c r="C56" s="499">
        <f>SUM(C54:C55)</f>
        <v>179.28883045536895</v>
      </c>
      <c r="D56" s="497">
        <f>SUM(D54:D55)</f>
        <v>0.99999999999999989</v>
      </c>
      <c r="E56" s="362"/>
      <c r="F56" s="351"/>
      <c r="G56" s="351"/>
      <c r="H56" s="351"/>
      <c r="N56" s="377"/>
    </row>
    <row r="57" spans="2:21">
      <c r="B57" s="351"/>
      <c r="C57" s="351"/>
      <c r="D57" s="351"/>
      <c r="E57" s="362"/>
      <c r="F57" s="351"/>
      <c r="G57" s="351"/>
      <c r="H57" s="351"/>
      <c r="N57" s="377"/>
    </row>
    <row r="58" spans="2:21">
      <c r="B58" s="351"/>
      <c r="C58" s="351"/>
      <c r="D58" s="351"/>
      <c r="E58" s="362"/>
      <c r="F58" s="351"/>
      <c r="G58" s="351"/>
      <c r="H58" s="351"/>
      <c r="N58" s="377"/>
    </row>
    <row r="59" spans="2:21">
      <c r="B59" s="351"/>
      <c r="C59" s="351"/>
      <c r="D59" s="351"/>
      <c r="E59" s="362"/>
      <c r="F59" s="351"/>
      <c r="G59" s="351"/>
      <c r="H59" s="351"/>
      <c r="N59" s="377"/>
    </row>
    <row r="60" spans="2:21" ht="18.75">
      <c r="B60" s="363" t="s">
        <v>97</v>
      </c>
      <c r="C60" s="386"/>
      <c r="D60" s="386"/>
    </row>
    <row r="61" spans="2:21" ht="13.5" thickBot="1">
      <c r="B61" s="375" t="s">
        <v>19</v>
      </c>
      <c r="C61" s="349" t="s">
        <v>96</v>
      </c>
      <c r="D61" s="349" t="s">
        <v>63</v>
      </c>
      <c r="F61" s="466"/>
      <c r="G61" s="466"/>
      <c r="H61" s="466"/>
      <c r="I61" s="466"/>
      <c r="J61" s="466"/>
      <c r="K61" s="466"/>
    </row>
    <row r="62" spans="2:21" ht="15">
      <c r="B62" s="353" t="s">
        <v>388</v>
      </c>
      <c r="C62" s="467">
        <f>C54*SUMPRODUCT('Commercial SEAI'!C6:G6,'Commercial SEAI'!C8:G8)/SUM('Commercial SEAI'!C6:G6)</f>
        <v>68243.948999999993</v>
      </c>
      <c r="D62" s="376">
        <f>C62/$C$64</f>
        <v>0.59290514800520799</v>
      </c>
      <c r="F62" s="475"/>
      <c r="G62" s="466"/>
      <c r="H62" s="466"/>
      <c r="I62" s="466"/>
      <c r="J62" s="466"/>
      <c r="K62" s="466"/>
      <c r="L62" s="474"/>
      <c r="M62" s="475"/>
    </row>
    <row r="63" spans="2:21" ht="15">
      <c r="B63" s="353" t="s">
        <v>364</v>
      </c>
      <c r="C63" s="467">
        <f>C55*'CSO data'!O36</f>
        <v>46857.006405097192</v>
      </c>
      <c r="D63" s="376">
        <f>C63/$C$64</f>
        <v>0.40709485199479195</v>
      </c>
      <c r="F63" s="475"/>
      <c r="G63" s="466"/>
      <c r="H63" s="500"/>
      <c r="I63" s="466"/>
      <c r="J63" s="466"/>
      <c r="K63" s="466"/>
      <c r="L63" s="474"/>
      <c r="M63" s="475"/>
    </row>
    <row r="64" spans="2:21" ht="13.5" thickBot="1">
      <c r="B64" s="360" t="s">
        <v>2</v>
      </c>
      <c r="C64" s="499">
        <f>SUM(C62:C63)</f>
        <v>115100.95540509719</v>
      </c>
      <c r="D64" s="497">
        <f>SUM(D62:D63)</f>
        <v>1</v>
      </c>
    </row>
    <row r="65" spans="2:9">
      <c r="B65" s="466"/>
      <c r="C65" s="495"/>
      <c r="D65" s="496"/>
    </row>
    <row r="66" spans="2:9">
      <c r="B66" s="466"/>
      <c r="C66" s="495"/>
      <c r="D66" s="496"/>
    </row>
    <row r="67" spans="2:9">
      <c r="B67" s="466"/>
      <c r="C67" s="495"/>
      <c r="D67" s="496"/>
    </row>
    <row r="68" spans="2:9" ht="18.75">
      <c r="B68" s="363" t="s">
        <v>610</v>
      </c>
      <c r="C68" s="364"/>
      <c r="D68" s="364"/>
      <c r="E68" s="466"/>
      <c r="I68" s="392"/>
    </row>
    <row r="69" spans="2:9">
      <c r="B69" s="353" t="s">
        <v>19</v>
      </c>
      <c r="C69" s="353" t="s">
        <v>96</v>
      </c>
      <c r="D69" s="353" t="s">
        <v>609</v>
      </c>
      <c r="E69" s="466"/>
    </row>
    <row r="70" spans="2:9">
      <c r="B70" s="353" t="s">
        <v>388</v>
      </c>
      <c r="C70" s="352">
        <f>C62*D70</f>
        <v>17129.231198999998</v>
      </c>
      <c r="D70" s="469">
        <f>SUMPRODUCT('Commercial SEAI'!C40:G40,'Commercial SEAI'!C7:G7)/SUM('Commercial SEAI'!C7:G7)</f>
        <v>0.251</v>
      </c>
      <c r="E70" s="466"/>
    </row>
    <row r="71" spans="2:9">
      <c r="B71" s="353" t="s">
        <v>364</v>
      </c>
      <c r="C71" s="352">
        <f>C63*D71</f>
        <v>11761.108607679394</v>
      </c>
      <c r="D71" s="498">
        <f>D70</f>
        <v>0.251</v>
      </c>
      <c r="E71" s="466"/>
    </row>
    <row r="72" spans="2:9" ht="13.5" thickBot="1">
      <c r="B72" s="360" t="s">
        <v>2</v>
      </c>
      <c r="C72" s="499">
        <f>SUM(C70:C71)</f>
        <v>28890.339806679392</v>
      </c>
      <c r="D72" s="497">
        <f>SUM(D70:D71)</f>
        <v>0.502</v>
      </c>
    </row>
  </sheetData>
  <phoneticPr fontId="0" type="noConversion"/>
  <pageMargins left="0.75" right="0.75" top="1" bottom="1" header="0.5" footer="0.5"/>
  <pageSetup orientation="landscape" horizontalDpi="300" verticalDpi="300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4">
    <tabColor rgb="FFFFC000"/>
  </sheetPr>
  <dimension ref="B2:J40"/>
  <sheetViews>
    <sheetView zoomScale="75" zoomScaleNormal="75" workbookViewId="0">
      <selection activeCell="E23" sqref="E23"/>
    </sheetView>
  </sheetViews>
  <sheetFormatPr defaultColWidth="9.140625" defaultRowHeight="15"/>
  <cols>
    <col min="1" max="1" width="4.42578125" style="16" customWidth="1"/>
    <col min="2" max="2" width="36.85546875" style="16" bestFit="1" customWidth="1"/>
    <col min="3" max="3" width="19.5703125" style="16" bestFit="1" customWidth="1"/>
    <col min="4" max="4" width="78.42578125" style="16" bestFit="1" customWidth="1"/>
    <col min="5" max="5" width="5.7109375" style="16" bestFit="1" customWidth="1"/>
    <col min="6" max="6" width="29.140625" style="16" bestFit="1" customWidth="1"/>
    <col min="7" max="7" width="17.42578125" style="16" bestFit="1" customWidth="1"/>
    <col min="8" max="8" width="18.42578125" style="16" bestFit="1" customWidth="1"/>
    <col min="9" max="9" width="21.42578125" style="16" bestFit="1" customWidth="1"/>
    <col min="10" max="11" width="11.42578125" style="16" customWidth="1"/>
    <col min="12" max="12" width="6.42578125" style="16" customWidth="1"/>
    <col min="13" max="13" width="48.5703125" style="16" bestFit="1" customWidth="1"/>
    <col min="14" max="254" width="11.42578125" style="16" customWidth="1"/>
    <col min="255" max="16384" width="9.140625" style="16"/>
  </cols>
  <sheetData>
    <row r="2" spans="2:10" ht="18.75">
      <c r="B2" s="17" t="s">
        <v>178</v>
      </c>
      <c r="C2" s="18"/>
      <c r="D2" s="18"/>
      <c r="E2" s="19"/>
      <c r="F2" s="19"/>
      <c r="G2" s="19"/>
      <c r="H2" s="19"/>
      <c r="I2" s="19"/>
    </row>
    <row r="3" spans="2:10">
      <c r="B3" s="15" t="s">
        <v>81</v>
      </c>
      <c r="C3" s="20"/>
      <c r="D3" s="20"/>
      <c r="E3" s="20"/>
      <c r="F3" s="20"/>
      <c r="G3" s="20"/>
      <c r="H3" s="20"/>
      <c r="I3" s="20"/>
    </row>
    <row r="4" spans="2:10" ht="15.75" thickBot="1">
      <c r="B4" s="21" t="s">
        <v>76</v>
      </c>
      <c r="C4" s="21" t="s">
        <v>17</v>
      </c>
      <c r="D4" s="21" t="s">
        <v>18</v>
      </c>
      <c r="E4" s="21" t="s">
        <v>19</v>
      </c>
      <c r="F4" s="21" t="s">
        <v>73</v>
      </c>
      <c r="G4" s="21" t="s">
        <v>77</v>
      </c>
      <c r="H4" s="21" t="s">
        <v>74</v>
      </c>
      <c r="I4" s="21" t="s">
        <v>83</v>
      </c>
    </row>
    <row r="5" spans="2:10" ht="15.75">
      <c r="B5" s="22" t="s">
        <v>171</v>
      </c>
      <c r="C5" s="22" t="s">
        <v>172</v>
      </c>
      <c r="D5" s="22" t="s">
        <v>173</v>
      </c>
      <c r="E5" s="22" t="s">
        <v>19</v>
      </c>
      <c r="F5" s="22" t="s">
        <v>174</v>
      </c>
      <c r="G5" s="22" t="s">
        <v>175</v>
      </c>
      <c r="H5" s="22" t="s">
        <v>176</v>
      </c>
      <c r="I5" s="22" t="s">
        <v>177</v>
      </c>
    </row>
    <row r="6" spans="2:10">
      <c r="B6" s="26" t="s">
        <v>135</v>
      </c>
      <c r="C6" s="27" t="s">
        <v>65</v>
      </c>
      <c r="D6" s="23" t="s">
        <v>50</v>
      </c>
      <c r="E6" s="23" t="s">
        <v>10</v>
      </c>
      <c r="F6" s="23"/>
      <c r="G6" s="23"/>
      <c r="H6" s="23"/>
      <c r="I6" s="23"/>
    </row>
    <row r="7" spans="2:10">
      <c r="B7" s="26"/>
      <c r="C7" s="27" t="s">
        <v>66</v>
      </c>
      <c r="D7" s="23" t="s">
        <v>43</v>
      </c>
      <c r="E7" s="23" t="s">
        <v>10</v>
      </c>
      <c r="F7" s="23"/>
      <c r="G7" s="23"/>
      <c r="H7" s="23"/>
      <c r="I7" s="23"/>
    </row>
    <row r="8" spans="2:10">
      <c r="B8" s="23"/>
      <c r="C8" s="27" t="s">
        <v>67</v>
      </c>
      <c r="D8" s="23" t="s">
        <v>44</v>
      </c>
      <c r="E8" s="23" t="s">
        <v>10</v>
      </c>
      <c r="F8" s="23"/>
      <c r="G8" s="23"/>
      <c r="H8" s="23"/>
      <c r="I8" s="23"/>
    </row>
    <row r="9" spans="2:10">
      <c r="B9" s="26"/>
      <c r="C9" s="27" t="s">
        <v>68</v>
      </c>
      <c r="D9" s="23" t="s">
        <v>45</v>
      </c>
      <c r="E9" s="23" t="s">
        <v>10</v>
      </c>
      <c r="F9" s="23"/>
      <c r="G9" s="23" t="s">
        <v>389</v>
      </c>
      <c r="H9" s="23"/>
      <c r="I9" s="23"/>
    </row>
    <row r="10" spans="2:10">
      <c r="B10" s="26"/>
      <c r="C10" s="27" t="s">
        <v>69</v>
      </c>
      <c r="D10" s="23" t="s">
        <v>46</v>
      </c>
      <c r="E10" s="23" t="s">
        <v>10</v>
      </c>
      <c r="F10" s="23"/>
      <c r="G10" s="23"/>
      <c r="H10" s="23"/>
      <c r="I10" s="23"/>
    </row>
    <row r="11" spans="2:10">
      <c r="B11" s="29"/>
      <c r="C11" s="27" t="s">
        <v>70</v>
      </c>
      <c r="D11" s="29" t="s">
        <v>47</v>
      </c>
      <c r="E11" s="29" t="s">
        <v>10</v>
      </c>
      <c r="F11" s="29"/>
      <c r="G11" s="29"/>
      <c r="H11" s="29"/>
      <c r="I11" s="29"/>
    </row>
    <row r="12" spans="2:10">
      <c r="B12" s="29"/>
      <c r="C12" s="27" t="s">
        <v>71</v>
      </c>
      <c r="D12" s="29" t="s">
        <v>48</v>
      </c>
      <c r="E12" s="29" t="s">
        <v>10</v>
      </c>
      <c r="F12" s="29"/>
      <c r="G12" s="29"/>
      <c r="H12" s="29"/>
      <c r="I12" s="29"/>
    </row>
    <row r="13" spans="2:10">
      <c r="B13" s="26"/>
      <c r="C13" s="27" t="s">
        <v>72</v>
      </c>
      <c r="D13" s="29" t="s">
        <v>49</v>
      </c>
      <c r="E13" s="29" t="s">
        <v>10</v>
      </c>
      <c r="F13" s="29"/>
      <c r="G13" s="29" t="s">
        <v>75</v>
      </c>
      <c r="H13" s="29"/>
      <c r="I13" s="29" t="s">
        <v>0</v>
      </c>
    </row>
    <row r="14" spans="2:10">
      <c r="B14" s="26"/>
      <c r="C14" s="27" t="s">
        <v>212</v>
      </c>
      <c r="D14" s="28" t="s">
        <v>552</v>
      </c>
      <c r="E14" s="29" t="s">
        <v>10</v>
      </c>
      <c r="F14" s="29"/>
      <c r="G14" s="29" t="s">
        <v>389</v>
      </c>
      <c r="H14" s="29"/>
      <c r="I14" s="29" t="s">
        <v>387</v>
      </c>
      <c r="J14" s="25"/>
    </row>
    <row r="15" spans="2:10">
      <c r="B15" s="26"/>
      <c r="C15" s="27" t="s">
        <v>116</v>
      </c>
      <c r="D15" s="29" t="s">
        <v>117</v>
      </c>
      <c r="E15" s="29" t="s">
        <v>10</v>
      </c>
      <c r="F15" s="29"/>
      <c r="G15" s="29" t="s">
        <v>389</v>
      </c>
      <c r="H15" s="29"/>
      <c r="I15" s="5"/>
    </row>
    <row r="16" spans="2:10">
      <c r="B16" s="26"/>
      <c r="C16" s="27" t="s">
        <v>118</v>
      </c>
      <c r="D16" s="29" t="s">
        <v>119</v>
      </c>
      <c r="E16" s="29" t="s">
        <v>10</v>
      </c>
      <c r="F16" s="29"/>
      <c r="G16" s="29"/>
      <c r="H16" s="29"/>
      <c r="I16" s="29"/>
    </row>
    <row r="17" spans="2:9">
      <c r="B17" s="26"/>
      <c r="C17" s="27" t="s">
        <v>537</v>
      </c>
      <c r="D17" s="28" t="s">
        <v>106</v>
      </c>
      <c r="E17" s="29" t="s">
        <v>10</v>
      </c>
      <c r="F17" s="29"/>
      <c r="G17" s="29"/>
      <c r="H17" s="29"/>
      <c r="I17" s="29"/>
    </row>
    <row r="18" spans="2:9">
      <c r="B18" s="26"/>
      <c r="C18" s="27" t="s">
        <v>105</v>
      </c>
      <c r="D18" s="229" t="s">
        <v>107</v>
      </c>
      <c r="E18" s="29" t="s">
        <v>10</v>
      </c>
      <c r="F18" s="29"/>
      <c r="G18" s="29"/>
      <c r="H18" s="29"/>
      <c r="I18" s="29"/>
    </row>
    <row r="19" spans="2:9">
      <c r="B19" s="26"/>
      <c r="C19" s="583" t="s">
        <v>546</v>
      </c>
      <c r="D19" s="584" t="s">
        <v>545</v>
      </c>
      <c r="E19" s="585" t="s">
        <v>10</v>
      </c>
      <c r="F19" s="585"/>
      <c r="G19" s="29" t="s">
        <v>389</v>
      </c>
      <c r="H19" s="29"/>
      <c r="I19" s="29"/>
    </row>
    <row r="20" spans="2:9">
      <c r="B20" s="30"/>
      <c r="C20" s="588" t="s">
        <v>547</v>
      </c>
      <c r="D20" s="588" t="s">
        <v>548</v>
      </c>
      <c r="E20" s="587" t="s">
        <v>10</v>
      </c>
      <c r="F20" s="587"/>
      <c r="G20" s="24" t="s">
        <v>389</v>
      </c>
      <c r="H20" s="24"/>
      <c r="I20" s="24"/>
    </row>
    <row r="21" spans="2:9">
      <c r="B21" s="26" t="s">
        <v>135</v>
      </c>
      <c r="C21" s="582" t="s">
        <v>553</v>
      </c>
      <c r="D21" s="582" t="s">
        <v>554</v>
      </c>
      <c r="E21" s="228" t="s">
        <v>10</v>
      </c>
      <c r="F21" s="228"/>
      <c r="G21" s="29"/>
      <c r="H21" s="29"/>
      <c r="I21" s="29"/>
    </row>
    <row r="22" spans="2:9">
      <c r="B22" s="26"/>
      <c r="C22" s="582" t="s">
        <v>555</v>
      </c>
      <c r="D22" s="582" t="s">
        <v>556</v>
      </c>
      <c r="E22" s="228" t="s">
        <v>10</v>
      </c>
      <c r="F22" s="228"/>
      <c r="G22" s="29"/>
      <c r="H22" s="29"/>
      <c r="I22" s="29"/>
    </row>
    <row r="23" spans="2:9">
      <c r="B23" s="406" t="s">
        <v>64</v>
      </c>
      <c r="C23" s="407" t="s">
        <v>99</v>
      </c>
      <c r="D23" s="408" t="s">
        <v>98</v>
      </c>
      <c r="E23" s="407" t="s">
        <v>55</v>
      </c>
      <c r="F23" s="407"/>
      <c r="G23" s="407"/>
      <c r="H23" s="407"/>
      <c r="I23" s="407"/>
    </row>
    <row r="24" spans="2:9">
      <c r="B24" s="26"/>
      <c r="C24" s="29" t="s">
        <v>377</v>
      </c>
      <c r="D24" s="28" t="s">
        <v>382</v>
      </c>
      <c r="E24" s="29" t="s">
        <v>55</v>
      </c>
      <c r="F24" s="29"/>
      <c r="G24" s="29"/>
      <c r="H24" s="29"/>
      <c r="I24" s="29"/>
    </row>
    <row r="25" spans="2:9">
      <c r="B25" s="26"/>
      <c r="C25" s="29" t="s">
        <v>378</v>
      </c>
      <c r="D25" s="28" t="s">
        <v>383</v>
      </c>
      <c r="E25" s="29" t="s">
        <v>55</v>
      </c>
      <c r="F25" s="29"/>
      <c r="G25" s="29"/>
      <c r="H25" s="29"/>
      <c r="I25" s="29"/>
    </row>
    <row r="26" spans="2:9">
      <c r="B26" s="26"/>
      <c r="C26" s="29" t="s">
        <v>379</v>
      </c>
      <c r="D26" s="28" t="s">
        <v>384</v>
      </c>
      <c r="E26" s="29" t="s">
        <v>55</v>
      </c>
      <c r="F26" s="29"/>
      <c r="G26" s="29"/>
      <c r="H26" s="29"/>
      <c r="I26" s="29"/>
    </row>
    <row r="27" spans="2:9">
      <c r="B27" s="26"/>
      <c r="C27" s="29" t="s">
        <v>380</v>
      </c>
      <c r="D27" s="28" t="s">
        <v>385</v>
      </c>
      <c r="E27" s="29" t="s">
        <v>55</v>
      </c>
      <c r="F27" s="29"/>
      <c r="G27" s="29"/>
      <c r="H27" s="29"/>
      <c r="I27" s="29"/>
    </row>
    <row r="28" spans="2:9">
      <c r="B28" s="30"/>
      <c r="C28" s="24" t="s">
        <v>381</v>
      </c>
      <c r="D28" s="31" t="s">
        <v>386</v>
      </c>
      <c r="E28" s="24" t="s">
        <v>55</v>
      </c>
      <c r="F28" s="24"/>
      <c r="G28" s="24"/>
      <c r="H28" s="24"/>
      <c r="I28" s="24"/>
    </row>
    <row r="29" spans="2:9">
      <c r="B29" s="26" t="s">
        <v>136</v>
      </c>
      <c r="C29" s="32" t="str">
        <f>"CH"&amp;COM_Balance!$R$11</f>
        <v>CHCS</v>
      </c>
      <c r="D29" s="32" t="s">
        <v>400</v>
      </c>
      <c r="E29" s="29" t="s">
        <v>10</v>
      </c>
      <c r="F29" s="23"/>
      <c r="G29" s="29"/>
      <c r="H29" s="23"/>
      <c r="I29" s="23"/>
    </row>
    <row r="30" spans="2:9">
      <c r="B30" s="23"/>
      <c r="C30" s="31" t="str">
        <f>"CH"&amp;COM_Balance!$R$12</f>
        <v>CHPS</v>
      </c>
      <c r="D30" s="31" t="s">
        <v>405</v>
      </c>
      <c r="E30" s="24" t="s">
        <v>10</v>
      </c>
      <c r="F30" s="24"/>
      <c r="G30" s="24"/>
      <c r="H30" s="24"/>
      <c r="I30" s="24"/>
    </row>
    <row r="31" spans="2:9">
      <c r="B31" s="26"/>
      <c r="C31" s="32" t="str">
        <f>"CC"&amp;COM_Balance!$R$11</f>
        <v>CCCS</v>
      </c>
      <c r="D31" s="32" t="s">
        <v>403</v>
      </c>
      <c r="E31" s="29" t="s">
        <v>10</v>
      </c>
      <c r="F31" s="23"/>
      <c r="G31" s="29"/>
      <c r="H31" s="23"/>
      <c r="I31" s="23"/>
    </row>
    <row r="32" spans="2:9">
      <c r="B32" s="23"/>
      <c r="C32" s="31" t="str">
        <f>"CC"&amp;COM_Balance!$R$12</f>
        <v>CCPS</v>
      </c>
      <c r="D32" s="31" t="s">
        <v>404</v>
      </c>
      <c r="E32" s="24" t="s">
        <v>10</v>
      </c>
      <c r="F32" s="24"/>
      <c r="G32" s="24"/>
      <c r="H32" s="24"/>
      <c r="I32" s="24"/>
    </row>
    <row r="33" spans="2:9">
      <c r="B33" s="26"/>
      <c r="C33" s="32" t="str">
        <f>"CW"&amp;COM_Balance!$R$11</f>
        <v>CWCS</v>
      </c>
      <c r="D33" s="32" t="s">
        <v>401</v>
      </c>
      <c r="E33" s="29" t="s">
        <v>10</v>
      </c>
      <c r="F33" s="29"/>
      <c r="G33" s="29"/>
      <c r="H33" s="29"/>
      <c r="I33" s="29"/>
    </row>
    <row r="34" spans="2:9">
      <c r="B34" s="29"/>
      <c r="C34" s="31" t="str">
        <f>"CW"&amp;COM_Balance!$R$12</f>
        <v>CWPS</v>
      </c>
      <c r="D34" s="31" t="s">
        <v>402</v>
      </c>
      <c r="E34" s="24" t="s">
        <v>10</v>
      </c>
      <c r="F34" s="24"/>
      <c r="G34" s="24"/>
      <c r="H34" s="24"/>
      <c r="I34" s="24"/>
    </row>
    <row r="35" spans="2:9">
      <c r="B35" s="26"/>
      <c r="C35" s="32" t="s">
        <v>57</v>
      </c>
      <c r="D35" s="32" t="s">
        <v>394</v>
      </c>
      <c r="E35" s="29" t="s">
        <v>10</v>
      </c>
      <c r="F35" s="29"/>
      <c r="G35" s="29"/>
      <c r="H35" s="29"/>
      <c r="I35" s="29"/>
    </row>
    <row r="36" spans="2:9">
      <c r="B36" s="29"/>
      <c r="C36" s="32" t="s">
        <v>58</v>
      </c>
      <c r="D36" s="32" t="s">
        <v>395</v>
      </c>
      <c r="E36" s="29" t="s">
        <v>10</v>
      </c>
      <c r="F36" s="29"/>
      <c r="G36" s="29"/>
      <c r="H36" s="29"/>
      <c r="I36" s="29"/>
    </row>
    <row r="37" spans="2:9">
      <c r="B37" s="29"/>
      <c r="C37" s="32" t="s">
        <v>59</v>
      </c>
      <c r="D37" s="32" t="s">
        <v>396</v>
      </c>
      <c r="E37" s="29" t="s">
        <v>10</v>
      </c>
      <c r="F37" s="29"/>
      <c r="G37" s="29"/>
      <c r="H37" s="29"/>
      <c r="I37" s="29"/>
    </row>
    <row r="38" spans="2:9">
      <c r="B38" s="29"/>
      <c r="C38" s="32" t="s">
        <v>60</v>
      </c>
      <c r="D38" s="32" t="s">
        <v>397</v>
      </c>
      <c r="E38" s="29" t="s">
        <v>10</v>
      </c>
      <c r="F38" s="29"/>
      <c r="G38" s="29"/>
      <c r="H38" s="29"/>
      <c r="I38" s="29"/>
    </row>
    <row r="39" spans="2:9">
      <c r="B39" s="29"/>
      <c r="C39" s="28" t="s">
        <v>61</v>
      </c>
      <c r="D39" s="32" t="s">
        <v>398</v>
      </c>
      <c r="E39" s="29" t="s">
        <v>10</v>
      </c>
      <c r="F39" s="29"/>
      <c r="G39" s="29"/>
      <c r="H39" s="29"/>
      <c r="I39" s="29"/>
    </row>
    <row r="40" spans="2:9">
      <c r="B40" s="29"/>
      <c r="C40" s="28" t="s">
        <v>62</v>
      </c>
      <c r="D40" s="32" t="s">
        <v>399</v>
      </c>
      <c r="E40" s="29" t="s">
        <v>10</v>
      </c>
      <c r="F40" s="29"/>
      <c r="G40" s="29"/>
      <c r="H40" s="29"/>
      <c r="I40" s="29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22">
    <tabColor rgb="FFFFC000"/>
  </sheetPr>
  <dimension ref="B2:I99"/>
  <sheetViews>
    <sheetView zoomScale="75" zoomScaleNormal="75" workbookViewId="0">
      <pane ySplit="5" topLeftCell="A22" activePane="bottomLeft" state="frozen"/>
      <selection activeCell="O44" sqref="O44"/>
      <selection pane="bottomLeft" activeCell="G24" sqref="G24"/>
    </sheetView>
  </sheetViews>
  <sheetFormatPr defaultColWidth="9.140625" defaultRowHeight="15"/>
  <cols>
    <col min="1" max="1" width="9.140625" style="16" customWidth="1"/>
    <col min="2" max="3" width="18.7109375" style="16" customWidth="1"/>
    <col min="4" max="4" width="57.7109375" style="16" bestFit="1" customWidth="1"/>
    <col min="5" max="5" width="13.42578125" style="16" bestFit="1" customWidth="1"/>
    <col min="6" max="6" width="14.85546875" style="16" bestFit="1" customWidth="1"/>
    <col min="7" max="7" width="36.85546875" style="16" bestFit="1" customWidth="1"/>
    <col min="8" max="8" width="28.28515625" style="16" bestFit="1" customWidth="1"/>
    <col min="9" max="9" width="18.5703125" style="16" bestFit="1" customWidth="1"/>
    <col min="10" max="256" width="11.42578125" style="16" customWidth="1"/>
    <col min="257" max="16384" width="9.140625" style="16"/>
  </cols>
  <sheetData>
    <row r="2" spans="2:9" ht="18.75">
      <c r="B2" s="17" t="s">
        <v>170</v>
      </c>
      <c r="C2" s="18"/>
      <c r="D2" s="19"/>
      <c r="E2" s="19"/>
      <c r="F2" s="19"/>
      <c r="G2" s="19"/>
      <c r="H2" s="19"/>
      <c r="I2" s="19"/>
    </row>
    <row r="3" spans="2:9">
      <c r="B3" s="15" t="s">
        <v>120</v>
      </c>
      <c r="C3" s="20"/>
      <c r="D3" s="20"/>
      <c r="E3" s="20"/>
      <c r="F3" s="20"/>
      <c r="G3" s="20"/>
      <c r="H3" s="20"/>
      <c r="I3" s="20"/>
    </row>
    <row r="4" spans="2:9" ht="15.75" thickBot="1">
      <c r="B4" s="21" t="s">
        <v>121</v>
      </c>
      <c r="C4" s="21" t="s">
        <v>15</v>
      </c>
      <c r="D4" s="21" t="s">
        <v>16</v>
      </c>
      <c r="E4" s="21" t="s">
        <v>122</v>
      </c>
      <c r="F4" s="21" t="s">
        <v>123</v>
      </c>
      <c r="G4" s="21" t="s">
        <v>124</v>
      </c>
      <c r="H4" s="21" t="s">
        <v>125</v>
      </c>
      <c r="I4" s="21" t="s">
        <v>126</v>
      </c>
    </row>
    <row r="5" spans="2:9" ht="15.75">
      <c r="B5" s="22" t="s">
        <v>162</v>
      </c>
      <c r="C5" s="22" t="s">
        <v>163</v>
      </c>
      <c r="D5" s="22" t="s">
        <v>164</v>
      </c>
      <c r="E5" s="22" t="s">
        <v>165</v>
      </c>
      <c r="F5" s="22" t="s">
        <v>166</v>
      </c>
      <c r="G5" s="22" t="s">
        <v>167</v>
      </c>
      <c r="H5" s="22" t="s">
        <v>168</v>
      </c>
      <c r="I5" s="22" t="s">
        <v>169</v>
      </c>
    </row>
    <row r="6" spans="2:9">
      <c r="B6" s="15" t="s">
        <v>260</v>
      </c>
      <c r="C6" s="54" t="str">
        <f>COM_CH!C19</f>
        <v>CHCSCOA_00_Fur</v>
      </c>
      <c r="D6" s="54" t="str">
        <f>COM_CH!D19</f>
        <v>Existing commercial - CS Space Heat COA Furnace</v>
      </c>
      <c r="E6" s="23" t="s">
        <v>10</v>
      </c>
      <c r="F6" s="23" t="s">
        <v>114</v>
      </c>
      <c r="G6" s="54"/>
      <c r="H6" s="54"/>
      <c r="I6" s="54"/>
    </row>
    <row r="7" spans="2:9">
      <c r="B7" s="54"/>
      <c r="C7" s="54" t="str">
        <f>COM_CH!C20</f>
        <v>CHCSLPG_00_Boi</v>
      </c>
      <c r="D7" s="54" t="str">
        <f>COM_CH!D20</f>
        <v>Existing commercial - CS Space Heat LPG Boiler</v>
      </c>
      <c r="E7" s="23" t="s">
        <v>10</v>
      </c>
      <c r="F7" s="23" t="s">
        <v>114</v>
      </c>
      <c r="G7" s="54"/>
      <c r="H7" s="54"/>
      <c r="I7" s="54"/>
    </row>
    <row r="8" spans="2:9">
      <c r="B8" s="54"/>
      <c r="C8" s="54" t="str">
        <f>COM_CH!C21</f>
        <v>CHCSOIL_00_Boi</v>
      </c>
      <c r="D8" s="54" t="str">
        <f>COM_CH!D21</f>
        <v>Existing commercial - CS Space Heat OIL Boiler</v>
      </c>
      <c r="E8" s="23" t="s">
        <v>10</v>
      </c>
      <c r="F8" s="23" t="s">
        <v>114</v>
      </c>
      <c r="G8" s="54"/>
      <c r="H8" s="54"/>
      <c r="I8" s="54"/>
    </row>
    <row r="9" spans="2:9">
      <c r="B9" s="54"/>
      <c r="C9" s="54" t="str">
        <f>COM_CH!C22</f>
        <v>CHCSOIL_00_DBoi</v>
      </c>
      <c r="D9" s="54" t="str">
        <f>COM_CH!D22</f>
        <v>Existing commercial - CS Space Heat OIL Dual Boiler</v>
      </c>
      <c r="E9" s="23" t="s">
        <v>10</v>
      </c>
      <c r="F9" s="23" t="s">
        <v>114</v>
      </c>
      <c r="G9" s="54"/>
      <c r="H9" s="54"/>
      <c r="I9" s="54"/>
    </row>
    <row r="10" spans="2:9">
      <c r="B10" s="54"/>
      <c r="C10" s="54" t="str">
        <f>COM_CH!C24</f>
        <v>CHCSGAS_00_Boi</v>
      </c>
      <c r="D10" s="54" t="str">
        <f>COM_CH!D24</f>
        <v>Existing commercial - CS Space Heat GAS Boiler</v>
      </c>
      <c r="E10" s="23" t="s">
        <v>10</v>
      </c>
      <c r="F10" s="23" t="s">
        <v>114</v>
      </c>
      <c r="G10" s="54"/>
      <c r="H10" s="54"/>
      <c r="I10" s="54"/>
    </row>
    <row r="11" spans="2:9">
      <c r="B11" s="54"/>
      <c r="C11" s="54" t="str">
        <f>COM_CH!C25</f>
        <v>CHCSGAS_00_HP</v>
      </c>
      <c r="D11" s="54" t="str">
        <f>COM_CH!D25</f>
        <v>Existing commercial - CS Space Heat GAS Heat Pump</v>
      </c>
      <c r="E11" s="23" t="s">
        <v>10</v>
      </c>
      <c r="F11" s="23" t="s">
        <v>114</v>
      </c>
      <c r="G11" s="54"/>
      <c r="H11" s="54"/>
      <c r="I11" s="54"/>
    </row>
    <row r="12" spans="2:9">
      <c r="B12" s="54"/>
      <c r="C12" s="54" t="str">
        <f>COM_CH!C27</f>
        <v>CHCSGAS_00_DBoi</v>
      </c>
      <c r="D12" s="54" t="str">
        <f>COM_CH!D27</f>
        <v>Existing commercial - CS Space Heat GAS Dual Boiler</v>
      </c>
      <c r="E12" s="23" t="s">
        <v>10</v>
      </c>
      <c r="F12" s="23" t="s">
        <v>114</v>
      </c>
      <c r="G12" s="54"/>
      <c r="H12" s="54"/>
      <c r="I12" s="54"/>
    </row>
    <row r="13" spans="2:9">
      <c r="B13" s="54"/>
      <c r="C13" s="54" t="str">
        <f>COM_CH!C29</f>
        <v>CHCSBIO_00_Boi</v>
      </c>
      <c r="D13" s="54" t="str">
        <f>COM_CH!D29</f>
        <v>Existing commercial - CS Space Heat BIO Boiler</v>
      </c>
      <c r="E13" s="23" t="s">
        <v>10</v>
      </c>
      <c r="F13" s="23" t="s">
        <v>114</v>
      </c>
      <c r="G13" s="54"/>
      <c r="H13" s="54"/>
      <c r="I13" s="54"/>
    </row>
    <row r="14" spans="2:9">
      <c r="B14" s="54"/>
      <c r="C14" s="54" t="str">
        <f>COM_CH!C30</f>
        <v>CHCSBIO_00_DBoi</v>
      </c>
      <c r="D14" s="54" t="str">
        <f>COM_CH!D30</f>
        <v>Existing commercial - CS Space Heat BIO Dual Boiler</v>
      </c>
      <c r="E14" s="23" t="s">
        <v>10</v>
      </c>
      <c r="F14" s="23" t="s">
        <v>114</v>
      </c>
      <c r="G14" s="54"/>
      <c r="H14" s="54"/>
      <c r="I14" s="54"/>
    </row>
    <row r="15" spans="2:9">
      <c r="B15" s="54"/>
      <c r="C15" s="54" t="str">
        <f>COM_CH!C32</f>
        <v>CHCSBGS_00_Boi</v>
      </c>
      <c r="D15" s="54" t="str">
        <f>COM_CH!D32</f>
        <v>Existing commercial - CS Space Heat BGS Boiler</v>
      </c>
      <c r="E15" s="23" t="s">
        <v>10</v>
      </c>
      <c r="F15" s="23" t="s">
        <v>114</v>
      </c>
      <c r="G15" s="54"/>
      <c r="H15" s="54"/>
      <c r="I15" s="54"/>
    </row>
    <row r="16" spans="2:9">
      <c r="B16" s="54"/>
      <c r="C16" s="54" t="str">
        <f>COM_CH!C33</f>
        <v>CHCSBGS_00_DBoi</v>
      </c>
      <c r="D16" s="54" t="str">
        <f>COM_CH!D33</f>
        <v>Existing commercial - CS Space Heat BGS Dual Boiler</v>
      </c>
      <c r="E16" s="23" t="s">
        <v>10</v>
      </c>
      <c r="F16" s="23" t="s">
        <v>114</v>
      </c>
      <c r="G16" s="54"/>
      <c r="H16" s="54"/>
      <c r="I16" s="54"/>
    </row>
    <row r="17" spans="2:9">
      <c r="B17" s="54"/>
      <c r="C17" s="54" t="str">
        <f>COM_CH!C35</f>
        <v>CHCSSOL_00</v>
      </c>
      <c r="D17" s="54" t="str">
        <f>COM_CH!D35</f>
        <v>Existing commercial - CS Space Heat SOL Thermal</v>
      </c>
      <c r="E17" s="23" t="s">
        <v>10</v>
      </c>
      <c r="F17" s="23" t="s">
        <v>114</v>
      </c>
      <c r="G17" s="54"/>
      <c r="H17" s="54"/>
      <c r="I17" s="54"/>
    </row>
    <row r="18" spans="2:9">
      <c r="B18" s="54"/>
      <c r="C18" s="54" t="str">
        <f>COM_CH!C36</f>
        <v>CHCSGEO_00</v>
      </c>
      <c r="D18" s="54" t="str">
        <f>COM_CH!D36</f>
        <v>Existing commercial - CS Space Heat GEO</v>
      </c>
      <c r="E18" s="23" t="s">
        <v>10</v>
      </c>
      <c r="F18" s="23" t="s">
        <v>114</v>
      </c>
      <c r="G18" s="54"/>
      <c r="H18" s="54"/>
      <c r="I18" s="54"/>
    </row>
    <row r="19" spans="2:9">
      <c r="B19" s="54"/>
      <c r="C19" s="54" t="str">
        <f>COM_CH!C37</f>
        <v>CHCSELC_00_Rad</v>
      </c>
      <c r="D19" s="54" t="str">
        <f>COM_CH!D37</f>
        <v>Existing commercial - CS Space Heat ELC Radiator</v>
      </c>
      <c r="E19" s="23" t="s">
        <v>10</v>
      </c>
      <c r="F19" s="23" t="s">
        <v>114</v>
      </c>
      <c r="G19" s="54"/>
      <c r="H19" s="54"/>
      <c r="I19" s="54"/>
    </row>
    <row r="20" spans="2:9">
      <c r="B20" s="54"/>
      <c r="C20" s="54" t="str">
        <f>COM_CH!C38</f>
        <v>CHCSELC_00_HP</v>
      </c>
      <c r="D20" s="54" t="str">
        <f>COM_CH!D38</f>
        <v>Existing commercial - CS Space Heat ELC Heat Pump</v>
      </c>
      <c r="E20" s="23" t="s">
        <v>10</v>
      </c>
      <c r="F20" s="23" t="s">
        <v>114</v>
      </c>
      <c r="G20" s="54"/>
      <c r="H20" s="54"/>
      <c r="I20" s="54"/>
    </row>
    <row r="21" spans="2:9">
      <c r="B21" s="54"/>
      <c r="C21" s="54" t="str">
        <f>COM_CH!C40</f>
        <v>CHCSELC_00_DBoi</v>
      </c>
      <c r="D21" s="54" t="str">
        <f>COM_CH!D40</f>
        <v>Existing commercial - CS Space Heat ELC Dual Boiler</v>
      </c>
      <c r="E21" s="29" t="s">
        <v>10</v>
      </c>
      <c r="F21" s="29" t="s">
        <v>114</v>
      </c>
      <c r="G21" s="54"/>
      <c r="H21" s="54"/>
      <c r="I21" s="54"/>
    </row>
    <row r="22" spans="2:9">
      <c r="B22" s="55"/>
      <c r="C22" s="55" t="str">
        <f>COM_CH!C42</f>
        <v>CHCSHET_00_DH</v>
      </c>
      <c r="D22" s="55" t="str">
        <f>COM_CH!D42</f>
        <v>Existing commercial - CS Space Heat HET Heat Exchanger</v>
      </c>
      <c r="E22" s="24" t="s">
        <v>10</v>
      </c>
      <c r="F22" s="24" t="s">
        <v>114</v>
      </c>
      <c r="G22" s="55"/>
      <c r="H22" s="55"/>
      <c r="I22" s="55"/>
    </row>
    <row r="23" spans="2:9">
      <c r="B23" s="15" t="s">
        <v>260</v>
      </c>
      <c r="C23" s="54" t="str">
        <f>COM_CH!C51</f>
        <v>CHPSCOA_00_Fur</v>
      </c>
      <c r="D23" s="54" t="str">
        <f>COM_CH!D51</f>
        <v>Existing commercial - PS Space Heat COA Furnace</v>
      </c>
      <c r="E23" s="23" t="s">
        <v>10</v>
      </c>
      <c r="F23" s="23" t="s">
        <v>114</v>
      </c>
      <c r="G23" s="54"/>
      <c r="H23" s="54"/>
      <c r="I23" s="54"/>
    </row>
    <row r="24" spans="2:9">
      <c r="B24" s="54"/>
      <c r="C24" s="54" t="str">
        <f>COM_CH!C52</f>
        <v>CHPSLPG_00_Boi</v>
      </c>
      <c r="D24" s="54" t="str">
        <f>COM_CH!D52</f>
        <v>Existing commercial - PS Space Heat LPG Boiler</v>
      </c>
      <c r="E24" s="23" t="s">
        <v>10</v>
      </c>
      <c r="F24" s="23" t="s">
        <v>114</v>
      </c>
      <c r="G24" s="54"/>
      <c r="H24" s="54"/>
      <c r="I24" s="54"/>
    </row>
    <row r="25" spans="2:9">
      <c r="B25" s="54"/>
      <c r="C25" s="54" t="str">
        <f>COM_CH!C53</f>
        <v>CHPSOIL_00_Boi</v>
      </c>
      <c r="D25" s="54" t="str">
        <f>COM_CH!D53</f>
        <v>Existing commercial - PS Space Heat OIL Boiler</v>
      </c>
      <c r="E25" s="23" t="s">
        <v>10</v>
      </c>
      <c r="F25" s="23" t="s">
        <v>114</v>
      </c>
      <c r="G25" s="54"/>
      <c r="H25" s="54"/>
      <c r="I25" s="54"/>
    </row>
    <row r="26" spans="2:9">
      <c r="B26" s="54"/>
      <c r="C26" s="54" t="str">
        <f>COM_CH!C54</f>
        <v>CHPSOIL_00_DBoi</v>
      </c>
      <c r="D26" s="54" t="str">
        <f>COM_CH!D54</f>
        <v>Existing commercial - PS Space Heat OIL Dual Boiler</v>
      </c>
      <c r="E26" s="23" t="s">
        <v>10</v>
      </c>
      <c r="F26" s="23" t="s">
        <v>114</v>
      </c>
      <c r="G26" s="54"/>
      <c r="H26" s="54"/>
      <c r="I26" s="54"/>
    </row>
    <row r="27" spans="2:9">
      <c r="B27" s="54"/>
      <c r="C27" s="54" t="str">
        <f>COM_CH!C56</f>
        <v>CHPSGAS_00_Boi</v>
      </c>
      <c r="D27" s="54" t="str">
        <f>COM_CH!D56</f>
        <v>Existing commercial - PS Space Heat GAS Boiler</v>
      </c>
      <c r="E27" s="23" t="s">
        <v>10</v>
      </c>
      <c r="F27" s="23" t="s">
        <v>114</v>
      </c>
      <c r="G27" s="54"/>
      <c r="H27" s="54"/>
      <c r="I27" s="54"/>
    </row>
    <row r="28" spans="2:9">
      <c r="B28" s="54"/>
      <c r="C28" s="54" t="str">
        <f>COM_CH!C57</f>
        <v>CHPSGAS_00_HP</v>
      </c>
      <c r="D28" s="54" t="str">
        <f>COM_CH!D57</f>
        <v>Existing commercial - PS Space Heat GAS Heat Pump</v>
      </c>
      <c r="E28" s="23" t="s">
        <v>10</v>
      </c>
      <c r="F28" s="23" t="s">
        <v>114</v>
      </c>
      <c r="G28" s="54"/>
      <c r="H28" s="54"/>
      <c r="I28" s="54"/>
    </row>
    <row r="29" spans="2:9">
      <c r="B29" s="54"/>
      <c r="C29" s="54" t="str">
        <f>COM_CH!C59</f>
        <v>CHPSGAS_00_DBoi</v>
      </c>
      <c r="D29" s="54" t="str">
        <f>COM_CH!D59</f>
        <v>Existing commercial - PS Space Heat GAS Dual Boiler</v>
      </c>
      <c r="E29" s="23" t="s">
        <v>10</v>
      </c>
      <c r="F29" s="23" t="s">
        <v>114</v>
      </c>
      <c r="G29" s="54"/>
      <c r="H29" s="54"/>
      <c r="I29" s="54"/>
    </row>
    <row r="30" spans="2:9">
      <c r="B30" s="54"/>
      <c r="C30" s="54" t="str">
        <f>COM_CH!C61</f>
        <v>CHPSBIO_00_Boi</v>
      </c>
      <c r="D30" s="54" t="str">
        <f>COM_CH!D61</f>
        <v>Existing commercial - PS Space Heat BIO Boiler</v>
      </c>
      <c r="E30" s="23" t="s">
        <v>10</v>
      </c>
      <c r="F30" s="23" t="s">
        <v>114</v>
      </c>
      <c r="G30" s="54"/>
      <c r="H30" s="54"/>
      <c r="I30" s="54"/>
    </row>
    <row r="31" spans="2:9">
      <c r="B31" s="54"/>
      <c r="C31" s="54" t="str">
        <f>COM_CH!C62</f>
        <v>CHPSBIO_00_DBoi</v>
      </c>
      <c r="D31" s="54" t="str">
        <f>COM_CH!D62</f>
        <v>Existing commercial - PS Space Heat BIO Dual Boiler</v>
      </c>
      <c r="E31" s="23" t="s">
        <v>10</v>
      </c>
      <c r="F31" s="23" t="s">
        <v>114</v>
      </c>
      <c r="G31" s="54"/>
      <c r="H31" s="54"/>
      <c r="I31" s="54"/>
    </row>
    <row r="32" spans="2:9">
      <c r="B32" s="54"/>
      <c r="C32" s="54" t="str">
        <f>COM_CH!C64</f>
        <v>CHPSBGS_00_Boi</v>
      </c>
      <c r="D32" s="54" t="str">
        <f>COM_CH!D64</f>
        <v>Existing commercial - PS Space Heat BGS Boiler</v>
      </c>
      <c r="E32" s="23" t="s">
        <v>10</v>
      </c>
      <c r="F32" s="23" t="s">
        <v>114</v>
      </c>
      <c r="G32" s="54"/>
      <c r="H32" s="54"/>
      <c r="I32" s="54"/>
    </row>
    <row r="33" spans="2:9">
      <c r="B33" s="54"/>
      <c r="C33" s="54" t="str">
        <f>COM_CH!C65</f>
        <v>CHPSBGS_00_DBoi</v>
      </c>
      <c r="D33" s="54" t="str">
        <f>COM_CH!D65</f>
        <v>Existing commercial - PS Space Heat BGS Dual Boiler</v>
      </c>
      <c r="E33" s="23" t="s">
        <v>10</v>
      </c>
      <c r="F33" s="23" t="s">
        <v>114</v>
      </c>
      <c r="G33" s="54"/>
      <c r="H33" s="54"/>
      <c r="I33" s="54"/>
    </row>
    <row r="34" spans="2:9">
      <c r="B34" s="54"/>
      <c r="C34" s="54" t="str">
        <f>COM_CH!C67</f>
        <v>CHPSSOL_00</v>
      </c>
      <c r="D34" s="54" t="str">
        <f>COM_CH!D67</f>
        <v>Existing commercial - PS Space Heat SOL</v>
      </c>
      <c r="E34" s="23" t="s">
        <v>10</v>
      </c>
      <c r="F34" s="23" t="s">
        <v>114</v>
      </c>
      <c r="G34" s="54"/>
      <c r="H34" s="54"/>
      <c r="I34" s="54"/>
    </row>
    <row r="35" spans="2:9">
      <c r="B35" s="54"/>
      <c r="C35" s="54" t="str">
        <f>COM_CH!C68</f>
        <v>CHPSGEO_00</v>
      </c>
      <c r="D35" s="54" t="str">
        <f>COM_CH!D68</f>
        <v>Existing commercial - PS Space Heat GEO</v>
      </c>
      <c r="E35" s="23" t="s">
        <v>10</v>
      </c>
      <c r="F35" s="23" t="s">
        <v>114</v>
      </c>
      <c r="G35" s="54"/>
      <c r="H35" s="54"/>
      <c r="I35" s="54"/>
    </row>
    <row r="36" spans="2:9">
      <c r="B36" s="54"/>
      <c r="C36" s="54" t="str">
        <f>COM_CH!C69</f>
        <v>CHPSELC_00_Rad</v>
      </c>
      <c r="D36" s="54" t="str">
        <f>COM_CH!D69</f>
        <v>Existing commercial - PS Space Heat ELC Radiator</v>
      </c>
      <c r="E36" s="23" t="s">
        <v>10</v>
      </c>
      <c r="F36" s="23" t="s">
        <v>114</v>
      </c>
      <c r="G36" s="54"/>
      <c r="H36" s="54"/>
      <c r="I36" s="54"/>
    </row>
    <row r="37" spans="2:9">
      <c r="B37" s="54"/>
      <c r="C37" s="54" t="str">
        <f>COM_CH!C70</f>
        <v>CHPSELC_00_HP</v>
      </c>
      <c r="D37" s="54" t="str">
        <f>COM_CH!D70</f>
        <v>Existing commercial - PS Space Heat ELC Heat Pump</v>
      </c>
      <c r="E37" s="23" t="s">
        <v>10</v>
      </c>
      <c r="F37" s="23" t="s">
        <v>114</v>
      </c>
      <c r="G37" s="54"/>
      <c r="H37" s="54"/>
      <c r="I37" s="54"/>
    </row>
    <row r="38" spans="2:9">
      <c r="B38" s="54"/>
      <c r="C38" s="54" t="str">
        <f>COM_CH!C72</f>
        <v>CHPSELC_00_DBoi</v>
      </c>
      <c r="D38" s="54" t="str">
        <f>COM_CH!D72</f>
        <v>Existing commercial - PS Space Heat ELC Dual Boiler</v>
      </c>
      <c r="E38" s="23" t="s">
        <v>10</v>
      </c>
      <c r="F38" s="23" t="s">
        <v>114</v>
      </c>
      <c r="G38" s="57"/>
      <c r="H38" s="57"/>
      <c r="I38" s="57"/>
    </row>
    <row r="39" spans="2:9">
      <c r="B39" s="55"/>
      <c r="C39" s="55" t="str">
        <f>COM_CH!C74</f>
        <v>CHPSHET_00_DH</v>
      </c>
      <c r="D39" s="55" t="str">
        <f>COM_CH!D74</f>
        <v>Existing commercial - PS Space Heat HET Heat Exchanger</v>
      </c>
      <c r="E39" s="24" t="s">
        <v>10</v>
      </c>
      <c r="F39" s="24" t="s">
        <v>114</v>
      </c>
      <c r="G39" s="55"/>
      <c r="H39" s="55"/>
      <c r="I39" s="55"/>
    </row>
    <row r="40" spans="2:9">
      <c r="B40" s="15" t="s">
        <v>260</v>
      </c>
      <c r="C40" s="54" t="str">
        <f>COM_CW!C19</f>
        <v>CWCSCOA_00_Fur</v>
      </c>
      <c r="D40" s="54" t="str">
        <f>COM_CW!D19</f>
        <v>Existing commercial - CS Water Heat COA Furnace</v>
      </c>
      <c r="E40" s="23" t="s">
        <v>10</v>
      </c>
      <c r="F40" s="23" t="s">
        <v>114</v>
      </c>
      <c r="G40" s="54"/>
      <c r="H40" s="54"/>
      <c r="I40" s="54"/>
    </row>
    <row r="41" spans="2:9">
      <c r="B41" s="54"/>
      <c r="C41" s="54" t="str">
        <f>COM_CW!C20</f>
        <v>CWCSLPG_00_Boi</v>
      </c>
      <c r="D41" s="54" t="str">
        <f>COM_CW!D20</f>
        <v>Existing commercial - CS Water Heat LPG Boiler</v>
      </c>
      <c r="E41" s="23" t="s">
        <v>10</v>
      </c>
      <c r="F41" s="23" t="s">
        <v>114</v>
      </c>
      <c r="G41" s="54"/>
      <c r="H41" s="54"/>
      <c r="I41" s="54"/>
    </row>
    <row r="42" spans="2:9">
      <c r="B42" s="54"/>
      <c r="C42" s="54" t="str">
        <f>COM_CW!C21</f>
        <v>CWCSOIL_00_Boi</v>
      </c>
      <c r="D42" s="54" t="str">
        <f>COM_CW!D21</f>
        <v>Existing commercial - CS Water Heat OIL Boiler</v>
      </c>
      <c r="E42" s="23" t="s">
        <v>10</v>
      </c>
      <c r="F42" s="23" t="s">
        <v>114</v>
      </c>
      <c r="G42" s="54"/>
      <c r="H42" s="54"/>
      <c r="I42" s="54"/>
    </row>
    <row r="43" spans="2:9">
      <c r="B43" s="54"/>
      <c r="C43" s="54" t="str">
        <f>COM_CW!C22</f>
        <v>CWCSGAS_00_Boi</v>
      </c>
      <c r="D43" s="54" t="str">
        <f>COM_CW!D22</f>
        <v>Existing commercial - CS Water Heat GAS Boiler</v>
      </c>
      <c r="E43" s="23" t="s">
        <v>10</v>
      </c>
      <c r="F43" s="23" t="s">
        <v>114</v>
      </c>
      <c r="G43" s="54"/>
      <c r="H43" s="54"/>
      <c r="I43" s="54"/>
    </row>
    <row r="44" spans="2:9">
      <c r="B44" s="54"/>
      <c r="C44" s="54" t="str">
        <f>COM_CW!C23</f>
        <v>CWCSBIO_00_Boi</v>
      </c>
      <c r="D44" s="54" t="str">
        <f>COM_CW!D23</f>
        <v>Existing commercial - CS Water Heat BIO Boiler</v>
      </c>
      <c r="E44" s="23" t="s">
        <v>10</v>
      </c>
      <c r="F44" s="23" t="s">
        <v>114</v>
      </c>
      <c r="G44" s="54"/>
      <c r="H44" s="54"/>
      <c r="I44" s="54"/>
    </row>
    <row r="45" spans="2:9">
      <c r="B45" s="54"/>
      <c r="C45" s="54" t="str">
        <f>COM_CW!C24</f>
        <v>CWCSBGS_00_Boi</v>
      </c>
      <c r="D45" s="54" t="str">
        <f>COM_CW!D24</f>
        <v>Existing commercial - CS Water Heat BGS Boiler</v>
      </c>
      <c r="E45" s="23" t="s">
        <v>10</v>
      </c>
      <c r="F45" s="23" t="s">
        <v>114</v>
      </c>
      <c r="G45" s="54"/>
      <c r="H45" s="54"/>
      <c r="I45" s="54"/>
    </row>
    <row r="46" spans="2:9">
      <c r="B46" s="54"/>
      <c r="C46" s="54" t="str">
        <f>COM_CW!C25</f>
        <v>CWCSSOL_00</v>
      </c>
      <c r="D46" s="54" t="str">
        <f>COM_CW!D25</f>
        <v>Existing commercial - CS Water Heat SOL Thermal</v>
      </c>
      <c r="E46" s="23" t="s">
        <v>10</v>
      </c>
      <c r="F46" s="23" t="s">
        <v>114</v>
      </c>
      <c r="G46" s="54"/>
      <c r="H46" s="54"/>
      <c r="I46" s="54"/>
    </row>
    <row r="47" spans="2:9">
      <c r="B47" s="54"/>
      <c r="C47" s="54" t="str">
        <f>COM_CW!C26</f>
        <v>CWCSGEO_00</v>
      </c>
      <c r="D47" s="54" t="str">
        <f>COM_CW!D26</f>
        <v>Existing commercial - CS Water Heat GEO</v>
      </c>
      <c r="E47" s="23" t="s">
        <v>10</v>
      </c>
      <c r="F47" s="23" t="s">
        <v>114</v>
      </c>
      <c r="G47" s="54"/>
      <c r="H47" s="54"/>
      <c r="I47" s="54"/>
    </row>
    <row r="48" spans="2:9">
      <c r="B48" s="55"/>
      <c r="C48" s="55" t="str">
        <f>COM_CW!C27</f>
        <v>CWCSELC_00_Boi</v>
      </c>
      <c r="D48" s="55" t="str">
        <f>COM_CW!D27</f>
        <v>Existing commercial - CS Water Heat ELC Heater</v>
      </c>
      <c r="E48" s="24" t="s">
        <v>10</v>
      </c>
      <c r="F48" s="24" t="s">
        <v>114</v>
      </c>
      <c r="G48" s="55"/>
      <c r="H48" s="55"/>
      <c r="I48" s="55"/>
    </row>
    <row r="49" spans="2:9">
      <c r="B49" s="15" t="s">
        <v>260</v>
      </c>
      <c r="C49" s="54" t="str">
        <f>COM_CW!C45</f>
        <v>CWPSCOA_00_Fur</v>
      </c>
      <c r="D49" s="54" t="str">
        <f>COM_CW!D45</f>
        <v>Existing commercial - PS Water Heat COA Furnace</v>
      </c>
      <c r="E49" s="23" t="s">
        <v>10</v>
      </c>
      <c r="F49" s="23" t="s">
        <v>114</v>
      </c>
      <c r="G49" s="54"/>
      <c r="H49" s="54"/>
      <c r="I49" s="54"/>
    </row>
    <row r="50" spans="2:9">
      <c r="B50" s="54"/>
      <c r="C50" s="54" t="str">
        <f>COM_CW!C46</f>
        <v>CWPSLPG_00_Boi</v>
      </c>
      <c r="D50" s="54" t="str">
        <f>COM_CW!D46</f>
        <v>Existing commercial - PS Water Heat LPG Boiler</v>
      </c>
      <c r="E50" s="23" t="s">
        <v>10</v>
      </c>
      <c r="F50" s="23" t="s">
        <v>114</v>
      </c>
      <c r="G50" s="54"/>
      <c r="H50" s="54"/>
      <c r="I50" s="54"/>
    </row>
    <row r="51" spans="2:9">
      <c r="B51" s="54"/>
      <c r="C51" s="54" t="str">
        <f>COM_CW!C47</f>
        <v>CWPSOIL_00_Boi</v>
      </c>
      <c r="D51" s="54" t="str">
        <f>COM_CW!D47</f>
        <v>Existing commercial - PS Water Heat OIL Boiler</v>
      </c>
      <c r="E51" s="23" t="s">
        <v>10</v>
      </c>
      <c r="F51" s="23" t="s">
        <v>114</v>
      </c>
      <c r="G51" s="54"/>
      <c r="H51" s="54"/>
      <c r="I51" s="54"/>
    </row>
    <row r="52" spans="2:9">
      <c r="B52" s="54"/>
      <c r="C52" s="54" t="str">
        <f>COM_CW!C48</f>
        <v>CWPSGAS_00_Boi</v>
      </c>
      <c r="D52" s="54" t="str">
        <f>COM_CW!D48</f>
        <v>Existing commercial - PS Water Heat GAS Boiler</v>
      </c>
      <c r="E52" s="23" t="s">
        <v>10</v>
      </c>
      <c r="F52" s="23" t="s">
        <v>114</v>
      </c>
      <c r="G52" s="54"/>
      <c r="H52" s="54"/>
      <c r="I52" s="54"/>
    </row>
    <row r="53" spans="2:9">
      <c r="B53" s="54"/>
      <c r="C53" s="54" t="str">
        <f>COM_CW!C49</f>
        <v>CWPSBIO_00_Boi</v>
      </c>
      <c r="D53" s="54" t="str">
        <f>COM_CW!D49</f>
        <v>Existing commercial - PS Water Heat BIO Boiler</v>
      </c>
      <c r="E53" s="23" t="s">
        <v>10</v>
      </c>
      <c r="F53" s="23" t="s">
        <v>114</v>
      </c>
      <c r="G53" s="54"/>
      <c r="H53" s="54"/>
      <c r="I53" s="54"/>
    </row>
    <row r="54" spans="2:9">
      <c r="B54" s="54"/>
      <c r="C54" s="54" t="str">
        <f>COM_CW!C50</f>
        <v>CWPSBGS_00_Boi</v>
      </c>
      <c r="D54" s="54" t="str">
        <f>COM_CW!D50</f>
        <v>Existing commercial - PS Water Heat BGS Boiler</v>
      </c>
      <c r="E54" s="23" t="s">
        <v>10</v>
      </c>
      <c r="F54" s="23" t="s">
        <v>114</v>
      </c>
      <c r="G54" s="54"/>
      <c r="H54" s="54"/>
      <c r="I54" s="54"/>
    </row>
    <row r="55" spans="2:9">
      <c r="B55" s="54"/>
      <c r="C55" s="54" t="str">
        <f>COM_CW!C51</f>
        <v>CWPSSOL_00</v>
      </c>
      <c r="D55" s="54" t="str">
        <f>COM_CW!D51</f>
        <v>Existing commercial - PS Water Heat SOL Thermal</v>
      </c>
      <c r="E55" s="23" t="s">
        <v>10</v>
      </c>
      <c r="F55" s="23" t="s">
        <v>114</v>
      </c>
      <c r="G55" s="54"/>
      <c r="H55" s="54"/>
      <c r="I55" s="54"/>
    </row>
    <row r="56" spans="2:9">
      <c r="B56" s="54"/>
      <c r="C56" s="54" t="str">
        <f>COM_CW!C52</f>
        <v>CWPSGEO_00</v>
      </c>
      <c r="D56" s="54" t="str">
        <f>COM_CW!D52</f>
        <v>Existing commercial - PS Water Heat GEO</v>
      </c>
      <c r="E56" s="23" t="s">
        <v>10</v>
      </c>
      <c r="F56" s="23" t="s">
        <v>114</v>
      </c>
      <c r="G56" s="54"/>
      <c r="H56" s="54"/>
      <c r="I56" s="54"/>
    </row>
    <row r="57" spans="2:9">
      <c r="B57" s="55"/>
      <c r="C57" s="55" t="str">
        <f>COM_CW!C53</f>
        <v>CWPSELC_00_Boi</v>
      </c>
      <c r="D57" s="55" t="str">
        <f>COM_CW!D53</f>
        <v>Existing commercial - PS Water Heat ELC Heater</v>
      </c>
      <c r="E57" s="24" t="s">
        <v>10</v>
      </c>
      <c r="F57" s="24" t="s">
        <v>114</v>
      </c>
      <c r="G57" s="55"/>
      <c r="H57" s="55"/>
      <c r="I57" s="55"/>
    </row>
    <row r="58" spans="2:9">
      <c r="B58" s="15" t="s">
        <v>260</v>
      </c>
      <c r="C58" s="54" t="str">
        <f>COM_CC!C19</f>
        <v>CCCSGAS_00</v>
      </c>
      <c r="D58" s="54" t="str">
        <f>COM_CC!D19</f>
        <v>Existing commercial - CS Space Cooling GAS</v>
      </c>
      <c r="E58" s="23" t="s">
        <v>10</v>
      </c>
      <c r="F58" s="23" t="s">
        <v>114</v>
      </c>
      <c r="G58" s="58"/>
      <c r="H58" s="58"/>
      <c r="I58" s="58"/>
    </row>
    <row r="59" spans="2:9">
      <c r="B59" s="54"/>
      <c r="C59" s="54" t="str">
        <f>COM_CC!C20</f>
        <v>CCCSGEO_00</v>
      </c>
      <c r="D59" s="54" t="str">
        <f>COM_CC!D20</f>
        <v>Existing commercial - CS Space Cooling GEO</v>
      </c>
      <c r="E59" s="23" t="s">
        <v>10</v>
      </c>
      <c r="F59" s="23" t="s">
        <v>114</v>
      </c>
      <c r="G59" s="57"/>
      <c r="H59" s="57"/>
      <c r="I59" s="57"/>
    </row>
    <row r="60" spans="2:9">
      <c r="B60" s="54"/>
      <c r="C60" s="54" t="str">
        <f>COM_CC!C21</f>
        <v>CCCSELC_00_Cen</v>
      </c>
      <c r="D60" s="54" t="str">
        <f>COM_CC!D21</f>
        <v>Existing commercial - CS Space Cooling ELC Central</v>
      </c>
      <c r="E60" s="23" t="s">
        <v>10</v>
      </c>
      <c r="F60" s="23" t="s">
        <v>114</v>
      </c>
      <c r="G60" s="57"/>
      <c r="H60" s="57"/>
      <c r="I60" s="57"/>
    </row>
    <row r="61" spans="2:9">
      <c r="B61" s="54"/>
      <c r="C61" s="54" t="str">
        <f>COM_CC!C22</f>
        <v>CCCSELC_00_Roo</v>
      </c>
      <c r="D61" s="54" t="str">
        <f>COM_CC!D22</f>
        <v>Existing commercial - CS Space Cooling ELC Room</v>
      </c>
      <c r="E61" s="23" t="s">
        <v>10</v>
      </c>
      <c r="F61" s="23" t="s">
        <v>114</v>
      </c>
      <c r="G61" s="57"/>
      <c r="H61" s="57"/>
      <c r="I61" s="57"/>
    </row>
    <row r="62" spans="2:9">
      <c r="B62" s="54"/>
      <c r="C62" s="54" t="str">
        <f>COM_CC!C23</f>
        <v>CCCSELC_00_Fan</v>
      </c>
      <c r="D62" s="54" t="str">
        <f>COM_CC!D23</f>
        <v>Existing commercial - CS Space Cooling ELC Fans</v>
      </c>
      <c r="E62" s="23" t="s">
        <v>10</v>
      </c>
      <c r="F62" s="23" t="s">
        <v>114</v>
      </c>
      <c r="G62" s="57"/>
      <c r="H62" s="57"/>
      <c r="I62" s="57"/>
    </row>
    <row r="63" spans="2:9">
      <c r="B63" s="55"/>
      <c r="C63" s="55" t="str">
        <f>COM_CC!C24</f>
        <v>CCCSCOO_00</v>
      </c>
      <c r="D63" s="55" t="str">
        <f>COM_CC!D24</f>
        <v>Existing commercial - CS Space Cooling COO</v>
      </c>
      <c r="E63" s="24" t="s">
        <v>10</v>
      </c>
      <c r="F63" s="24" t="s">
        <v>114</v>
      </c>
      <c r="G63" s="55"/>
      <c r="H63" s="55"/>
      <c r="I63" s="55"/>
    </row>
    <row r="64" spans="2:9">
      <c r="B64" s="15" t="s">
        <v>260</v>
      </c>
      <c r="C64" s="54" t="str">
        <f>COM_CC!C36</f>
        <v>CCPSGAS_00</v>
      </c>
      <c r="D64" s="54" t="str">
        <f>COM_CC!D36</f>
        <v>Existing commercial - PS Space Cooling GAS</v>
      </c>
      <c r="E64" s="23" t="s">
        <v>10</v>
      </c>
      <c r="F64" s="23" t="s">
        <v>114</v>
      </c>
      <c r="G64" s="57"/>
      <c r="H64" s="57"/>
      <c r="I64" s="57"/>
    </row>
    <row r="65" spans="2:9">
      <c r="B65" s="54"/>
      <c r="C65" s="54" t="str">
        <f>COM_CC!C37</f>
        <v>CCPSGEO_00</v>
      </c>
      <c r="D65" s="54" t="str">
        <f>COM_CC!D37</f>
        <v>Existing commercial - PS Space Cooling GEO</v>
      </c>
      <c r="E65" s="23" t="s">
        <v>10</v>
      </c>
      <c r="F65" s="23" t="s">
        <v>114</v>
      </c>
      <c r="G65" s="57"/>
      <c r="H65" s="57"/>
      <c r="I65" s="57"/>
    </row>
    <row r="66" spans="2:9">
      <c r="B66" s="54"/>
      <c r="C66" s="54" t="str">
        <f>COM_CC!C38</f>
        <v>CCPSELC_00_Cen</v>
      </c>
      <c r="D66" s="54" t="str">
        <f>COM_CC!D38</f>
        <v>Existing commercial - PS Space Cooling ELC Central</v>
      </c>
      <c r="E66" s="23" t="s">
        <v>10</v>
      </c>
      <c r="F66" s="23" t="s">
        <v>114</v>
      </c>
      <c r="G66" s="57"/>
      <c r="H66" s="57"/>
      <c r="I66" s="57"/>
    </row>
    <row r="67" spans="2:9">
      <c r="B67" s="54"/>
      <c r="C67" s="54" t="str">
        <f>COM_CC!C39</f>
        <v>CCPSELC_00_Roo</v>
      </c>
      <c r="D67" s="54" t="str">
        <f>COM_CC!D39</f>
        <v>Existing commercial - PS Space Cooling ELC Room</v>
      </c>
      <c r="E67" s="23" t="s">
        <v>10</v>
      </c>
      <c r="F67" s="23" t="s">
        <v>114</v>
      </c>
      <c r="G67" s="57"/>
      <c r="H67" s="57"/>
      <c r="I67" s="57"/>
    </row>
    <row r="68" spans="2:9">
      <c r="B68" s="54"/>
      <c r="C68" s="54" t="str">
        <f>COM_CC!C40</f>
        <v>CCPSELC_00_Fan</v>
      </c>
      <c r="D68" s="54" t="str">
        <f>COM_CC!D40</f>
        <v>Existing commercial - PS Space Cooling ELC Fans</v>
      </c>
      <c r="E68" s="23" t="s">
        <v>10</v>
      </c>
      <c r="F68" s="23" t="s">
        <v>114</v>
      </c>
      <c r="G68" s="57"/>
      <c r="H68" s="57"/>
      <c r="I68" s="57"/>
    </row>
    <row r="69" spans="2:9">
      <c r="B69" s="55"/>
      <c r="C69" s="55" t="str">
        <f>COM_CC!C41</f>
        <v>CCPSCOO_00</v>
      </c>
      <c r="D69" s="55" t="str">
        <f>COM_CC!D41</f>
        <v>Existing commercial - PS Space Cooling COO</v>
      </c>
      <c r="E69" s="24" t="s">
        <v>10</v>
      </c>
      <c r="F69" s="24" t="s">
        <v>114</v>
      </c>
      <c r="G69" s="55"/>
      <c r="H69" s="55"/>
      <c r="I69" s="55"/>
    </row>
    <row r="70" spans="2:9">
      <c r="B70" s="15" t="s">
        <v>260</v>
      </c>
      <c r="C70" s="54" t="str">
        <f>COM_COth!C25</f>
        <v>CLIGELC_00_IStd</v>
      </c>
      <c r="D70" s="54" t="str">
        <f>COM_COth!D25</f>
        <v>Existing commercial - Lighting ELC Incandescent STD</v>
      </c>
      <c r="E70" s="54" t="s">
        <v>10</v>
      </c>
      <c r="F70" s="54" t="s">
        <v>392</v>
      </c>
      <c r="G70" s="54"/>
      <c r="H70" s="54"/>
      <c r="I70" s="54"/>
    </row>
    <row r="71" spans="2:9">
      <c r="B71" s="54"/>
      <c r="C71" s="54" t="str">
        <f>COM_COth!C26</f>
        <v>CLIGELC_00_IImp</v>
      </c>
      <c r="D71" s="54" t="str">
        <f>COM_COth!D26</f>
        <v>Existing commercial - Lighting ELC Incandescent IMP</v>
      </c>
      <c r="E71" s="54" t="s">
        <v>10</v>
      </c>
      <c r="F71" s="54" t="s">
        <v>392</v>
      </c>
      <c r="G71" s="54"/>
      <c r="H71" s="54"/>
      <c r="I71" s="54"/>
    </row>
    <row r="72" spans="2:9">
      <c r="B72" s="54"/>
      <c r="C72" s="54" t="str">
        <f>COM_COth!C27</f>
        <v>CLIGELC_00_Hal</v>
      </c>
      <c r="D72" s="54" t="str">
        <f>COM_COth!D27</f>
        <v>Existing commercial - Lighting ELC Halogen</v>
      </c>
      <c r="E72" s="54" t="s">
        <v>10</v>
      </c>
      <c r="F72" s="54" t="s">
        <v>392</v>
      </c>
      <c r="G72" s="54"/>
      <c r="H72" s="54"/>
      <c r="I72" s="54"/>
    </row>
    <row r="73" spans="2:9">
      <c r="B73" s="55"/>
      <c r="C73" s="55" t="str">
        <f>COM_COth!C28</f>
        <v>CLIGELC_00_Flu</v>
      </c>
      <c r="D73" s="55" t="str">
        <f>COM_COth!D28</f>
        <v>Existing commercial - Lighting ELC Fluoreshent</v>
      </c>
      <c r="E73" s="55" t="s">
        <v>10</v>
      </c>
      <c r="F73" s="55" t="s">
        <v>392</v>
      </c>
      <c r="G73" s="55"/>
      <c r="H73" s="55"/>
      <c r="I73" s="55"/>
    </row>
    <row r="74" spans="2:9">
      <c r="B74" s="15" t="s">
        <v>260</v>
      </c>
      <c r="C74" s="54" t="str">
        <f>COM_COth!C36</f>
        <v>CCOKCOA_00</v>
      </c>
      <c r="D74" s="54" t="str">
        <f>COM_COth!D36</f>
        <v>Existing commercial - Cooking COA</v>
      </c>
      <c r="E74" s="54" t="s">
        <v>10</v>
      </c>
      <c r="F74" s="54" t="s">
        <v>392</v>
      </c>
      <c r="G74" s="54"/>
      <c r="H74" s="54"/>
      <c r="I74" s="54"/>
    </row>
    <row r="75" spans="2:9">
      <c r="B75" s="54"/>
      <c r="C75" s="54" t="str">
        <f>COM_COth!C37</f>
        <v>CCOKLPG_00</v>
      </c>
      <c r="D75" s="54" t="str">
        <f>COM_COth!D37</f>
        <v>Existing commercial - Cooking LPG</v>
      </c>
      <c r="E75" s="54" t="s">
        <v>10</v>
      </c>
      <c r="F75" s="54" t="s">
        <v>392</v>
      </c>
      <c r="G75" s="54"/>
      <c r="H75" s="54"/>
      <c r="I75" s="54"/>
    </row>
    <row r="76" spans="2:9">
      <c r="B76" s="54"/>
      <c r="C76" s="54" t="str">
        <f>COM_COth!C38</f>
        <v>CCOKOIL_00</v>
      </c>
      <c r="D76" s="54" t="str">
        <f>COM_COth!D38</f>
        <v>Existing commercial - Cooking OIL</v>
      </c>
      <c r="E76" s="54" t="s">
        <v>10</v>
      </c>
      <c r="F76" s="54" t="s">
        <v>392</v>
      </c>
      <c r="G76" s="54"/>
      <c r="H76" s="54"/>
      <c r="I76" s="54"/>
    </row>
    <row r="77" spans="2:9">
      <c r="B77" s="54"/>
      <c r="C77" s="54" t="str">
        <f>COM_COth!C39</f>
        <v>CCOKGAS_00</v>
      </c>
      <c r="D77" s="54" t="str">
        <f>COM_COth!D39</f>
        <v>Existing commercial - Cooking GAS</v>
      </c>
      <c r="E77" s="54" t="s">
        <v>10</v>
      </c>
      <c r="F77" s="54" t="s">
        <v>392</v>
      </c>
      <c r="G77" s="54"/>
      <c r="H77" s="54"/>
      <c r="I77" s="54"/>
    </row>
    <row r="78" spans="2:9">
      <c r="B78" s="54"/>
      <c r="C78" s="54" t="str">
        <f>COM_COth!C40</f>
        <v>CCOKBIO_00</v>
      </c>
      <c r="D78" s="54" t="str">
        <f>COM_COth!D40</f>
        <v>Existing commercial - Cooking BIO</v>
      </c>
      <c r="E78" s="54" t="s">
        <v>10</v>
      </c>
      <c r="F78" s="54" t="s">
        <v>392</v>
      </c>
      <c r="G78" s="54"/>
      <c r="H78" s="54"/>
      <c r="I78" s="54"/>
    </row>
    <row r="79" spans="2:9">
      <c r="B79" s="54"/>
      <c r="C79" s="54" t="str">
        <f>COM_COth!C41</f>
        <v>CCOKBGS_00</v>
      </c>
      <c r="D79" s="54" t="str">
        <f>COM_COth!D41</f>
        <v>Existing commercial - Cooking BGS</v>
      </c>
      <c r="E79" s="54" t="s">
        <v>10</v>
      </c>
      <c r="F79" s="54" t="s">
        <v>392</v>
      </c>
      <c r="G79" s="54"/>
      <c r="H79" s="54"/>
      <c r="I79" s="54"/>
    </row>
    <row r="80" spans="2:9">
      <c r="B80" s="54"/>
      <c r="C80" s="54" t="str">
        <f>COM_COth!C42</f>
        <v>CCOKSOL_00</v>
      </c>
      <c r="D80" s="54" t="str">
        <f>COM_COth!D42</f>
        <v>Existing commercial - Cooking SOL</v>
      </c>
      <c r="E80" s="54" t="s">
        <v>10</v>
      </c>
      <c r="F80" s="54" t="s">
        <v>392</v>
      </c>
      <c r="G80" s="54"/>
      <c r="H80" s="54"/>
      <c r="I80" s="54"/>
    </row>
    <row r="81" spans="2:9">
      <c r="B81" s="55"/>
      <c r="C81" s="55" t="str">
        <f>COM_COth!C43</f>
        <v>CCOKELC_00</v>
      </c>
      <c r="D81" s="55" t="str">
        <f>COM_COth!D43</f>
        <v>Existing commercial - Cooking ELC</v>
      </c>
      <c r="E81" s="55" t="s">
        <v>10</v>
      </c>
      <c r="F81" s="55" t="s">
        <v>392</v>
      </c>
      <c r="G81" s="55"/>
      <c r="H81" s="55"/>
      <c r="I81" s="55"/>
    </row>
    <row r="82" spans="2:9">
      <c r="B82" s="15" t="s">
        <v>260</v>
      </c>
      <c r="C82" s="54" t="str">
        <f>COM_COth!C51</f>
        <v>CREFELC_00_Ref</v>
      </c>
      <c r="D82" s="54" t="str">
        <f>COM_COth!D51</f>
        <v>Existing commercial - Refrigeration ELC Refrigerator</v>
      </c>
      <c r="E82" s="54" t="s">
        <v>10</v>
      </c>
      <c r="F82" s="54" t="s">
        <v>392</v>
      </c>
      <c r="G82" s="54"/>
      <c r="H82" s="54"/>
      <c r="I82" s="54"/>
    </row>
    <row r="83" spans="2:9">
      <c r="B83" s="57"/>
      <c r="C83" s="57" t="str">
        <f>COM_COth!C52</f>
        <v>CREFELC_00_Fre</v>
      </c>
      <c r="D83" s="57" t="str">
        <f>COM_COth!D52</f>
        <v>Existing commercial - Refrigeration ELC Freezer</v>
      </c>
      <c r="E83" s="57" t="s">
        <v>10</v>
      </c>
      <c r="F83" s="57" t="s">
        <v>392</v>
      </c>
      <c r="G83" s="57"/>
      <c r="H83" s="57"/>
      <c r="I83" s="57"/>
    </row>
    <row r="84" spans="2:9">
      <c r="B84" s="55"/>
      <c r="C84" s="55" t="str">
        <f>COM_COth!C53</f>
        <v>CREFELC_00_RF</v>
      </c>
      <c r="D84" s="55" t="str">
        <f>COM_COth!D53</f>
        <v>Existing commercial - Refrigeration ELC Refrigerator + Freezer</v>
      </c>
      <c r="E84" s="55" t="s">
        <v>10</v>
      </c>
      <c r="F84" s="55" t="s">
        <v>392</v>
      </c>
      <c r="G84" s="55"/>
      <c r="H84" s="55"/>
      <c r="I84" s="55"/>
    </row>
    <row r="85" spans="2:9">
      <c r="B85" s="62" t="s">
        <v>260</v>
      </c>
      <c r="C85" s="59" t="str">
        <f>COM_COth!C61</f>
        <v>CPLIELC_00</v>
      </c>
      <c r="D85" s="59" t="str">
        <f>COM_COth!D61</f>
        <v>Existing commercial - Public Lighting ELC</v>
      </c>
      <c r="E85" s="59" t="s">
        <v>10</v>
      </c>
      <c r="F85" s="59" t="s">
        <v>392</v>
      </c>
      <c r="G85" s="59"/>
      <c r="H85" s="59"/>
      <c r="I85" s="59"/>
    </row>
    <row r="86" spans="2:9">
      <c r="B86" s="15" t="s">
        <v>260</v>
      </c>
      <c r="C86" s="55" t="str">
        <f>COM_COth!C69</f>
        <v>COELELC_00</v>
      </c>
      <c r="D86" s="55" t="str">
        <f>COM_COth!D69</f>
        <v>Existing commercial - Other ELC</v>
      </c>
      <c r="E86" s="55" t="s">
        <v>10</v>
      </c>
      <c r="F86" s="55" t="s">
        <v>392</v>
      </c>
      <c r="G86" s="55"/>
      <c r="H86" s="55"/>
      <c r="I86" s="55"/>
    </row>
    <row r="87" spans="2:9">
      <c r="B87" s="63" t="s">
        <v>261</v>
      </c>
      <c r="C87" s="59" t="str">
        <f>COM_PV!B9</f>
        <v>COMPVELC_00</v>
      </c>
      <c r="D87" s="59" t="str">
        <f>COM_PV!C9</f>
        <v>Existing commercial - Solar PV</v>
      </c>
      <c r="E87" s="59" t="s">
        <v>10</v>
      </c>
      <c r="F87" s="59" t="s">
        <v>114</v>
      </c>
      <c r="G87" s="59" t="s">
        <v>75</v>
      </c>
      <c r="H87" s="59"/>
      <c r="I87" s="59"/>
    </row>
    <row r="88" spans="2:9">
      <c r="B88" s="56" t="s">
        <v>262</v>
      </c>
      <c r="C88" s="23" t="str">
        <f>COM_FuelTechs!B21</f>
        <v>COMELC_INF</v>
      </c>
      <c r="D88" s="23" t="str">
        <f>COM_FuelTechs!C21</f>
        <v>Fuel Tech - Electricity (COM)</v>
      </c>
      <c r="E88" s="23" t="s">
        <v>10</v>
      </c>
      <c r="F88" s="23" t="s">
        <v>114</v>
      </c>
      <c r="G88" s="23" t="s">
        <v>75</v>
      </c>
      <c r="H88" s="53"/>
      <c r="I88" s="53"/>
    </row>
    <row r="89" spans="2:9">
      <c r="B89" s="56"/>
      <c r="C89" s="23" t="str">
        <f>COM_FuelTechs!B28</f>
        <v>COMHET_INF</v>
      </c>
      <c r="D89" s="23" t="str">
        <f>COM_FuelTechs!C28</f>
        <v>Fuel Tech - Heat (COM)</v>
      </c>
      <c r="E89" s="23" t="s">
        <v>10</v>
      </c>
      <c r="F89" s="23" t="s">
        <v>114</v>
      </c>
      <c r="G89" s="23" t="s">
        <v>389</v>
      </c>
      <c r="H89" s="53"/>
      <c r="I89" s="53"/>
    </row>
    <row r="90" spans="2:9">
      <c r="B90" s="54"/>
      <c r="C90" s="54" t="str">
        <f>COM_FuelTechs!B6</f>
        <v>COMCOA_INF</v>
      </c>
      <c r="D90" s="54" t="str">
        <f>COM_FuelTechs!C6</f>
        <v>Fuel Tech - Coal (COM)</v>
      </c>
      <c r="E90" s="57" t="s">
        <v>10</v>
      </c>
      <c r="F90" s="57" t="s">
        <v>392</v>
      </c>
      <c r="G90" s="54"/>
      <c r="H90" s="54"/>
      <c r="I90" s="54"/>
    </row>
    <row r="91" spans="2:9">
      <c r="B91" s="54"/>
      <c r="C91" s="54" t="str">
        <f>COM_FuelTechs!B8</f>
        <v>COMLPG_INF</v>
      </c>
      <c r="D91" s="54" t="str">
        <f>COM_FuelTechs!C8</f>
        <v>Fuel Tech - Liquified Petroleum Gas (COM)</v>
      </c>
      <c r="E91" s="57" t="s">
        <v>10</v>
      </c>
      <c r="F91" s="57" t="s">
        <v>392</v>
      </c>
      <c r="G91" s="54"/>
      <c r="H91" s="54"/>
      <c r="I91" s="54"/>
    </row>
    <row r="92" spans="2:9">
      <c r="B92" s="54"/>
      <c r="C92" s="54" t="str">
        <f>COM_FuelTechs!B9</f>
        <v>COMOIL_INF</v>
      </c>
      <c r="D92" s="54" t="str">
        <f>COM_FuelTechs!C9</f>
        <v>Fuel Tech - Oil (COM)</v>
      </c>
      <c r="E92" s="57" t="s">
        <v>10</v>
      </c>
      <c r="F92" s="57" t="s">
        <v>392</v>
      </c>
      <c r="G92" s="54"/>
      <c r="H92" s="54"/>
      <c r="I92" s="54"/>
    </row>
    <row r="93" spans="2:9">
      <c r="B93" s="54"/>
      <c r="C93" s="54" t="str">
        <f>COM_FuelTechs!B11</f>
        <v>COMGAS_INF</v>
      </c>
      <c r="D93" s="54" t="str">
        <f>COM_FuelTechs!C11</f>
        <v>Fuel Tech - Natural Gas (COM)</v>
      </c>
      <c r="E93" s="57" t="s">
        <v>10</v>
      </c>
      <c r="F93" s="57" t="s">
        <v>392</v>
      </c>
      <c r="G93" s="54" t="s">
        <v>389</v>
      </c>
      <c r="H93" s="54"/>
      <c r="I93" s="54"/>
    </row>
    <row r="94" spans="2:9">
      <c r="B94" s="54"/>
      <c r="C94" s="54" t="str">
        <f>COM_FuelTechs!B12</f>
        <v>COMBIO_INF</v>
      </c>
      <c r="D94" s="54" t="str">
        <f>COM_FuelTechs!C12</f>
        <v>Fuel Tech - Biomass (COM)</v>
      </c>
      <c r="E94" s="57" t="s">
        <v>10</v>
      </c>
      <c r="F94" s="57" t="s">
        <v>392</v>
      </c>
      <c r="G94" s="54"/>
      <c r="H94" s="54"/>
      <c r="I94" s="54"/>
    </row>
    <row r="95" spans="2:9">
      <c r="B95" s="54"/>
      <c r="C95" s="54" t="str">
        <f>COM_FuelTechs!B13</f>
        <v>COMBGS_INF</v>
      </c>
      <c r="D95" s="54" t="str">
        <f>COM_FuelTechs!C13</f>
        <v>Fuel Tech - Biogas (COM)</v>
      </c>
      <c r="E95" s="57" t="s">
        <v>10</v>
      </c>
      <c r="F95" s="57" t="s">
        <v>392</v>
      </c>
      <c r="G95" s="54" t="s">
        <v>389</v>
      </c>
      <c r="H95" s="54"/>
      <c r="I95" s="54"/>
    </row>
    <row r="96" spans="2:9">
      <c r="B96" s="54"/>
      <c r="C96" s="54" t="str">
        <f>COM_FuelTechs!B14</f>
        <v>COMSOL_INF</v>
      </c>
      <c r="D96" s="54" t="str">
        <f>COM_FuelTechs!C14</f>
        <v>Fuel Tech - Solar (COM)</v>
      </c>
      <c r="E96" s="57" t="s">
        <v>10</v>
      </c>
      <c r="F96" s="57" t="s">
        <v>392</v>
      </c>
      <c r="G96" s="54"/>
      <c r="H96" s="54"/>
      <c r="I96" s="54"/>
    </row>
    <row r="97" spans="2:9">
      <c r="B97" s="54"/>
      <c r="C97" s="54" t="str">
        <f>COM_FuelTechs!B15</f>
        <v>COMGEO_INF</v>
      </c>
      <c r="D97" s="54" t="str">
        <f>COM_FuelTechs!C15</f>
        <v>Fuel Tech - Geothermal (COM)</v>
      </c>
      <c r="E97" s="57" t="s">
        <v>10</v>
      </c>
      <c r="F97" s="57" t="s">
        <v>392</v>
      </c>
      <c r="G97" s="54"/>
      <c r="H97" s="54"/>
      <c r="I97" s="54"/>
    </row>
    <row r="98" spans="2:9">
      <c r="B98" s="54"/>
      <c r="C98" s="54" t="str">
        <f>COM_FuelTechs!B44</f>
        <v>COMH2G_INF</v>
      </c>
      <c r="D98" s="54" t="str">
        <f>COM_FuelTechs!C44</f>
        <v>Fuel Tech - Hydrogen gaseous (COM)</v>
      </c>
      <c r="E98" s="57" t="s">
        <v>10</v>
      </c>
      <c r="F98" s="57" t="s">
        <v>392</v>
      </c>
      <c r="G98" s="54"/>
      <c r="H98" s="54"/>
      <c r="I98" s="54"/>
    </row>
    <row r="99" spans="2:9">
      <c r="B99" s="54"/>
      <c r="C99" s="54" t="str">
        <f>COM_FuelTechs!B45</f>
        <v>COMH2L_INF</v>
      </c>
      <c r="D99" s="54" t="str">
        <f>COM_FuelTechs!C45</f>
        <v>Fuel Tech - Hydrogen liquid (COM)</v>
      </c>
      <c r="E99" s="57" t="s">
        <v>10</v>
      </c>
      <c r="F99" s="57" t="s">
        <v>392</v>
      </c>
      <c r="G99" s="54"/>
      <c r="H99" s="54"/>
      <c r="I99" s="54"/>
    </row>
  </sheetData>
  <phoneticPr fontId="22" type="noConversion"/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5">
    <tabColor rgb="FFFFC000"/>
  </sheetPr>
  <dimension ref="A1:R52"/>
  <sheetViews>
    <sheetView zoomScaleNormal="100" workbookViewId="0">
      <selection activeCell="M41" sqref="M41"/>
    </sheetView>
  </sheetViews>
  <sheetFormatPr defaultColWidth="9.140625" defaultRowHeight="15"/>
  <cols>
    <col min="1" max="1" width="5.140625" style="530" customWidth="1"/>
    <col min="2" max="2" width="20.7109375" style="506" customWidth="1"/>
    <col min="3" max="3" width="43.7109375" style="506" customWidth="1"/>
    <col min="4" max="4" width="27.7109375" style="506" bestFit="1" customWidth="1"/>
    <col min="5" max="5" width="11.7109375" style="506" bestFit="1" customWidth="1"/>
    <col min="6" max="6" width="5.5703125" style="506" bestFit="1" customWidth="1"/>
    <col min="7" max="7" width="12.28515625" style="506" bestFit="1" customWidth="1"/>
    <col min="8" max="8" width="17.85546875" style="506" bestFit="1" customWidth="1"/>
    <col min="9" max="9" width="18.7109375" style="506" customWidth="1"/>
    <col min="10" max="10" width="28.42578125" style="506" customWidth="1"/>
    <col min="11" max="11" width="27" style="506" bestFit="1" customWidth="1"/>
    <col min="12" max="12" width="11.7109375" style="506" bestFit="1" customWidth="1"/>
    <col min="13" max="13" width="11.5703125" style="506" customWidth="1"/>
    <col min="14" max="256" width="11.42578125" style="506" customWidth="1"/>
    <col min="257" max="16384" width="9.140625" style="506"/>
  </cols>
  <sheetData>
    <row r="1" spans="2:14">
      <c r="E1" s="507"/>
      <c r="F1" s="507"/>
    </row>
    <row r="2" spans="2:14">
      <c r="E2" s="508"/>
      <c r="F2" s="507"/>
    </row>
    <row r="3" spans="2:14" ht="18.75">
      <c r="B3" s="509" t="s">
        <v>210</v>
      </c>
      <c r="C3" s="510"/>
      <c r="D3" s="510"/>
      <c r="E3" s="511" t="s">
        <v>80</v>
      </c>
      <c r="F3" s="511"/>
    </row>
    <row r="4" spans="2:14" ht="26.25" customHeight="1" thickBot="1">
      <c r="B4" s="512" t="s">
        <v>15</v>
      </c>
      <c r="C4" s="512" t="s">
        <v>16</v>
      </c>
      <c r="D4" s="512" t="s">
        <v>39</v>
      </c>
      <c r="E4" s="512" t="s">
        <v>40</v>
      </c>
      <c r="F4" s="513" t="s">
        <v>82</v>
      </c>
      <c r="G4" s="513" t="s">
        <v>209</v>
      </c>
      <c r="H4" s="797" t="s">
        <v>611</v>
      </c>
      <c r="I4" s="757" t="s">
        <v>597</v>
      </c>
      <c r="J4" s="514" t="s">
        <v>213</v>
      </c>
      <c r="K4" s="515" t="s">
        <v>54</v>
      </c>
      <c r="L4" s="513" t="s">
        <v>239</v>
      </c>
    </row>
    <row r="5" spans="2:14" ht="15.75" thickBot="1">
      <c r="B5" s="516" t="s">
        <v>148</v>
      </c>
      <c r="C5" s="516"/>
      <c r="D5" s="516"/>
      <c r="E5" s="516"/>
      <c r="F5" s="516"/>
      <c r="G5" s="516"/>
      <c r="H5" s="799" t="s">
        <v>612</v>
      </c>
      <c r="I5" s="516" t="s">
        <v>392</v>
      </c>
      <c r="J5" s="517" t="s">
        <v>214</v>
      </c>
      <c r="K5" s="517" t="s">
        <v>510</v>
      </c>
      <c r="L5" s="516" t="s">
        <v>259</v>
      </c>
    </row>
    <row r="6" spans="2:14">
      <c r="B6" s="518" t="str">
        <f>CONCATENATE(E6,"_INF")</f>
        <v>COMCOA_INF</v>
      </c>
      <c r="C6" s="518" t="s">
        <v>203</v>
      </c>
      <c r="D6" s="519" t="s">
        <v>189</v>
      </c>
      <c r="E6" s="520" t="str">
        <f>COM_Balance!$D$13</f>
        <v>COMCOA</v>
      </c>
      <c r="F6" s="519">
        <v>1</v>
      </c>
      <c r="G6" s="521" t="str">
        <f>IF(COM_Balance!$D$12=0,"",'EB2018'!E57/COM_Balance!$D$12)</f>
        <v/>
      </c>
      <c r="H6" s="521"/>
      <c r="I6" s="521">
        <f>COM_Balance!D12</f>
        <v>0</v>
      </c>
      <c r="J6" s="519">
        <v>2</v>
      </c>
      <c r="K6" s="519"/>
      <c r="L6" s="520">
        <v>100</v>
      </c>
    </row>
    <row r="7" spans="2:14">
      <c r="B7" s="518"/>
      <c r="C7" s="518"/>
      <c r="D7" s="519" t="s">
        <v>538</v>
      </c>
      <c r="E7" s="520"/>
      <c r="F7" s="519"/>
      <c r="G7" s="521"/>
      <c r="H7" s="521"/>
      <c r="I7" s="521"/>
      <c r="J7" s="519"/>
      <c r="K7" s="519"/>
      <c r="L7" s="525"/>
    </row>
    <row r="8" spans="2:14" ht="14.45" customHeight="1">
      <c r="B8" s="522" t="str">
        <f>CONCATENATE(E8,"_INF")</f>
        <v>COMLPG_INF</v>
      </c>
      <c r="C8" s="522" t="s">
        <v>204</v>
      </c>
      <c r="D8" s="523" t="s">
        <v>181</v>
      </c>
      <c r="E8" s="523" t="str">
        <f>COM_Balance!$E$13</f>
        <v>COMLPG</v>
      </c>
      <c r="F8" s="523">
        <v>1</v>
      </c>
      <c r="G8" s="524"/>
      <c r="H8" s="796"/>
      <c r="I8" s="524">
        <f>COM_Balance!E12</f>
        <v>0.39442476258101866</v>
      </c>
      <c r="J8" s="523"/>
      <c r="K8" s="523"/>
      <c r="L8" s="525">
        <v>100</v>
      </c>
    </row>
    <row r="9" spans="2:14">
      <c r="B9" s="526" t="str">
        <f>CONCATENATE(E9,"_INF")</f>
        <v>COMOIL_INF</v>
      </c>
      <c r="C9" s="526" t="s">
        <v>205</v>
      </c>
      <c r="D9" s="527" t="s">
        <v>184</v>
      </c>
      <c r="E9" s="527" t="str">
        <f>COM_Balance!$F$13</f>
        <v>COMOIL</v>
      </c>
      <c r="F9" s="527">
        <v>1</v>
      </c>
      <c r="G9" s="528">
        <f>'EB2018'!T57/SUM('EB2018'!T57:Y57,'EB2018'!M57:R57)</f>
        <v>0.9951680055188743</v>
      </c>
      <c r="H9" s="798">
        <v>5</v>
      </c>
      <c r="I9" s="529">
        <f>COM_Balance!F12</f>
        <v>10.808361453187995</v>
      </c>
      <c r="J9" s="527"/>
      <c r="K9" s="527"/>
      <c r="L9" s="520">
        <v>100</v>
      </c>
      <c r="M9" s="530"/>
      <c r="N9" s="530"/>
    </row>
    <row r="10" spans="2:14">
      <c r="B10" s="525"/>
      <c r="C10" s="525"/>
      <c r="D10" s="525" t="s">
        <v>185</v>
      </c>
      <c r="E10" s="525"/>
      <c r="F10" s="525"/>
      <c r="G10" s="531"/>
      <c r="H10" s="531"/>
      <c r="I10" s="532"/>
      <c r="J10" s="525"/>
      <c r="K10" s="525"/>
      <c r="L10" s="525"/>
      <c r="M10" s="530"/>
      <c r="N10" s="530"/>
    </row>
    <row r="11" spans="2:14">
      <c r="B11" s="533" t="str">
        <f>CONCATENATE(E11,"_INF")</f>
        <v>COMGAS_INF</v>
      </c>
      <c r="C11" s="533" t="s">
        <v>406</v>
      </c>
      <c r="D11" s="523" t="s">
        <v>186</v>
      </c>
      <c r="E11" s="523" t="str">
        <f>COM_Balance!$G$13</f>
        <v>COMGAS</v>
      </c>
      <c r="F11" s="523">
        <v>1</v>
      </c>
      <c r="G11" s="524"/>
      <c r="H11" s="796"/>
      <c r="I11" s="524">
        <f>COM_Balance!G12</f>
        <v>22.278598683127456</v>
      </c>
      <c r="J11" s="523"/>
      <c r="K11" s="523"/>
      <c r="L11" s="525">
        <v>100</v>
      </c>
      <c r="M11" s="530"/>
      <c r="N11" s="530"/>
    </row>
    <row r="12" spans="2:14">
      <c r="B12" s="533" t="str">
        <f>CONCATENATE(E12,"_INF")</f>
        <v>COMBIO_INF</v>
      </c>
      <c r="C12" s="533" t="s">
        <v>206</v>
      </c>
      <c r="D12" s="523" t="s">
        <v>374</v>
      </c>
      <c r="E12" s="523" t="str">
        <f>COM_Balance!$H$13</f>
        <v>COMBIO</v>
      </c>
      <c r="F12" s="523">
        <v>1</v>
      </c>
      <c r="G12" s="524"/>
      <c r="H12" s="796"/>
      <c r="I12" s="524">
        <f>COM_Balance!H12</f>
        <v>0.75682597336943469</v>
      </c>
      <c r="J12" s="523"/>
      <c r="K12" s="523"/>
      <c r="L12" s="525">
        <v>100</v>
      </c>
      <c r="M12" s="534"/>
      <c r="N12" s="530"/>
    </row>
    <row r="13" spans="2:14">
      <c r="B13" s="533" t="str">
        <f>CONCATENATE(E13,"_INF")</f>
        <v>COMBGS_INF</v>
      </c>
      <c r="C13" s="525" t="s">
        <v>393</v>
      </c>
      <c r="D13" s="525" t="s">
        <v>390</v>
      </c>
      <c r="E13" s="527" t="str">
        <f>COM_Balance!$I$13</f>
        <v>COMBGS</v>
      </c>
      <c r="F13" s="525">
        <v>1</v>
      </c>
      <c r="G13" s="531"/>
      <c r="H13" s="531"/>
      <c r="I13" s="531">
        <f>COM_Balance!I12</f>
        <v>0.31574984017572605</v>
      </c>
      <c r="J13" s="525"/>
      <c r="K13" s="525"/>
      <c r="L13" s="525">
        <v>100</v>
      </c>
      <c r="M13" s="535"/>
      <c r="N13" s="530"/>
    </row>
    <row r="14" spans="2:14">
      <c r="B14" s="533" t="str">
        <f>CONCATENATE(E14,"_INF")</f>
        <v>COMSOL_INF</v>
      </c>
      <c r="C14" s="533" t="s">
        <v>207</v>
      </c>
      <c r="D14" s="523" t="s">
        <v>215</v>
      </c>
      <c r="E14" s="523" t="str">
        <f>COM_Balance!$J$13</f>
        <v>COMSOL</v>
      </c>
      <c r="F14" s="523">
        <v>1</v>
      </c>
      <c r="G14" s="524"/>
      <c r="H14" s="796"/>
      <c r="I14" s="524">
        <f>COM_Balance!J12+COM_PV!N9</f>
        <v>1.3926876998464729E-2</v>
      </c>
      <c r="J14" s="523"/>
      <c r="K14" s="523"/>
      <c r="L14" s="525">
        <v>100</v>
      </c>
      <c r="M14" s="530"/>
      <c r="N14" s="530"/>
    </row>
    <row r="15" spans="2:14">
      <c r="B15" s="533" t="str">
        <f>CONCATENATE(E15,"_INF")</f>
        <v>COMGEO_INF</v>
      </c>
      <c r="C15" s="522" t="s">
        <v>208</v>
      </c>
      <c r="D15" s="523" t="s">
        <v>216</v>
      </c>
      <c r="E15" s="523" t="str">
        <f>COM_Balance!$K$13</f>
        <v>COMGEO</v>
      </c>
      <c r="F15" s="523">
        <v>1</v>
      </c>
      <c r="G15" s="524"/>
      <c r="H15" s="796"/>
      <c r="I15" s="524">
        <f>COM_Balance!K12</f>
        <v>0.71649471279083121</v>
      </c>
      <c r="J15" s="523"/>
      <c r="K15" s="523"/>
      <c r="L15" s="523">
        <v>100</v>
      </c>
    </row>
    <row r="16" spans="2:14">
      <c r="B16" s="530"/>
      <c r="C16" s="536"/>
      <c r="D16" s="530"/>
      <c r="E16" s="530"/>
      <c r="F16" s="530"/>
      <c r="G16" s="537"/>
    </row>
    <row r="17" spans="2:11">
      <c r="E17" s="507"/>
      <c r="F17" s="507"/>
      <c r="G17" s="530"/>
    </row>
    <row r="18" spans="2:11" ht="18.75">
      <c r="B18" s="509" t="s">
        <v>210</v>
      </c>
      <c r="C18" s="510"/>
      <c r="D18" s="510"/>
      <c r="E18" s="511" t="s">
        <v>80</v>
      </c>
      <c r="F18" s="511"/>
    </row>
    <row r="19" spans="2:11" ht="25.5" customHeight="1" thickBot="1">
      <c r="B19" s="512" t="s">
        <v>15</v>
      </c>
      <c r="C19" s="512" t="s">
        <v>16</v>
      </c>
      <c r="D19" s="512" t="s">
        <v>39</v>
      </c>
      <c r="E19" s="512" t="s">
        <v>40</v>
      </c>
      <c r="F19" s="513" t="s">
        <v>82</v>
      </c>
      <c r="G19" s="513" t="s">
        <v>209</v>
      </c>
      <c r="H19" s="513" t="s">
        <v>211</v>
      </c>
      <c r="I19" s="513" t="s">
        <v>111</v>
      </c>
      <c r="J19" s="513" t="s">
        <v>239</v>
      </c>
    </row>
    <row r="20" spans="2:11" ht="25.5" customHeight="1" thickBot="1">
      <c r="B20" s="516" t="s">
        <v>148</v>
      </c>
      <c r="C20" s="516"/>
      <c r="D20" s="516"/>
      <c r="E20" s="516"/>
      <c r="F20" s="516"/>
      <c r="G20" s="516"/>
      <c r="H20" s="516" t="s">
        <v>102</v>
      </c>
      <c r="I20" s="516"/>
      <c r="J20" s="516" t="s">
        <v>259</v>
      </c>
    </row>
    <row r="21" spans="2:11">
      <c r="B21" s="519" t="str">
        <f>CONCATENATE(E21,"_INF")</f>
        <v>COMELC_INF</v>
      </c>
      <c r="C21" s="518" t="s">
        <v>51</v>
      </c>
      <c r="D21" s="538" t="s">
        <v>375</v>
      </c>
      <c r="E21" s="520" t="str">
        <f>COM_Commodities!$C$13</f>
        <v>COMELC</v>
      </c>
      <c r="F21" s="519">
        <v>1</v>
      </c>
      <c r="G21" s="521"/>
      <c r="H21" s="519">
        <v>31.536000000000001</v>
      </c>
      <c r="I21" s="519">
        <v>1</v>
      </c>
      <c r="J21" s="539">
        <v>100</v>
      </c>
    </row>
    <row r="22" spans="2:11">
      <c r="B22" s="519"/>
      <c r="C22" s="518"/>
      <c r="D22" s="538"/>
      <c r="E22" s="520"/>
      <c r="F22" s="519"/>
      <c r="G22" s="521"/>
      <c r="H22" s="519"/>
      <c r="I22" s="519"/>
      <c r="J22" s="520"/>
    </row>
    <row r="23" spans="2:11">
      <c r="B23" s="530"/>
      <c r="C23" s="536"/>
      <c r="D23" s="530"/>
      <c r="E23" s="530"/>
      <c r="F23" s="530"/>
    </row>
    <row r="24" spans="2:11">
      <c r="E24" s="507"/>
      <c r="F24" s="507"/>
      <c r="G24" s="540"/>
    </row>
    <row r="25" spans="2:11" ht="18.75">
      <c r="B25" s="509" t="s">
        <v>210</v>
      </c>
      <c r="C25" s="510"/>
      <c r="D25" s="510"/>
      <c r="E25" s="511" t="s">
        <v>80</v>
      </c>
      <c r="F25" s="511"/>
    </row>
    <row r="26" spans="2:11" ht="29.25" customHeight="1" thickBot="1">
      <c r="B26" s="512" t="s">
        <v>15</v>
      </c>
      <c r="C26" s="512" t="s">
        <v>16</v>
      </c>
      <c r="D26" s="512" t="s">
        <v>39</v>
      </c>
      <c r="E26" s="512" t="s">
        <v>40</v>
      </c>
      <c r="F26" s="513" t="s">
        <v>82</v>
      </c>
      <c r="G26" s="757" t="s">
        <v>597</v>
      </c>
      <c r="H26" s="513" t="s">
        <v>211</v>
      </c>
      <c r="I26" s="513" t="s">
        <v>111</v>
      </c>
      <c r="J26" s="513" t="s">
        <v>54</v>
      </c>
      <c r="K26" s="513" t="s">
        <v>239</v>
      </c>
    </row>
    <row r="27" spans="2:11" ht="29.25" customHeight="1" thickBot="1">
      <c r="B27" s="516" t="s">
        <v>148</v>
      </c>
      <c r="C27" s="516"/>
      <c r="D27" s="516"/>
      <c r="E27" s="516"/>
      <c r="F27" s="516"/>
      <c r="G27" s="516" t="s">
        <v>114</v>
      </c>
      <c r="H27" s="516"/>
      <c r="I27" s="516"/>
      <c r="J27" s="516" t="s">
        <v>217</v>
      </c>
      <c r="K27" s="516" t="s">
        <v>259</v>
      </c>
    </row>
    <row r="28" spans="2:11" ht="15" customHeight="1">
      <c r="B28" s="520" t="str">
        <f>CONCATENATE(E28,"_INF")</f>
        <v>COMHET_INF</v>
      </c>
      <c r="C28" s="586" t="s">
        <v>591</v>
      </c>
      <c r="D28" s="541" t="s">
        <v>376</v>
      </c>
      <c r="E28" s="520" t="str">
        <f>COM_Commodities!$C$14</f>
        <v>COMHET</v>
      </c>
      <c r="F28" s="520">
        <v>0.94</v>
      </c>
      <c r="G28" s="542">
        <f>COM_Balance!M12/(H28*I28)</f>
        <v>0</v>
      </c>
      <c r="H28" s="520">
        <v>31.536000000000001</v>
      </c>
      <c r="I28" s="542">
        <f>1/3</f>
        <v>0.33333333333333331</v>
      </c>
      <c r="J28" s="519">
        <v>300</v>
      </c>
      <c r="K28" s="539">
        <v>100</v>
      </c>
    </row>
    <row r="29" spans="2:11">
      <c r="B29" s="543"/>
      <c r="C29" s="544"/>
      <c r="D29" s="520"/>
      <c r="E29" s="520"/>
      <c r="F29" s="520"/>
      <c r="G29" s="520"/>
      <c r="H29" s="520"/>
      <c r="I29" s="520"/>
      <c r="J29" s="519"/>
    </row>
    <row r="32" spans="2:11">
      <c r="C32" s="545"/>
      <c r="E32" s="507"/>
    </row>
    <row r="33" spans="2:18" ht="18.75">
      <c r="B33" s="509" t="s">
        <v>210</v>
      </c>
      <c r="C33" s="510"/>
      <c r="D33" s="510"/>
      <c r="E33" s="511"/>
      <c r="F33" s="545"/>
      <c r="H33" s="545"/>
    </row>
    <row r="34" spans="2:18" ht="15.75" thickBot="1">
      <c r="B34" s="512" t="s">
        <v>15</v>
      </c>
      <c r="C34" s="512" t="s">
        <v>16</v>
      </c>
      <c r="D34" s="512" t="s">
        <v>39</v>
      </c>
      <c r="E34" s="512" t="s">
        <v>40</v>
      </c>
      <c r="F34" s="513" t="s">
        <v>85</v>
      </c>
      <c r="G34" s="513" t="s">
        <v>109</v>
      </c>
      <c r="H34" s="513" t="s">
        <v>211</v>
      </c>
      <c r="I34" s="513" t="s">
        <v>104</v>
      </c>
      <c r="J34" s="513" t="s">
        <v>30</v>
      </c>
      <c r="K34" s="513" t="s">
        <v>54</v>
      </c>
      <c r="L34" s="513" t="s">
        <v>24</v>
      </c>
      <c r="M34" s="513" t="s">
        <v>218</v>
      </c>
      <c r="N34" s="513" t="s">
        <v>219</v>
      </c>
      <c r="O34" s="513" t="s">
        <v>220</v>
      </c>
      <c r="P34" s="513" t="s">
        <v>221</v>
      </c>
      <c r="R34" s="546"/>
    </row>
    <row r="35" spans="2:18" ht="15.75" thickBot="1">
      <c r="B35" s="516" t="s">
        <v>148</v>
      </c>
      <c r="C35" s="516"/>
      <c r="D35" s="516"/>
      <c r="E35" s="516"/>
      <c r="F35" s="516"/>
      <c r="G35" s="516"/>
      <c r="H35" s="516" t="s">
        <v>102</v>
      </c>
      <c r="I35" s="516"/>
      <c r="J35" s="516"/>
      <c r="K35" s="516" t="s">
        <v>103</v>
      </c>
      <c r="L35" s="516" t="s">
        <v>103</v>
      </c>
      <c r="M35" s="516"/>
      <c r="N35" s="516"/>
      <c r="O35" s="516"/>
      <c r="P35" s="516"/>
      <c r="R35" s="546" t="s">
        <v>222</v>
      </c>
    </row>
    <row r="36" spans="2:18">
      <c r="B36" s="547" t="str">
        <f>CONCATENATE(E38,"_INF")</f>
        <v>COMCOO_INF</v>
      </c>
      <c r="C36" s="548" t="s">
        <v>108</v>
      </c>
      <c r="D36" s="549" t="s">
        <v>375</v>
      </c>
      <c r="E36" s="548"/>
      <c r="F36" s="547">
        <v>0.75</v>
      </c>
      <c r="G36" s="547">
        <v>0.95</v>
      </c>
      <c r="H36" s="547">
        <v>31.536000000000001</v>
      </c>
      <c r="I36" s="547">
        <v>0.98</v>
      </c>
      <c r="J36" s="547">
        <v>25</v>
      </c>
      <c r="K36" s="547">
        <v>150</v>
      </c>
      <c r="L36" s="547">
        <v>15</v>
      </c>
      <c r="M36" s="550">
        <v>1</v>
      </c>
      <c r="N36" s="550">
        <v>1</v>
      </c>
      <c r="O36" s="550">
        <v>1</v>
      </c>
      <c r="P36" s="550">
        <v>1</v>
      </c>
    </row>
    <row r="37" spans="2:18">
      <c r="B37" s="547"/>
      <c r="C37" s="551"/>
      <c r="D37" s="548" t="str">
        <f>COM_Commodities!$C$17</f>
        <v>*COOFRE</v>
      </c>
      <c r="E37" s="552"/>
      <c r="F37" s="547">
        <v>1</v>
      </c>
      <c r="G37" s="547"/>
      <c r="H37" s="547"/>
      <c r="I37" s="547"/>
      <c r="J37" s="547"/>
      <c r="K37" s="547"/>
      <c r="L37" s="547"/>
      <c r="M37" s="550">
        <v>0.8</v>
      </c>
      <c r="N37" s="550">
        <v>0.5</v>
      </c>
      <c r="O37" s="550">
        <v>0.05</v>
      </c>
      <c r="P37" s="550">
        <v>0.35</v>
      </c>
    </row>
    <row r="38" spans="2:18">
      <c r="B38" s="547"/>
      <c r="C38" s="551"/>
      <c r="D38" s="548"/>
      <c r="E38" s="548" t="str">
        <f>COM_Commodities!$C$18</f>
        <v>COMCOO</v>
      </c>
      <c r="F38" s="547"/>
      <c r="G38" s="547"/>
      <c r="H38" s="547"/>
      <c r="I38" s="547"/>
      <c r="J38" s="547"/>
      <c r="K38" s="547"/>
      <c r="L38" s="547"/>
      <c r="M38" s="547"/>
      <c r="N38" s="547"/>
      <c r="O38" s="547"/>
      <c r="P38" s="547"/>
    </row>
    <row r="41" spans="2:18" ht="18.75">
      <c r="B41" s="509" t="s">
        <v>210</v>
      </c>
      <c r="C41" s="510"/>
      <c r="D41" s="510"/>
      <c r="E41" s="511" t="s">
        <v>80</v>
      </c>
      <c r="F41" s="511"/>
    </row>
    <row r="42" spans="2:18" ht="15.75" thickBot="1">
      <c r="B42" s="512" t="s">
        <v>15</v>
      </c>
      <c r="C42" s="512" t="s">
        <v>16</v>
      </c>
      <c r="D42" s="512" t="s">
        <v>39</v>
      </c>
      <c r="E42" s="512" t="s">
        <v>40</v>
      </c>
      <c r="F42" s="513" t="s">
        <v>82</v>
      </c>
      <c r="G42" s="757" t="s">
        <v>597</v>
      </c>
      <c r="H42" s="513" t="s">
        <v>211</v>
      </c>
      <c r="I42" s="513" t="s">
        <v>111</v>
      </c>
      <c r="J42" s="513" t="s">
        <v>54</v>
      </c>
      <c r="K42" s="513" t="s">
        <v>239</v>
      </c>
    </row>
    <row r="43" spans="2:18" ht="15.75" thickBot="1">
      <c r="B43" s="516" t="s">
        <v>148</v>
      </c>
      <c r="C43" s="516"/>
      <c r="D43" s="516"/>
      <c r="E43" s="516"/>
      <c r="F43" s="516"/>
      <c r="G43" s="516" t="s">
        <v>114</v>
      </c>
      <c r="H43" s="516"/>
      <c r="I43" s="516"/>
      <c r="J43" s="516" t="s">
        <v>217</v>
      </c>
      <c r="K43" s="516" t="s">
        <v>259</v>
      </c>
    </row>
    <row r="44" spans="2:18">
      <c r="B44" s="520" t="str">
        <f>CONCATENATE(E44,"_INF")</f>
        <v>COMH2G_INF</v>
      </c>
      <c r="C44" s="586" t="s">
        <v>550</v>
      </c>
      <c r="D44" s="16" t="s">
        <v>544</v>
      </c>
      <c r="E44" s="506" t="str">
        <f>COM_Commodities!C19</f>
        <v>COMH2G</v>
      </c>
      <c r="F44" s="506">
        <v>1</v>
      </c>
      <c r="G44" s="506">
        <v>0</v>
      </c>
      <c r="K44" s="506">
        <v>100</v>
      </c>
    </row>
    <row r="45" spans="2:18">
      <c r="B45" s="520" t="str">
        <f>CONCATENATE(E45,"_INF")</f>
        <v>COMH2L_INF</v>
      </c>
      <c r="C45" s="586" t="s">
        <v>551</v>
      </c>
      <c r="D45" s="16" t="s">
        <v>549</v>
      </c>
      <c r="E45" s="506" t="str">
        <f>COM_Commodities!C20</f>
        <v>COMH2L</v>
      </c>
      <c r="F45" s="506">
        <v>1</v>
      </c>
      <c r="G45" s="506">
        <v>0</v>
      </c>
      <c r="K45" s="506">
        <v>100</v>
      </c>
    </row>
    <row r="49" spans="2:6">
      <c r="B49" s="580"/>
      <c r="C49" s="580"/>
      <c r="D49" s="580"/>
      <c r="E49" s="580"/>
      <c r="F49" s="580"/>
    </row>
    <row r="50" spans="2:6">
      <c r="B50" s="580"/>
      <c r="C50" s="580"/>
      <c r="D50" s="580"/>
      <c r="E50" s="580"/>
    </row>
    <row r="51" spans="2:6">
      <c r="B51" s="580"/>
      <c r="C51" s="580"/>
      <c r="D51" s="580"/>
      <c r="E51" s="581"/>
    </row>
    <row r="52" spans="2:6">
      <c r="B52" s="580"/>
      <c r="C52" s="580"/>
      <c r="D52" s="580"/>
      <c r="E52" s="580"/>
      <c r="F52" s="581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21">
    <tabColor rgb="FFFFC000"/>
  </sheetPr>
  <dimension ref="B3:S21"/>
  <sheetViews>
    <sheetView topLeftCell="A12" zoomScale="80" zoomScaleNormal="80" workbookViewId="0">
      <selection activeCell="E16" sqref="E16"/>
    </sheetView>
  </sheetViews>
  <sheetFormatPr defaultRowHeight="12.75"/>
  <cols>
    <col min="1" max="1" width="4.85546875" customWidth="1"/>
    <col min="2" max="2" width="35.140625" customWidth="1"/>
    <col min="3" max="3" width="14.85546875" bestFit="1" customWidth="1"/>
    <col min="4" max="4" width="11.28515625" customWidth="1"/>
    <col min="5" max="5" width="11.140625" customWidth="1"/>
    <col min="6" max="6" width="11.7109375" customWidth="1"/>
    <col min="7" max="7" width="9.5703125" customWidth="1"/>
    <col min="8" max="8" width="10.28515625" customWidth="1"/>
    <col min="9" max="13" width="7.7109375" customWidth="1"/>
    <col min="14" max="14" width="8.28515625" bestFit="1" customWidth="1"/>
    <col min="15" max="15" width="9.42578125" bestFit="1" customWidth="1"/>
    <col min="16" max="16" width="8.7109375" bestFit="1" customWidth="1"/>
    <col min="17" max="17" width="9.140625" customWidth="1"/>
    <col min="18" max="18" width="8.5703125" customWidth="1"/>
    <col min="19" max="19" width="8.140625" customWidth="1"/>
    <col min="20" max="20" width="9.140625" customWidth="1"/>
    <col min="21" max="21" width="15.28515625" customWidth="1"/>
    <col min="22" max="22" width="11.140625" customWidth="1"/>
    <col min="23" max="256" width="11.42578125" customWidth="1"/>
  </cols>
  <sheetData>
    <row r="3" spans="2:19" ht="28.5">
      <c r="B3" s="33" t="s">
        <v>179</v>
      </c>
    </row>
    <row r="4" spans="2:19" ht="15">
      <c r="B4" s="34"/>
      <c r="C4" s="35"/>
      <c r="D4" s="36"/>
      <c r="E4" s="36"/>
    </row>
    <row r="5" spans="2:19" ht="15.75" thickBot="1">
      <c r="B5" s="37"/>
      <c r="C5" s="38" t="s">
        <v>180</v>
      </c>
      <c r="D5" s="39" t="s">
        <v>189</v>
      </c>
      <c r="E5" s="39" t="s">
        <v>190</v>
      </c>
      <c r="F5" s="39" t="s">
        <v>191</v>
      </c>
      <c r="G5" s="39" t="s">
        <v>192</v>
      </c>
      <c r="H5" s="39" t="s">
        <v>181</v>
      </c>
      <c r="I5" s="39" t="s">
        <v>182</v>
      </c>
      <c r="J5" s="39" t="s">
        <v>183</v>
      </c>
      <c r="K5" s="39" t="s">
        <v>184</v>
      </c>
      <c r="L5" s="39" t="s">
        <v>185</v>
      </c>
      <c r="M5" s="39" t="s">
        <v>193</v>
      </c>
      <c r="N5" s="39" t="s">
        <v>186</v>
      </c>
      <c r="O5" s="39" t="s">
        <v>194</v>
      </c>
      <c r="P5" s="39" t="s">
        <v>195</v>
      </c>
      <c r="Q5" s="39" t="s">
        <v>196</v>
      </c>
      <c r="R5" s="39" t="s">
        <v>197</v>
      </c>
      <c r="S5" s="39" t="s">
        <v>198</v>
      </c>
    </row>
    <row r="6" spans="2:19" ht="15">
      <c r="B6" s="48" t="s">
        <v>187</v>
      </c>
      <c r="C6" s="49" t="s">
        <v>188</v>
      </c>
      <c r="D6" s="50">
        <v>98.3</v>
      </c>
      <c r="E6" s="50">
        <v>94.6</v>
      </c>
      <c r="F6" s="51">
        <v>101.2</v>
      </c>
      <c r="G6" s="51">
        <v>101.2</v>
      </c>
      <c r="H6" s="51">
        <v>63.1</v>
      </c>
      <c r="I6" s="51">
        <v>69.3</v>
      </c>
      <c r="J6" s="51">
        <v>71.900000000000006</v>
      </c>
      <c r="K6" s="51">
        <v>74.099999999999994</v>
      </c>
      <c r="L6" s="51">
        <v>77.400000000000006</v>
      </c>
      <c r="M6" s="51">
        <v>73.3</v>
      </c>
      <c r="N6" s="51">
        <v>56.1</v>
      </c>
      <c r="O6" s="51">
        <v>56.1</v>
      </c>
      <c r="P6" s="51">
        <v>0</v>
      </c>
      <c r="Q6" s="51">
        <v>0</v>
      </c>
      <c r="R6" s="51">
        <v>85.85</v>
      </c>
      <c r="S6" s="51">
        <v>85.85</v>
      </c>
    </row>
    <row r="7" spans="2:19">
      <c r="B7" s="11"/>
      <c r="C7" s="41"/>
      <c r="D7" s="42"/>
      <c r="E7" s="42"/>
      <c r="F7" s="2"/>
      <c r="G7" s="2"/>
      <c r="H7" s="2"/>
      <c r="I7" s="2"/>
      <c r="J7" s="2"/>
      <c r="K7" s="2"/>
    </row>
    <row r="8" spans="2:19">
      <c r="B8" s="11"/>
      <c r="C8" s="41"/>
      <c r="D8" s="42"/>
      <c r="E8" s="42"/>
      <c r="F8" s="2"/>
      <c r="G8" s="2"/>
      <c r="H8" s="2"/>
      <c r="I8" s="2"/>
      <c r="J8" s="2"/>
      <c r="K8" s="2"/>
    </row>
    <row r="9" spans="2:19">
      <c r="B9" s="11"/>
      <c r="C9" s="41"/>
      <c r="D9" s="42"/>
      <c r="E9" s="42"/>
      <c r="F9" s="42"/>
      <c r="G9" s="42"/>
      <c r="H9" s="42"/>
      <c r="I9" s="42"/>
      <c r="J9" s="42"/>
      <c r="K9" s="42"/>
    </row>
    <row r="10" spans="2:19">
      <c r="B10" s="11"/>
      <c r="C10" s="41"/>
      <c r="D10" s="42"/>
      <c r="E10" s="42"/>
      <c r="F10" s="42"/>
      <c r="G10" s="42"/>
      <c r="H10" s="42"/>
      <c r="I10" s="42"/>
      <c r="J10" s="42"/>
      <c r="K10" s="42"/>
    </row>
    <row r="11" spans="2:19" ht="28.5">
      <c r="B11" s="33" t="s">
        <v>258</v>
      </c>
      <c r="C11" s="41"/>
      <c r="D11" s="42"/>
      <c r="E11" s="42"/>
      <c r="F11" s="42"/>
      <c r="G11" s="42"/>
      <c r="H11" s="42"/>
      <c r="I11" s="42"/>
      <c r="J11" s="42"/>
      <c r="K11" s="42"/>
    </row>
    <row r="13" spans="2:19" ht="15">
      <c r="B13" s="43" t="s">
        <v>86</v>
      </c>
      <c r="C13" s="44"/>
      <c r="D13" s="36"/>
      <c r="E13" s="36"/>
      <c r="F13" s="36"/>
      <c r="G13" s="46"/>
      <c r="H13" s="9"/>
      <c r="I13" s="9"/>
      <c r="J13" s="9"/>
    </row>
    <row r="14" spans="2:19" ht="15.75" thickBot="1">
      <c r="B14" s="38" t="s">
        <v>17</v>
      </c>
      <c r="C14" s="39" t="str">
        <f>COM_Commodities!C6</f>
        <v>COMCOA</v>
      </c>
      <c r="D14" s="39" t="str">
        <f>COM_Commodities!C7</f>
        <v>COMLPG</v>
      </c>
      <c r="E14" s="39" t="str">
        <f>COM_Commodities!C8</f>
        <v>COMOIL</v>
      </c>
      <c r="F14" s="39" t="str">
        <f>COM_Commodities!C9</f>
        <v>COMGAS</v>
      </c>
      <c r="G14" s="47"/>
      <c r="H14" s="47"/>
      <c r="I14" s="47"/>
      <c r="J14" s="47"/>
      <c r="K14" s="2"/>
    </row>
    <row r="15" spans="2:19">
      <c r="B15" s="45" t="s">
        <v>148</v>
      </c>
      <c r="C15" s="45" t="s">
        <v>188</v>
      </c>
      <c r="D15" s="45" t="s">
        <v>188</v>
      </c>
      <c r="E15" s="45" t="s">
        <v>188</v>
      </c>
      <c r="F15" s="45" t="s">
        <v>188</v>
      </c>
      <c r="G15" s="46"/>
      <c r="H15" s="46"/>
      <c r="I15" s="46"/>
      <c r="J15" s="46"/>
      <c r="K15" s="2"/>
    </row>
    <row r="16" spans="2:19" ht="15">
      <c r="B16" s="52" t="str">
        <f>COM_Commodities!C23</f>
        <v>COMCO2N</v>
      </c>
      <c r="C16" s="50">
        <f>D6</f>
        <v>98.3</v>
      </c>
      <c r="D16" s="50">
        <f>H6</f>
        <v>63.1</v>
      </c>
      <c r="E16" s="50">
        <f>K6*COM_FuelTechs!G9+COM_EmiCoeffs!L6*(1-COM_FuelTechs!G9)</f>
        <v>74.115945581787713</v>
      </c>
      <c r="F16" s="50">
        <f>N6</f>
        <v>56.1</v>
      </c>
      <c r="G16" s="40"/>
      <c r="H16" s="40"/>
      <c r="I16" s="40"/>
      <c r="J16" s="40"/>
      <c r="K16" s="2"/>
    </row>
    <row r="17" spans="2:10" ht="15">
      <c r="B17" s="52" t="str">
        <f>COM_Commodities!C24</f>
        <v>COMCH4N</v>
      </c>
      <c r="C17" s="50"/>
      <c r="D17" s="50"/>
      <c r="E17" s="50"/>
      <c r="F17" s="50"/>
      <c r="G17" s="9"/>
      <c r="H17" s="9"/>
      <c r="I17" s="9"/>
      <c r="J17" s="9"/>
    </row>
    <row r="18" spans="2:10" ht="15">
      <c r="B18" s="52" t="str">
        <f>COM_Commodities!C25</f>
        <v>COMSO2N</v>
      </c>
      <c r="C18" s="50"/>
      <c r="D18" s="50"/>
      <c r="E18" s="50"/>
      <c r="F18" s="50"/>
      <c r="G18" s="9"/>
      <c r="H18" s="9"/>
      <c r="I18" s="9"/>
      <c r="J18" s="9"/>
    </row>
    <row r="19" spans="2:10" ht="15">
      <c r="B19" s="52" t="str">
        <f>COM_Commodities!C26</f>
        <v>COMNOXN</v>
      </c>
      <c r="C19" s="50"/>
      <c r="D19" s="50"/>
      <c r="E19" s="50"/>
      <c r="F19" s="50"/>
      <c r="G19" s="9"/>
      <c r="H19" s="9"/>
      <c r="I19" s="9"/>
      <c r="J19" s="9"/>
    </row>
    <row r="20" spans="2:10" ht="15">
      <c r="B20" s="52" t="str">
        <f>COM_Commodities!C27</f>
        <v>COMPM10</v>
      </c>
      <c r="C20" s="50"/>
      <c r="D20" s="50"/>
      <c r="E20" s="50"/>
      <c r="F20" s="50"/>
      <c r="G20" s="9"/>
      <c r="H20" s="9"/>
      <c r="I20" s="9"/>
      <c r="J20" s="9"/>
    </row>
    <row r="21" spans="2:10" ht="15">
      <c r="B21" s="52" t="str">
        <f>COM_Commodities!C28</f>
        <v>COMPM25</v>
      </c>
      <c r="C21" s="50"/>
      <c r="D21" s="50"/>
      <c r="E21" s="50"/>
      <c r="F21" s="5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0">
    <tabColor rgb="FFFFC000"/>
  </sheetPr>
  <dimension ref="B1:W177"/>
  <sheetViews>
    <sheetView topLeftCell="A6" zoomScale="80" zoomScaleNormal="80" workbookViewId="0">
      <selection activeCell="J66" sqref="J66"/>
    </sheetView>
  </sheetViews>
  <sheetFormatPr defaultRowHeight="12.75"/>
  <cols>
    <col min="1" max="1" width="5" customWidth="1"/>
    <col min="2" max="2" width="12.85546875" customWidth="1"/>
    <col min="3" max="3" width="18.42578125" customWidth="1"/>
    <col min="4" max="4" width="82.42578125" customWidth="1"/>
    <col min="5" max="5" width="14.5703125" bestFit="1" customWidth="1"/>
    <col min="6" max="6" width="11.140625" bestFit="1" customWidth="1"/>
    <col min="7" max="7" width="12.140625" bestFit="1" customWidth="1"/>
    <col min="8" max="23" width="9.5703125" customWidth="1"/>
    <col min="24" max="24" width="12.85546875" bestFit="1" customWidth="1"/>
    <col min="25" max="256" width="11.42578125" customWidth="1"/>
  </cols>
  <sheetData>
    <row r="1" spans="2:22" s="65" customFormat="1" ht="26.25">
      <c r="B1" s="83" t="s">
        <v>241</v>
      </c>
    </row>
    <row r="2" spans="2:22" s="16" customFormat="1" ht="15">
      <c r="J2" s="67"/>
      <c r="K2" s="67"/>
      <c r="L2" s="67"/>
      <c r="N2" s="67"/>
    </row>
    <row r="3" spans="2:22" s="16" customFormat="1" ht="18.75">
      <c r="B3" s="66" t="s">
        <v>253</v>
      </c>
      <c r="C3" s="64"/>
      <c r="D3" s="64"/>
      <c r="F3" s="78" t="s">
        <v>234</v>
      </c>
      <c r="I3" s="86"/>
    </row>
    <row r="4" spans="2:22" s="16" customFormat="1" ht="15">
      <c r="B4" s="68" t="s">
        <v>80</v>
      </c>
      <c r="F4" s="122" t="s">
        <v>237</v>
      </c>
      <c r="G4" s="114"/>
      <c r="H4" s="114"/>
      <c r="I4" s="114"/>
    </row>
    <row r="5" spans="2:22" s="16" customFormat="1" ht="16.5" thickBot="1">
      <c r="B5" s="96" t="s">
        <v>17</v>
      </c>
      <c r="C5" s="97" t="s">
        <v>78</v>
      </c>
      <c r="D5" s="97" t="s">
        <v>148</v>
      </c>
      <c r="F5" s="121" t="s">
        <v>236</v>
      </c>
      <c r="G5" s="121"/>
      <c r="H5" s="121"/>
      <c r="I5" s="121"/>
    </row>
    <row r="6" spans="2:22" s="16" customFormat="1" ht="15.75">
      <c r="B6" s="22" t="s">
        <v>148</v>
      </c>
      <c r="C6" s="22" t="s">
        <v>10</v>
      </c>
      <c r="D6" s="98" t="s">
        <v>233</v>
      </c>
    </row>
    <row r="7" spans="2:22" s="16" customFormat="1" ht="15">
      <c r="B7" s="54" t="str">
        <f>COM_Balance!C33</f>
        <v>CHCS</v>
      </c>
      <c r="C7" s="105">
        <f>V45*U19</f>
        <v>14.939973584037652</v>
      </c>
      <c r="D7" s="54" t="str">
        <f>COM_Balance!B33</f>
        <v>Commercial space heat  demand - Commercial Services</v>
      </c>
    </row>
    <row r="8" spans="2:22" s="16" customFormat="1" ht="15">
      <c r="B8" s="54" t="str">
        <f>COM_Balance!C34</f>
        <v>CHPS</v>
      </c>
      <c r="C8" s="105">
        <f>V77*U51</f>
        <v>12.334695394352218</v>
      </c>
      <c r="D8" s="54" t="str">
        <f>COM_Balance!B34</f>
        <v>Commercial space heat demand - Public Services</v>
      </c>
    </row>
    <row r="9" spans="2:22" s="16" customFormat="1" ht="15">
      <c r="G9" s="34"/>
      <c r="H9" s="77"/>
      <c r="I9" s="77"/>
      <c r="J9" s="77"/>
      <c r="K9" s="77"/>
      <c r="L9" s="77"/>
      <c r="M9" s="75"/>
      <c r="N9" s="77"/>
      <c r="O9" s="75"/>
      <c r="P9" s="75"/>
      <c r="Q9" s="75"/>
      <c r="R9" s="75"/>
      <c r="S9" s="75"/>
    </row>
    <row r="10" spans="2:22" s="16" customFormat="1" ht="18.75">
      <c r="B10" s="66" t="s">
        <v>580</v>
      </c>
      <c r="C10" s="64"/>
      <c r="D10" s="64"/>
      <c r="E10" s="64"/>
      <c r="F10" s="64"/>
      <c r="G10" s="64"/>
      <c r="H10" s="64"/>
      <c r="I10" s="64"/>
      <c r="J10" s="64"/>
      <c r="K10" s="64"/>
      <c r="L10" s="64"/>
      <c r="M10" s="64"/>
      <c r="N10" s="64"/>
      <c r="O10" s="64"/>
      <c r="P10" s="64"/>
      <c r="Q10" s="64"/>
      <c r="R10" s="64"/>
      <c r="S10" s="64"/>
      <c r="T10" s="64"/>
      <c r="U10" s="64"/>
    </row>
    <row r="11" spans="2:22" s="16" customFormat="1" ht="15">
      <c r="C11" s="68" t="s">
        <v>557</v>
      </c>
    </row>
    <row r="12" spans="2:22" s="16" customFormat="1" ht="16.5" thickBot="1">
      <c r="B12" s="96" t="s">
        <v>17</v>
      </c>
      <c r="C12" s="96" t="s">
        <v>558</v>
      </c>
      <c r="D12" s="96" t="s">
        <v>575</v>
      </c>
      <c r="E12" s="96" t="s">
        <v>576</v>
      </c>
      <c r="F12" s="97" t="s">
        <v>559</v>
      </c>
      <c r="G12" s="97" t="s">
        <v>560</v>
      </c>
      <c r="H12" s="97" t="s">
        <v>561</v>
      </c>
      <c r="I12" s="97" t="s">
        <v>562</v>
      </c>
      <c r="J12" s="97" t="s">
        <v>563</v>
      </c>
      <c r="K12" s="97" t="s">
        <v>564</v>
      </c>
      <c r="L12" s="97" t="s">
        <v>565</v>
      </c>
      <c r="M12" s="97" t="s">
        <v>566</v>
      </c>
      <c r="N12" s="97" t="s">
        <v>567</v>
      </c>
      <c r="O12" s="97" t="s">
        <v>568</v>
      </c>
      <c r="P12" s="97" t="s">
        <v>569</v>
      </c>
      <c r="Q12" s="97" t="s">
        <v>570</v>
      </c>
      <c r="R12" s="97" t="s">
        <v>571</v>
      </c>
      <c r="S12" s="97" t="s">
        <v>572</v>
      </c>
      <c r="T12" s="97" t="s">
        <v>573</v>
      </c>
      <c r="U12" s="97" t="s">
        <v>574</v>
      </c>
    </row>
    <row r="13" spans="2:22" s="16" customFormat="1" ht="15">
      <c r="B13" s="54" t="str">
        <f>B7</f>
        <v>CHCS</v>
      </c>
      <c r="C13" s="54" t="s">
        <v>577</v>
      </c>
      <c r="D13" s="54" t="s">
        <v>578</v>
      </c>
      <c r="E13" s="54" t="s">
        <v>579</v>
      </c>
      <c r="F13" s="589">
        <v>0.10037907809223</v>
      </c>
      <c r="G13" s="589">
        <v>3.5886823781660103E-2</v>
      </c>
      <c r="H13" s="589">
        <v>3.7747968368264599E-2</v>
      </c>
      <c r="I13" s="589">
        <v>5.3389173341578E-2</v>
      </c>
      <c r="J13" s="589">
        <v>0.12478244807854399</v>
      </c>
      <c r="K13" s="589">
        <v>4.3783650249652098E-2</v>
      </c>
      <c r="L13" s="589">
        <v>4.5784279264661401E-2</v>
      </c>
      <c r="M13" s="589">
        <v>6.5857972833736705E-2</v>
      </c>
      <c r="N13" s="589">
        <v>1.0203646526019501E-2</v>
      </c>
      <c r="O13" s="589">
        <v>3.9442470931265704E-3</v>
      </c>
      <c r="P13" s="589">
        <v>6.6186415881291996E-3</v>
      </c>
      <c r="Q13" s="589">
        <v>4.6199349639557104E-3</v>
      </c>
      <c r="R13" s="589">
        <v>0.226214507018207</v>
      </c>
      <c r="S13" s="589">
        <v>7.6532321402360604E-2</v>
      </c>
      <c r="T13" s="589">
        <v>6.2134109111168401E-2</v>
      </c>
      <c r="U13" s="589">
        <v>0.102121198286706</v>
      </c>
    </row>
    <row r="14" spans="2:22" s="16" customFormat="1" ht="15">
      <c r="B14" s="54" t="str">
        <f>B8</f>
        <v>CHPS</v>
      </c>
      <c r="C14" s="54" t="s">
        <v>577</v>
      </c>
      <c r="D14" s="54" t="s">
        <v>578</v>
      </c>
      <c r="E14" s="54" t="s">
        <v>579</v>
      </c>
      <c r="F14" s="589">
        <v>0.10037907809223</v>
      </c>
      <c r="G14" s="589">
        <v>3.5886823781660103E-2</v>
      </c>
      <c r="H14" s="589">
        <v>3.7747968368264599E-2</v>
      </c>
      <c r="I14" s="589">
        <v>5.3389173341578E-2</v>
      </c>
      <c r="J14" s="589">
        <v>0.12478244807854399</v>
      </c>
      <c r="K14" s="589">
        <v>4.3783650249652098E-2</v>
      </c>
      <c r="L14" s="589">
        <v>4.5784279264661401E-2</v>
      </c>
      <c r="M14" s="589">
        <v>6.5857972833736705E-2</v>
      </c>
      <c r="N14" s="589">
        <v>1.0203646526019501E-2</v>
      </c>
      <c r="O14" s="589">
        <v>3.9442470931265704E-3</v>
      </c>
      <c r="P14" s="589">
        <v>6.6186415881291996E-3</v>
      </c>
      <c r="Q14" s="589">
        <v>4.6199349639557104E-3</v>
      </c>
      <c r="R14" s="589">
        <v>0.226214507018207</v>
      </c>
      <c r="S14" s="589">
        <v>7.6532321402360604E-2</v>
      </c>
      <c r="T14" s="589">
        <v>6.2134109111168401E-2</v>
      </c>
      <c r="U14" s="589">
        <v>0.102121198286706</v>
      </c>
    </row>
    <row r="16" spans="2:22" s="16" customFormat="1" ht="18.75">
      <c r="B16" s="66" t="str">
        <f>"Base-year technologies for commercial space heating ("&amp;COM_Balance!$S$11&amp;")"</f>
        <v>Base-year technologies for commercial space heating (Commercial Services)</v>
      </c>
      <c r="C16" s="64"/>
      <c r="D16" s="64"/>
      <c r="E16" s="64"/>
      <c r="F16" s="64"/>
      <c r="G16" s="68" t="s">
        <v>80</v>
      </c>
      <c r="H16" s="101"/>
      <c r="I16" s="102"/>
      <c r="J16" s="103"/>
      <c r="K16" s="103"/>
      <c r="L16" s="104"/>
      <c r="M16" s="103"/>
      <c r="N16" s="103"/>
      <c r="O16" s="103"/>
      <c r="R16" s="90" t="s">
        <v>238</v>
      </c>
      <c r="S16" s="90"/>
      <c r="T16" s="123" t="s">
        <v>94</v>
      </c>
      <c r="U16" s="85"/>
      <c r="V16" s="85"/>
    </row>
    <row r="17" spans="2:23" s="16" customFormat="1" ht="45.75" thickBot="1">
      <c r="B17" s="127" t="s">
        <v>22</v>
      </c>
      <c r="C17" s="127" t="s">
        <v>15</v>
      </c>
      <c r="D17" s="127" t="s">
        <v>16</v>
      </c>
      <c r="E17" s="127" t="s">
        <v>95</v>
      </c>
      <c r="F17" s="127" t="s">
        <v>39</v>
      </c>
      <c r="G17" s="127" t="s">
        <v>40</v>
      </c>
      <c r="H17" s="128" t="s">
        <v>82</v>
      </c>
      <c r="I17" s="128" t="s">
        <v>128</v>
      </c>
      <c r="J17" s="128" t="s">
        <v>243</v>
      </c>
      <c r="K17" s="156" t="s">
        <v>244</v>
      </c>
      <c r="L17" s="132" t="s">
        <v>115</v>
      </c>
      <c r="M17" s="128" t="s">
        <v>240</v>
      </c>
      <c r="N17" s="128" t="s">
        <v>239</v>
      </c>
      <c r="O17" s="128" t="s">
        <v>111</v>
      </c>
      <c r="P17" s="128" t="s">
        <v>211</v>
      </c>
      <c r="Q17" s="129"/>
      <c r="R17" s="125" t="s">
        <v>127</v>
      </c>
      <c r="S17" s="125" t="s">
        <v>129</v>
      </c>
      <c r="T17" s="130" t="s">
        <v>146</v>
      </c>
      <c r="U17" s="126" t="s">
        <v>100</v>
      </c>
      <c r="V17" s="126" t="s">
        <v>101</v>
      </c>
    </row>
    <row r="18" spans="2:23" s="16" customFormat="1" ht="63">
      <c r="B18" s="131" t="s">
        <v>235</v>
      </c>
      <c r="C18" s="131"/>
      <c r="D18" s="131"/>
      <c r="E18" s="131" t="s">
        <v>110</v>
      </c>
      <c r="F18" s="131"/>
      <c r="G18" s="131"/>
      <c r="H18" s="131"/>
      <c r="I18" s="131"/>
      <c r="J18" s="131" t="s">
        <v>33</v>
      </c>
      <c r="K18" s="131" t="s">
        <v>214</v>
      </c>
      <c r="L18" s="133" t="s">
        <v>38</v>
      </c>
      <c r="M18" s="131" t="s">
        <v>114</v>
      </c>
      <c r="N18" s="131" t="s">
        <v>34</v>
      </c>
      <c r="O18" s="131" t="s">
        <v>63</v>
      </c>
      <c r="P18" s="131" t="s">
        <v>113</v>
      </c>
      <c r="Q18" s="129"/>
      <c r="R18" s="133" t="s">
        <v>10</v>
      </c>
      <c r="S18" s="133" t="s">
        <v>10</v>
      </c>
      <c r="T18" s="155"/>
      <c r="U18" s="133" t="s">
        <v>38</v>
      </c>
      <c r="V18" s="131" t="s">
        <v>32</v>
      </c>
    </row>
    <row r="19" spans="2:23" s="16" customFormat="1" ht="15">
      <c r="B19" s="54" t="str">
        <f>COM_Balance!$C$33</f>
        <v>CHCS</v>
      </c>
      <c r="C19" s="54" t="str">
        <f>LEFT(B19,5)&amp;RIGHT(F19,3)&amp;"_00_Fur"</f>
        <v>CHCSCOA_00_Fur</v>
      </c>
      <c r="D19" s="106" t="str">
        <f>"Existing commercial - "&amp;RIGHT(B19,2)&amp;" Space Heat "&amp;RIGHT(F19,3)&amp;" Furnace"</f>
        <v>Existing commercial - CS Space Heat COA Furnace</v>
      </c>
      <c r="E19" s="111"/>
      <c r="F19" s="54" t="str">
        <f>COM_Balance!$D$13</f>
        <v>COMCOA</v>
      </c>
      <c r="G19" s="54"/>
      <c r="H19" s="410"/>
      <c r="I19" s="110"/>
      <c r="J19" s="109"/>
      <c r="K19" s="157" t="str">
        <f>IF(J19="","",5)</f>
        <v/>
      </c>
      <c r="L19" s="89">
        <f>U19</f>
        <v>2.1892012116763135E-4</v>
      </c>
      <c r="M19" s="79">
        <f>(L19*V19/O19)/P19</f>
        <v>0</v>
      </c>
      <c r="N19" s="70">
        <v>20</v>
      </c>
      <c r="O19" s="72">
        <v>0.15</v>
      </c>
      <c r="P19" s="117">
        <v>31.536000000000001</v>
      </c>
      <c r="R19" s="90">
        <f>IF(T19=0,0,M19*P19*O19/T19)</f>
        <v>0</v>
      </c>
      <c r="S19" s="90">
        <f>COM_Balance!D33</f>
        <v>0</v>
      </c>
      <c r="T19" s="124">
        <f>H19</f>
        <v>0</v>
      </c>
      <c r="U19" s="112">
        <f>IF(V45=0,0,SUMPRODUCT(T19:T43,S19:S43)/V45)</f>
        <v>2.1892012116763135E-4</v>
      </c>
      <c r="V19" s="76">
        <f>IF($S$45=0,0,T19*S19/SUMPRODUCT($S$19:$S$43,$T$19:$T$43)*$V$45)</f>
        <v>0</v>
      </c>
      <c r="W19" s="91"/>
    </row>
    <row r="20" spans="2:23" s="16" customFormat="1" ht="15.75" thickBot="1">
      <c r="B20" s="54" t="str">
        <f>COM_Balance!$C$33</f>
        <v>CHCS</v>
      </c>
      <c r="C20" s="54" t="str">
        <f>LEFT(B20,5)&amp;RIGHT(F20,3)&amp;"_00_Boi"</f>
        <v>CHCSLPG_00_Boi</v>
      </c>
      <c r="D20" s="106" t="str">
        <f>"Existing commercial - "&amp;RIGHT(B20,2)&amp;" Space Heat "&amp;RIGHT(F20,3)&amp;" Boiler"</f>
        <v>Existing commercial - CS Space Heat LPG Boiler</v>
      </c>
      <c r="E20" s="111"/>
      <c r="F20" s="54" t="str">
        <f>COM_Balance!$E$13</f>
        <v>COMLPG</v>
      </c>
      <c r="G20" s="54"/>
      <c r="H20" s="410">
        <v>0.8</v>
      </c>
      <c r="I20" s="110"/>
      <c r="J20" s="109"/>
      <c r="K20" s="157" t="str">
        <f t="shared" ref="K20:K44" si="0">IF(J20="","",5)</f>
        <v/>
      </c>
      <c r="L20" s="112">
        <f>$L$19</f>
        <v>2.1892012116763135E-4</v>
      </c>
      <c r="M20" s="79">
        <f>(L20*V20/O20)/P20</f>
        <v>4.3470611857232146E-2</v>
      </c>
      <c r="N20" s="70">
        <v>20</v>
      </c>
      <c r="O20" s="72">
        <v>0.15</v>
      </c>
      <c r="P20" s="117">
        <v>31.536000000000001</v>
      </c>
      <c r="R20" s="90">
        <f>IF(T20=0,0,M20*P20*O20/T20)</f>
        <v>0.25704172791181368</v>
      </c>
      <c r="S20" s="90">
        <f>COM_Balance!E33</f>
        <v>0.25704172791181368</v>
      </c>
      <c r="T20" s="124">
        <f>H20</f>
        <v>0.8</v>
      </c>
      <c r="U20" s="73"/>
      <c r="V20" s="76">
        <f>IF($S$45=0,0,T20*S20/SUMPRODUCT($S$19:$S$43,$T$19:$T$43)*$V$45)</f>
        <v>939.30782256416489</v>
      </c>
      <c r="W20" s="91"/>
    </row>
    <row r="21" spans="2:23" s="16" customFormat="1" ht="15">
      <c r="B21" s="54" t="str">
        <f>COM_Balance!$C$33</f>
        <v>CHCS</v>
      </c>
      <c r="C21" s="54" t="str">
        <f>LEFT(B21,5)&amp;RIGHT(F21,3)&amp;"_00_Boi"</f>
        <v>CHCSOIL_00_Boi</v>
      </c>
      <c r="D21" s="106" t="str">
        <f>"Existing commercial - "&amp;RIGHT(B21,2)&amp;" Space Heat "&amp;RIGHT(F21,3)&amp;" Boiler"</f>
        <v>Existing commercial - CS Space Heat OIL Boiler</v>
      </c>
      <c r="E21" s="181">
        <v>1</v>
      </c>
      <c r="F21" s="54" t="str">
        <f>COM_Balance!$F$13</f>
        <v>COMOIL</v>
      </c>
      <c r="G21" s="54"/>
      <c r="H21" s="410">
        <v>0.84</v>
      </c>
      <c r="I21" s="110"/>
      <c r="J21" s="109"/>
      <c r="K21" s="157" t="str">
        <f t="shared" si="0"/>
        <v/>
      </c>
      <c r="L21" s="112">
        <f>$L$19</f>
        <v>2.1892012116763135E-4</v>
      </c>
      <c r="M21" s="79">
        <f>(L21*V21/O21)/P21</f>
        <v>1.1046733294780462</v>
      </c>
      <c r="N21" s="70">
        <v>20</v>
      </c>
      <c r="O21" s="72">
        <v>0.15</v>
      </c>
      <c r="P21" s="117">
        <v>31.536000000000001</v>
      </c>
      <c r="R21" s="90">
        <f>IF(T21=0,0,M21*P21*O21/T21)</f>
        <v>6.2208889497177982</v>
      </c>
      <c r="S21" s="90">
        <f>COM_Balance!F33*E21</f>
        <v>6.2208889497177973</v>
      </c>
      <c r="T21" s="124">
        <f>H21</f>
        <v>0.84</v>
      </c>
      <c r="U21" s="73"/>
      <c r="V21" s="76">
        <f>IF($S$45=0,0,T21*S21/SUMPRODUCT($S$19:$S$43,$T$19:$T$43)*$V$45)</f>
        <v>23869.650217129412</v>
      </c>
      <c r="W21" s="91"/>
    </row>
    <row r="22" spans="2:23" s="16" customFormat="1" ht="15.75" thickBot="1">
      <c r="B22" s="54" t="str">
        <f>COM_Balance!$C$33</f>
        <v>CHCS</v>
      </c>
      <c r="C22" s="54" t="str">
        <f>LEFT(B22,5)&amp;RIGHT(F22,3)&amp;"_00_DBoi"</f>
        <v>CHCSOIL_00_DBoi</v>
      </c>
      <c r="D22" s="106" t="str">
        <f>"Existing commercial - "&amp;RIGHT(B22,2)&amp;" Space Heat "&amp;RIGHT(F22,3)&amp;" Dual Boiler"</f>
        <v>Existing commercial - CS Space Heat OIL Dual Boiler</v>
      </c>
      <c r="E22" s="182">
        <f>1-E21</f>
        <v>0</v>
      </c>
      <c r="F22" s="54" t="str">
        <f>COM_Balance!$F$13</f>
        <v>COMOIL</v>
      </c>
      <c r="G22" s="54" t="str">
        <f>COM_Balance!$C$33</f>
        <v>CHCS</v>
      </c>
      <c r="H22" s="73"/>
      <c r="I22" s="92"/>
      <c r="J22" s="111">
        <f>IF(L22=0,0,$L$19/L22)</f>
        <v>0.90721621910318473</v>
      </c>
      <c r="K22" s="157">
        <f t="shared" si="0"/>
        <v>5</v>
      </c>
      <c r="L22" s="112">
        <f>$L$19+COM_CW!$H$19</f>
        <v>2.413097523587504E-4</v>
      </c>
      <c r="M22" s="79">
        <f>(L22*V22/O22)/P22</f>
        <v>0</v>
      </c>
      <c r="N22" s="70">
        <v>20</v>
      </c>
      <c r="O22" s="72">
        <v>0.25</v>
      </c>
      <c r="P22" s="117">
        <v>31.536000000000001</v>
      </c>
      <c r="R22" s="90">
        <f>IF(T22=0,0,M22*P22*O22/T22)*J22</f>
        <v>0</v>
      </c>
      <c r="S22" s="90">
        <f>COM_Balance!F33*E22</f>
        <v>0</v>
      </c>
      <c r="T22" s="124">
        <f>I22</f>
        <v>0</v>
      </c>
      <c r="U22" s="73"/>
      <c r="V22" s="76">
        <f>IF($S$45=0,0,T22*S22/SUMPRODUCT($S$19:$S$43,$T$19:$T$43)*$V$45)</f>
        <v>0</v>
      </c>
      <c r="W22" s="91"/>
    </row>
    <row r="23" spans="2:23" s="16" customFormat="1" ht="15.75" thickBot="1">
      <c r="B23" s="54"/>
      <c r="C23" s="54"/>
      <c r="D23" s="54"/>
      <c r="E23" s="111"/>
      <c r="F23" s="54"/>
      <c r="G23" s="54" t="str">
        <f>COM_Balance!$C$39</f>
        <v>CWCS</v>
      </c>
      <c r="H23" s="73"/>
      <c r="I23" s="92"/>
      <c r="J23" s="109"/>
      <c r="K23" s="157" t="str">
        <f t="shared" si="0"/>
        <v/>
      </c>
      <c r="L23" s="112"/>
      <c r="M23" s="115"/>
      <c r="N23" s="54"/>
      <c r="O23" s="54"/>
      <c r="P23" s="54"/>
      <c r="R23" s="116"/>
      <c r="S23" s="116"/>
      <c r="T23" s="124"/>
      <c r="U23" s="73"/>
      <c r="V23" s="76"/>
      <c r="W23" s="91"/>
    </row>
    <row r="24" spans="2:23" s="16" customFormat="1" ht="15">
      <c r="B24" s="54" t="str">
        <f>COM_Balance!$C$33</f>
        <v>CHCS</v>
      </c>
      <c r="C24" s="54" t="str">
        <f>LEFT(B24,5)&amp;RIGHT(F24,3)&amp;"_00_Boi"</f>
        <v>CHCSGAS_00_Boi</v>
      </c>
      <c r="D24" s="106" t="str">
        <f>"Existing commercial - "&amp;RIGHT(B24,2)&amp;" Space Heat "&amp;RIGHT(F24,3)&amp;" Boiler"</f>
        <v>Existing commercial - CS Space Heat GAS Boiler</v>
      </c>
      <c r="E24" s="181">
        <v>1</v>
      </c>
      <c r="F24" s="54" t="str">
        <f>COM_Balance!$G$13</f>
        <v>COMGAS</v>
      </c>
      <c r="G24" s="54"/>
      <c r="H24" s="410">
        <v>0.8</v>
      </c>
      <c r="I24" s="110"/>
      <c r="J24" s="109"/>
      <c r="K24" s="157" t="str">
        <f t="shared" si="0"/>
        <v/>
      </c>
      <c r="L24" s="112">
        <f>$L$19</f>
        <v>2.1892012116763135E-4</v>
      </c>
      <c r="M24" s="79">
        <f>(L24*V24/O24)/P24</f>
        <v>1.4454819277834181</v>
      </c>
      <c r="N24" s="70">
        <v>20</v>
      </c>
      <c r="O24" s="72">
        <v>0.15</v>
      </c>
      <c r="P24" s="117">
        <v>31.536000000000001</v>
      </c>
      <c r="R24" s="90">
        <f>IF(T24=0,0,M24*P24*O24/T24)</f>
        <v>8.5471346389833514</v>
      </c>
      <c r="S24" s="90">
        <f>COM_Balance!G33*E24</f>
        <v>8.5471346389833514</v>
      </c>
      <c r="T24" s="124">
        <f>H24</f>
        <v>0.8</v>
      </c>
      <c r="U24" s="73"/>
      <c r="V24" s="76">
        <f>IF($S$45=0,0,T24*S24/SUMPRODUCT($S$19:$S$43,$T$19:$T$43)*$V$45)</f>
        <v>31233.801967206648</v>
      </c>
      <c r="W24" s="91"/>
    </row>
    <row r="25" spans="2:23" s="16" customFormat="1" ht="15">
      <c r="B25" s="54" t="str">
        <f>COM_Balance!$C$33</f>
        <v>CHCS</v>
      </c>
      <c r="C25" s="54" t="str">
        <f>LEFT(B25,5)&amp;RIGHT(F25,3)&amp;"_00_HP"</f>
        <v>CHCSGAS_00_HP</v>
      </c>
      <c r="D25" s="106" t="str">
        <f>"Existing commercial - "&amp;RIGHT(B25,2)&amp;" Space Heat "&amp;RIGHT(F25,3)&amp;" Heat Pump"</f>
        <v>Existing commercial - CS Space Heat GAS Heat Pump</v>
      </c>
      <c r="E25" s="183"/>
      <c r="F25" s="54" t="str">
        <f>COM_Balance!$G$13</f>
        <v>COMGAS</v>
      </c>
      <c r="G25" s="54" t="str">
        <f>COM_Balance!$C$33</f>
        <v>CHCS</v>
      </c>
      <c r="H25" s="73"/>
      <c r="I25" s="92">
        <v>4</v>
      </c>
      <c r="J25" s="111">
        <f>IF(L25=0,0,$L$19/L25)</f>
        <v>0.3876343494873985</v>
      </c>
      <c r="K25" s="157">
        <f t="shared" si="0"/>
        <v>5</v>
      </c>
      <c r="L25" s="112">
        <f>$L$19+COM_CC!$I$19</f>
        <v>5.6475934461723489E-4</v>
      </c>
      <c r="M25" s="79">
        <f>(L25*V25/O25)/P25</f>
        <v>0</v>
      </c>
      <c r="N25" s="70">
        <v>20</v>
      </c>
      <c r="O25" s="72">
        <v>0.15</v>
      </c>
      <c r="P25" s="117">
        <v>31.536000000000001</v>
      </c>
      <c r="R25" s="90">
        <f>IF(T25=0,0,M25*P25*O25/T25)*J25</f>
        <v>0</v>
      </c>
      <c r="S25" s="90">
        <f>COM_Balance!G33*E25</f>
        <v>0</v>
      </c>
      <c r="T25" s="124">
        <f>I25</f>
        <v>4</v>
      </c>
      <c r="U25" s="73"/>
      <c r="V25" s="76">
        <f>IF($S$45=0,0,T25*S25/SUMPRODUCT($S$19:$S$43,$T$19:$T$43)*$V$45)</f>
        <v>0</v>
      </c>
      <c r="W25" s="91"/>
    </row>
    <row r="26" spans="2:23" s="16" customFormat="1" ht="15">
      <c r="B26" s="54"/>
      <c r="C26" s="54"/>
      <c r="D26" s="54"/>
      <c r="E26" s="183"/>
      <c r="F26" s="54"/>
      <c r="G26" s="54" t="str">
        <f>COM_Balance!$C$36</f>
        <v>CCCS</v>
      </c>
      <c r="H26" s="73"/>
      <c r="I26" s="92">
        <v>3.2</v>
      </c>
      <c r="J26" s="109"/>
      <c r="K26" s="157" t="str">
        <f t="shared" si="0"/>
        <v/>
      </c>
      <c r="L26" s="112"/>
      <c r="M26" s="115"/>
      <c r="N26" s="54"/>
      <c r="O26" s="54"/>
      <c r="P26" s="54"/>
      <c r="R26" s="116"/>
      <c r="S26" s="116"/>
      <c r="T26" s="124"/>
      <c r="U26" s="73"/>
      <c r="V26" s="76"/>
      <c r="W26" s="91"/>
    </row>
    <row r="27" spans="2:23" s="16" customFormat="1" ht="15.75" thickBot="1">
      <c r="B27" s="54" t="str">
        <f>COM_Balance!$C$33</f>
        <v>CHCS</v>
      </c>
      <c r="C27" s="54" t="str">
        <f>LEFT(B27,5)&amp;RIGHT(F27,3)&amp;"_00_DBoi"</f>
        <v>CHCSGAS_00_DBoi</v>
      </c>
      <c r="D27" s="106" t="str">
        <f>"Existing commercial - "&amp;RIGHT(B27,2)&amp;" Space Heat "&amp;RIGHT(F27,3)&amp;" Dual Boiler"</f>
        <v>Existing commercial - CS Space Heat GAS Dual Boiler</v>
      </c>
      <c r="E27" s="182">
        <f>1-SUM(E24:E25)</f>
        <v>0</v>
      </c>
      <c r="F27" s="54" t="str">
        <f>COM_Balance!$G$13</f>
        <v>COMGAS</v>
      </c>
      <c r="G27" s="54" t="str">
        <f>COM_Balance!$C$33</f>
        <v>CHCS</v>
      </c>
      <c r="H27" s="73"/>
      <c r="I27" s="92"/>
      <c r="J27" s="111">
        <f>IF(L27=0,0,$L$19/L27)</f>
        <v>0.90721621910318473</v>
      </c>
      <c r="K27" s="157">
        <f t="shared" si="0"/>
        <v>5</v>
      </c>
      <c r="L27" s="112">
        <f>$L$19+COM_CW!$H$19</f>
        <v>2.413097523587504E-4</v>
      </c>
      <c r="M27" s="79">
        <f>(L27*V27/O27)/P27</f>
        <v>0</v>
      </c>
      <c r="N27" s="70">
        <v>20</v>
      </c>
      <c r="O27" s="72">
        <v>0.25</v>
      </c>
      <c r="P27" s="117">
        <v>31.536000000000001</v>
      </c>
      <c r="R27" s="90">
        <f>IF(T27=0,0,M27*P27*O27/T27)*J27</f>
        <v>0</v>
      </c>
      <c r="S27" s="90">
        <f>COM_Balance!G33*E27</f>
        <v>0</v>
      </c>
      <c r="T27" s="124">
        <f>I27</f>
        <v>0</v>
      </c>
      <c r="U27" s="73"/>
      <c r="V27" s="76">
        <f>IF($S$45=0,0,T27*S27/SUMPRODUCT($S$19:$S$43,$T$19:$T$43)*$V$45)</f>
        <v>0</v>
      </c>
      <c r="W27" s="91"/>
    </row>
    <row r="28" spans="2:23" s="16" customFormat="1" ht="15.75" thickBot="1">
      <c r="B28" s="54"/>
      <c r="C28" s="54"/>
      <c r="D28" s="54"/>
      <c r="E28" s="111"/>
      <c r="F28" s="54"/>
      <c r="G28" s="54" t="str">
        <f>COM_Balance!$C$39</f>
        <v>CWCS</v>
      </c>
      <c r="H28" s="73"/>
      <c r="I28" s="92"/>
      <c r="J28" s="109"/>
      <c r="K28" s="157" t="str">
        <f t="shared" si="0"/>
        <v/>
      </c>
      <c r="L28" s="112"/>
      <c r="M28" s="115"/>
      <c r="N28" s="54"/>
      <c r="O28" s="54"/>
      <c r="P28" s="54"/>
      <c r="R28" s="116"/>
      <c r="S28" s="116"/>
      <c r="T28" s="124"/>
      <c r="U28" s="73"/>
      <c r="V28" s="76"/>
      <c r="W28" s="91"/>
    </row>
    <row r="29" spans="2:23" s="16" customFormat="1" ht="15">
      <c r="B29" s="54" t="str">
        <f>COM_Balance!$C$33</f>
        <v>CHCS</v>
      </c>
      <c r="C29" s="54" t="str">
        <f>LEFT(B29,5)&amp;RIGHT(F29,3)&amp;"_00_Boi"</f>
        <v>CHCSBIO_00_Boi</v>
      </c>
      <c r="D29" s="106" t="str">
        <f>"Existing commercial - "&amp;RIGHT(B29,2)&amp;" Space Heat "&amp;RIGHT(F29,3)&amp;" Boiler"</f>
        <v>Existing commercial - CS Space Heat BIO Boiler</v>
      </c>
      <c r="E29" s="181">
        <v>1</v>
      </c>
      <c r="F29" s="54" t="str">
        <f>COM_Balance!$H$13</f>
        <v>COMBIO</v>
      </c>
      <c r="G29" s="54"/>
      <c r="H29" s="410">
        <v>0.85</v>
      </c>
      <c r="I29" s="110"/>
      <c r="J29" s="109"/>
      <c r="K29" s="157" t="str">
        <f t="shared" si="0"/>
        <v/>
      </c>
      <c r="L29" s="112">
        <f>$L$19</f>
        <v>2.1892012116763135E-4</v>
      </c>
      <c r="M29" s="79">
        <f>(L29*V29/O29)/P29</f>
        <v>0.11905725755654507</v>
      </c>
      <c r="N29" s="70">
        <v>20</v>
      </c>
      <c r="O29" s="72">
        <v>0.15</v>
      </c>
      <c r="P29" s="117">
        <v>31.536000000000001</v>
      </c>
      <c r="R29" s="90">
        <f>IF(T29=0,0,M29*P29*O29/T29)</f>
        <v>0.66257464840644797</v>
      </c>
      <c r="S29" s="90">
        <f>COM_Balance!H33*E29</f>
        <v>0.66257464840644797</v>
      </c>
      <c r="T29" s="124">
        <f>H29</f>
        <v>0.85</v>
      </c>
      <c r="U29" s="73"/>
      <c r="V29" s="76">
        <f>IF($S$45=0,0,T29*S29/SUMPRODUCT($S$19:$S$43,$T$19:$T$43)*$V$45)</f>
        <v>2572.5750933338672</v>
      </c>
      <c r="W29" s="91"/>
    </row>
    <row r="30" spans="2:23" s="16" customFormat="1" ht="15.75" thickBot="1">
      <c r="B30" s="54" t="str">
        <f>COM_Balance!$C$33</f>
        <v>CHCS</v>
      </c>
      <c r="C30" s="54" t="str">
        <f>LEFT(B30,5)&amp;RIGHT(F30,3)&amp;"_00_DBoi"</f>
        <v>CHCSBIO_00_DBoi</v>
      </c>
      <c r="D30" s="106" t="str">
        <f>"Existing commercial - "&amp;RIGHT(B30,2)&amp;" Space Heat "&amp;RIGHT(F30,3)&amp;" Dual Boiler"</f>
        <v>Existing commercial - CS Space Heat BIO Dual Boiler</v>
      </c>
      <c r="E30" s="182">
        <f>1-E29</f>
        <v>0</v>
      </c>
      <c r="F30" s="54" t="str">
        <f>COM_Balance!$H$13</f>
        <v>COMBIO</v>
      </c>
      <c r="G30" s="54" t="str">
        <f>COM_Balance!$C$33</f>
        <v>CHCS</v>
      </c>
      <c r="H30" s="73"/>
      <c r="I30" s="92"/>
      <c r="J30" s="111">
        <f>IF(L30=0,0,$L$19/L30)</f>
        <v>0.90721621910318473</v>
      </c>
      <c r="K30" s="157">
        <f t="shared" si="0"/>
        <v>5</v>
      </c>
      <c r="L30" s="112">
        <f>$L$19+COM_CW!$H$19</f>
        <v>2.413097523587504E-4</v>
      </c>
      <c r="M30" s="79">
        <f>(L30*V30/O30)/P30</f>
        <v>0</v>
      </c>
      <c r="N30" s="70">
        <v>20</v>
      </c>
      <c r="O30" s="72">
        <v>0.25</v>
      </c>
      <c r="P30" s="117">
        <v>31.536000000000001</v>
      </c>
      <c r="R30" s="90">
        <f>IF(T30=0,0,M30*P30*O30/T30)*J30</f>
        <v>0</v>
      </c>
      <c r="S30" s="90">
        <f>COM_Balance!H33*E30</f>
        <v>0</v>
      </c>
      <c r="T30" s="124">
        <f>I30</f>
        <v>0</v>
      </c>
      <c r="U30" s="73"/>
      <c r="V30" s="76">
        <f>IF($S$45=0,0,T30*S30/SUMPRODUCT($S$19:$S$43,$T$19:$T$43)*$V$45)</f>
        <v>0</v>
      </c>
      <c r="W30" s="91"/>
    </row>
    <row r="31" spans="2:23" s="16" customFormat="1" ht="15.75" thickBot="1">
      <c r="B31" s="54"/>
      <c r="C31" s="54"/>
      <c r="D31" s="54"/>
      <c r="E31" s="111"/>
      <c r="F31" s="54"/>
      <c r="G31" s="54" t="str">
        <f>COM_Balance!$C$39</f>
        <v>CWCS</v>
      </c>
      <c r="H31" s="73"/>
      <c r="I31" s="92"/>
      <c r="J31" s="109"/>
      <c r="K31" s="157" t="str">
        <f t="shared" si="0"/>
        <v/>
      </c>
      <c r="L31" s="112"/>
      <c r="M31" s="115"/>
      <c r="N31" s="54"/>
      <c r="O31" s="54"/>
      <c r="P31" s="54"/>
      <c r="R31" s="116"/>
      <c r="S31" s="116"/>
      <c r="T31" s="124"/>
      <c r="U31" s="73"/>
      <c r="V31" s="76"/>
      <c r="W31" s="91"/>
    </row>
    <row r="32" spans="2:23" s="16" customFormat="1" ht="15">
      <c r="B32" s="54" t="str">
        <f>COM_Balance!$C$33</f>
        <v>CHCS</v>
      </c>
      <c r="C32" s="54" t="str">
        <f>LEFT(B32,5)&amp;RIGHT(F32,3)&amp;"_00_Boi"</f>
        <v>CHCSBGS_00_Boi</v>
      </c>
      <c r="D32" s="106" t="str">
        <f>"Existing commercial - "&amp;RIGHT(B32,2)&amp;" Space Heat "&amp;RIGHT(F32,3)&amp;" Boiler"</f>
        <v>Existing commercial - CS Space Heat BGS Boiler</v>
      </c>
      <c r="E32" s="181">
        <v>1</v>
      </c>
      <c r="F32" s="54" t="str">
        <f>COM_Balance!$I$13</f>
        <v>COMBGS</v>
      </c>
      <c r="G32" s="54"/>
      <c r="H32" s="410">
        <v>0.8</v>
      </c>
      <c r="I32" s="92"/>
      <c r="J32" s="109"/>
      <c r="K32" s="157"/>
      <c r="L32" s="112">
        <f>$L$19</f>
        <v>2.1892012116763135E-4</v>
      </c>
      <c r="M32" s="79">
        <f>(L32*V32/O32)/P32</f>
        <v>0</v>
      </c>
      <c r="N32" s="70">
        <v>20</v>
      </c>
      <c r="O32" s="72">
        <v>0.15</v>
      </c>
      <c r="P32" s="117">
        <v>31.536000000000001</v>
      </c>
      <c r="R32" s="90">
        <f>IF(T32=0,0,M32*P32*O32/T32)</f>
        <v>0</v>
      </c>
      <c r="S32" s="90">
        <f>COM_Balance!I33*E32</f>
        <v>0</v>
      </c>
      <c r="T32" s="124">
        <f>H32</f>
        <v>0.8</v>
      </c>
      <c r="U32" s="73"/>
      <c r="V32" s="76">
        <f>IF($S$45=0,0,T32*S32/SUMPRODUCT($S$19:$S$43,$T$19:$T$43)*$V$45)</f>
        <v>0</v>
      </c>
      <c r="W32" s="91"/>
    </row>
    <row r="33" spans="2:23" s="16" customFormat="1" ht="15.75" thickBot="1">
      <c r="B33" s="54" t="str">
        <f>COM_Balance!$C$33</f>
        <v>CHCS</v>
      </c>
      <c r="C33" s="54" t="str">
        <f>LEFT(B33,5)&amp;RIGHT(F33,3)&amp;"_00_DBoi"</f>
        <v>CHCSBGS_00_DBoi</v>
      </c>
      <c r="D33" s="106" t="str">
        <f>"Existing commercial - "&amp;RIGHT(B33,2)&amp;" Space Heat "&amp;RIGHT(F33,3)&amp;" Dual Boiler"</f>
        <v>Existing commercial - CS Space Heat BGS Dual Boiler</v>
      </c>
      <c r="E33" s="182">
        <f>1-E32</f>
        <v>0</v>
      </c>
      <c r="F33" s="54" t="str">
        <f>COM_Balance!$I$13</f>
        <v>COMBGS</v>
      </c>
      <c r="G33" s="54" t="str">
        <f>COM_Balance!$C$33</f>
        <v>CHCS</v>
      </c>
      <c r="H33" s="73"/>
      <c r="I33" s="92"/>
      <c r="J33" s="111">
        <f>IF(L33=0,0,$L$19/L33)</f>
        <v>0.90721621910318473</v>
      </c>
      <c r="K33" s="157">
        <f>IF(J33="","",5)</f>
        <v>5</v>
      </c>
      <c r="L33" s="112">
        <f>$L$19+COM_CW!$H$19</f>
        <v>2.413097523587504E-4</v>
      </c>
      <c r="M33" s="79">
        <f>(L33*V33/O33)/P33</f>
        <v>0</v>
      </c>
      <c r="N33" s="70">
        <v>20</v>
      </c>
      <c r="O33" s="72">
        <v>0.25</v>
      </c>
      <c r="P33" s="117">
        <v>31.536000000000001</v>
      </c>
      <c r="R33" s="90">
        <f>IF(T33=0,0,M33*P33*O33/T33)*J33</f>
        <v>0</v>
      </c>
      <c r="S33" s="90">
        <f>COM_Balance!I33*E33</f>
        <v>0</v>
      </c>
      <c r="T33" s="124">
        <f>I33</f>
        <v>0</v>
      </c>
      <c r="U33" s="73"/>
      <c r="V33" s="76">
        <f>IF($S$45=0,0,T33*S33/SUMPRODUCT($S$19:$S$43,$T$19:$T$43)*$V$45)</f>
        <v>0</v>
      </c>
      <c r="W33" s="91"/>
    </row>
    <row r="34" spans="2:23" s="16" customFormat="1" ht="15">
      <c r="B34" s="54"/>
      <c r="C34" s="54"/>
      <c r="D34" s="54"/>
      <c r="E34" s="111"/>
      <c r="F34" s="54"/>
      <c r="G34" s="54" t="str">
        <f>COM_Balance!$C$39</f>
        <v>CWCS</v>
      </c>
      <c r="H34" s="73"/>
      <c r="I34" s="92"/>
      <c r="J34" s="109"/>
      <c r="K34" s="157"/>
      <c r="L34" s="112"/>
      <c r="M34" s="115"/>
      <c r="N34" s="54"/>
      <c r="O34" s="54"/>
      <c r="P34" s="54"/>
      <c r="R34" s="116"/>
      <c r="S34" s="116"/>
      <c r="T34" s="124"/>
      <c r="U34" s="73"/>
      <c r="V34" s="76"/>
      <c r="W34" s="91"/>
    </row>
    <row r="35" spans="2:23" s="16" customFormat="1" ht="15">
      <c r="B35" s="54" t="str">
        <f>COM_Balance!$C$33</f>
        <v>CHCS</v>
      </c>
      <c r="C35" s="54" t="str">
        <f>LEFT(B35,5)&amp;RIGHT(F35,3)&amp;"_00"</f>
        <v>CHCSSOL_00</v>
      </c>
      <c r="D35" s="106" t="str">
        <f>"Existing commercial - "&amp;RIGHT(B35,2)&amp;" Space Heat "&amp;RIGHT(F35,3)&amp;" Thermal"</f>
        <v>Existing commercial - CS Space Heat SOL Thermal</v>
      </c>
      <c r="E35" s="111"/>
      <c r="F35" s="54" t="str">
        <f>COM_Balance!$J$13</f>
        <v>COMSOL</v>
      </c>
      <c r="G35" s="54"/>
      <c r="H35" s="88">
        <v>1</v>
      </c>
      <c r="I35" s="110"/>
      <c r="J35" s="109"/>
      <c r="K35" s="157" t="str">
        <f t="shared" si="0"/>
        <v/>
      </c>
      <c r="L35" s="112">
        <f>$L$19</f>
        <v>2.1892012116763135E-4</v>
      </c>
      <c r="M35" s="79">
        <f>(L35*V35/O35)/P35</f>
        <v>8.8417028085538928E-4</v>
      </c>
      <c r="N35" s="70">
        <v>20</v>
      </c>
      <c r="O35" s="72">
        <v>0.15</v>
      </c>
      <c r="P35" s="117">
        <v>31.536000000000001</v>
      </c>
      <c r="R35" s="90">
        <f>IF(T35=0,0,M35*P35*O35/T35)</f>
        <v>4.1824790965583336E-3</v>
      </c>
      <c r="S35" s="90">
        <f>COM_Balance!J33</f>
        <v>4.1824790965583336E-3</v>
      </c>
      <c r="T35" s="124">
        <f>H35</f>
        <v>1</v>
      </c>
      <c r="U35" s="73"/>
      <c r="V35" s="76">
        <f>IF($S$45=0,0,T35*S35/SUMPRODUCT($S$19:$S$43,$T$19:$T$43)*$V$45)</f>
        <v>19.105046508519557</v>
      </c>
      <c r="W35" s="91"/>
    </row>
    <row r="36" spans="2:23" s="16" customFormat="1" ht="15.75" thickBot="1">
      <c r="B36" s="54" t="str">
        <f>COM_Balance!$C$33</f>
        <v>CHCS</v>
      </c>
      <c r="C36" s="54" t="str">
        <f>LEFT(B36,5)&amp;RIGHT(F36,3)&amp;"_00"</f>
        <v>CHCSGEO_00</v>
      </c>
      <c r="D36" s="106" t="str">
        <f>"Existing commercial - "&amp;RIGHT(B36,2)&amp;" Space Heat "&amp;RIGHT(F36,3)</f>
        <v>Existing commercial - CS Space Heat GEO</v>
      </c>
      <c r="E36" s="111"/>
      <c r="F36" s="54" t="str">
        <f>COM_Balance!$K$13</f>
        <v>COMGEO</v>
      </c>
      <c r="G36" s="54"/>
      <c r="H36" s="88">
        <v>1</v>
      </c>
      <c r="I36" s="110"/>
      <c r="J36" s="109"/>
      <c r="K36" s="157" t="str">
        <f t="shared" si="0"/>
        <v/>
      </c>
      <c r="L36" s="112">
        <f>$L$19</f>
        <v>2.1892012116763135E-4</v>
      </c>
      <c r="M36" s="79">
        <f>(L36*V36/O36)/P36</f>
        <v>0.15146598866709607</v>
      </c>
      <c r="N36" s="70">
        <v>20</v>
      </c>
      <c r="O36" s="72">
        <v>0.15</v>
      </c>
      <c r="P36" s="117">
        <v>31.536000000000001</v>
      </c>
      <c r="R36" s="90">
        <f>IF(T36=0,0,M36*P36*O36/T36)</f>
        <v>0.71649471279083121</v>
      </c>
      <c r="S36" s="90">
        <f>COM_Balance!K33</f>
        <v>0.71649471279083121</v>
      </c>
      <c r="T36" s="124">
        <f>H36</f>
        <v>1</v>
      </c>
      <c r="U36" s="73"/>
      <c r="V36" s="76">
        <f>IF($S$45=0,0,T36*S36/SUMPRODUCT($S$19:$S$43,$T$19:$T$43)*$V$45)</f>
        <v>3272.859109383543</v>
      </c>
      <c r="W36" s="91"/>
    </row>
    <row r="37" spans="2:23" s="16" customFormat="1" ht="15">
      <c r="B37" s="54" t="str">
        <f>COM_Balance!$C$33</f>
        <v>CHCS</v>
      </c>
      <c r="C37" s="54" t="str">
        <f>LEFT(B37,5)&amp;RIGHT(F37,3)&amp;"_00_Rad"</f>
        <v>CHCSELC_00_Rad</v>
      </c>
      <c r="D37" s="106" t="str">
        <f>"Existing commercial - "&amp;RIGHT(B37,2)&amp;" Space Heat "&amp;RIGHT(F37,3)&amp;" Radiator"</f>
        <v>Existing commercial - CS Space Heat ELC Radiator</v>
      </c>
      <c r="E37" s="181">
        <v>1</v>
      </c>
      <c r="F37" s="54" t="str">
        <f>COM_Balance!$L$13</f>
        <v>COMELC</v>
      </c>
      <c r="G37" s="54"/>
      <c r="H37" s="410">
        <v>0.89</v>
      </c>
      <c r="I37" s="110"/>
      <c r="J37" s="109"/>
      <c r="K37" s="157" t="str">
        <f t="shared" si="0"/>
        <v/>
      </c>
      <c r="L37" s="112">
        <f>$L$19</f>
        <v>2.1892012116763135E-4</v>
      </c>
      <c r="M37" s="79">
        <f>(L37*V37/O37)/P37</f>
        <v>0.2932564116619526</v>
      </c>
      <c r="N37" s="70">
        <v>20</v>
      </c>
      <c r="O37" s="72">
        <v>0.15</v>
      </c>
      <c r="P37" s="117">
        <v>31.536000000000001</v>
      </c>
      <c r="R37" s="90">
        <f>IF(T37=0,0,M37*P37*O37/T37)</f>
        <v>1.5586743030625849</v>
      </c>
      <c r="S37" s="90">
        <f>COM_Balance!L33*E37</f>
        <v>1.5586743030625849</v>
      </c>
      <c r="T37" s="124">
        <f>H37</f>
        <v>0.89</v>
      </c>
      <c r="U37" s="73"/>
      <c r="V37" s="76">
        <f>IF($S$45=0,0,T37*S37/SUMPRODUCT($S$19:$S$43,$T$19:$T$43)*$V$45)</f>
        <v>6336.649743873837</v>
      </c>
      <c r="W37" s="91"/>
    </row>
    <row r="38" spans="2:23" s="16" customFormat="1" ht="15">
      <c r="B38" s="54" t="str">
        <f>COM_Balance!$C$33</f>
        <v>CHCS</v>
      </c>
      <c r="C38" s="54" t="str">
        <f>LEFT(B38,5)&amp;RIGHT(F38,3)&amp;"_00_HP"</f>
        <v>CHCSELC_00_HP</v>
      </c>
      <c r="D38" s="106" t="str">
        <f>"Existing commercial - "&amp;RIGHT(B38,2)&amp;" Space Heat "&amp;RIGHT(F38,3)&amp;" Heat Pump"</f>
        <v>Existing commercial - CS Space Heat ELC Heat Pump</v>
      </c>
      <c r="E38" s="183"/>
      <c r="F38" s="54" t="str">
        <f>COM_Balance!$L$13</f>
        <v>COMELC</v>
      </c>
      <c r="G38" s="54" t="str">
        <f>COM_Balance!$C$33</f>
        <v>CHCS</v>
      </c>
      <c r="H38" s="73"/>
      <c r="I38" s="92">
        <v>4</v>
      </c>
      <c r="J38" s="111">
        <f>IF(L38=0,0,$L$19/L38)</f>
        <v>0.3876343494873985</v>
      </c>
      <c r="K38" s="157">
        <f t="shared" si="0"/>
        <v>5</v>
      </c>
      <c r="L38" s="112">
        <f>$L$19+COM_CC!$I$19</f>
        <v>5.6475934461723489E-4</v>
      </c>
      <c r="M38" s="79">
        <f>(L38*V38/O38)/P38</f>
        <v>0</v>
      </c>
      <c r="N38" s="70">
        <v>20</v>
      </c>
      <c r="O38" s="72">
        <v>0.15</v>
      </c>
      <c r="P38" s="117">
        <v>31.536000000000001</v>
      </c>
      <c r="R38" s="90">
        <f>IF(T38=0,0,M38*P38*O38/T38)*J38</f>
        <v>0</v>
      </c>
      <c r="S38" s="90">
        <f>COM_Balance!L33*E38</f>
        <v>0</v>
      </c>
      <c r="T38" s="124">
        <f>I38</f>
        <v>4</v>
      </c>
      <c r="U38" s="73"/>
      <c r="V38" s="76">
        <f>IF($S$45=0,0,T38*S38/SUMPRODUCT($S$19:$S$43,$T$19:$T$43)*$V$45)</f>
        <v>0</v>
      </c>
      <c r="W38" s="91"/>
    </row>
    <row r="39" spans="2:23" s="16" customFormat="1" ht="15">
      <c r="B39" s="54"/>
      <c r="C39" s="54"/>
      <c r="D39" s="54"/>
      <c r="E39" s="183"/>
      <c r="F39" s="54"/>
      <c r="G39" s="54" t="str">
        <f>COM_Balance!$C$36</f>
        <v>CCCS</v>
      </c>
      <c r="H39" s="73"/>
      <c r="I39" s="92">
        <v>3.2</v>
      </c>
      <c r="J39" s="109"/>
      <c r="K39" s="157" t="str">
        <f t="shared" si="0"/>
        <v/>
      </c>
      <c r="L39" s="112"/>
      <c r="M39" s="115"/>
      <c r="N39" s="54"/>
      <c r="O39" s="54"/>
      <c r="P39" s="54"/>
      <c r="R39" s="116"/>
      <c r="S39" s="116"/>
      <c r="T39" s="124"/>
      <c r="U39" s="73"/>
      <c r="V39" s="76"/>
      <c r="W39" s="91"/>
    </row>
    <row r="40" spans="2:23" s="16" customFormat="1" ht="15.75" thickBot="1">
      <c r="B40" s="54" t="str">
        <f>COM_Balance!$C$33</f>
        <v>CHCS</v>
      </c>
      <c r="C40" s="54" t="str">
        <f>LEFT(B40,5)&amp;RIGHT(F40,3)&amp;"_00_DBoi"</f>
        <v>CHCSELC_00_DBoi</v>
      </c>
      <c r="D40" s="106" t="str">
        <f>"Existing commercial - "&amp;RIGHT(B40,2)&amp;" Space Heat "&amp;RIGHT(F40,3)&amp;" Dual Boiler"</f>
        <v>Existing commercial - CS Space Heat ELC Dual Boiler</v>
      </c>
      <c r="E40" s="182">
        <f>1-SUM(E37:E38)</f>
        <v>0</v>
      </c>
      <c r="F40" s="54" t="str">
        <f>COM_Balance!$L$13</f>
        <v>COMELC</v>
      </c>
      <c r="G40" s="54" t="str">
        <f>COM_Balance!$C$33</f>
        <v>CHCS</v>
      </c>
      <c r="H40" s="73"/>
      <c r="I40" s="92"/>
      <c r="J40" s="111">
        <f>IF(L40=0,0,$L$19/L40)</f>
        <v>0.90721621910318473</v>
      </c>
      <c r="K40" s="157">
        <f t="shared" si="0"/>
        <v>5</v>
      </c>
      <c r="L40" s="112">
        <f>$L$19+COM_CW!$H$19</f>
        <v>2.413097523587504E-4</v>
      </c>
      <c r="M40" s="79">
        <f>(L40*V40/O40)/P40</f>
        <v>0</v>
      </c>
      <c r="N40" s="70">
        <v>20</v>
      </c>
      <c r="O40" s="72">
        <v>0.25</v>
      </c>
      <c r="P40" s="117">
        <v>31.536000000000001</v>
      </c>
      <c r="R40" s="90">
        <f>IF(T40=0,0,M40*P40*O40/T40)*J40</f>
        <v>0</v>
      </c>
      <c r="S40" s="90">
        <f>COM_Balance!L33*E40</f>
        <v>0</v>
      </c>
      <c r="T40" s="124">
        <f>I40</f>
        <v>0</v>
      </c>
      <c r="U40" s="73"/>
      <c r="V40" s="76">
        <f>IF($S$45=0,0,T40*S40/SUMPRODUCT($S$19:$S$43,$T$19:$T$43)*$V$45)</f>
        <v>0</v>
      </c>
      <c r="W40" s="91"/>
    </row>
    <row r="41" spans="2:23" s="16" customFormat="1" ht="15">
      <c r="B41" s="54"/>
      <c r="C41" s="54"/>
      <c r="D41" s="54"/>
      <c r="E41" s="409"/>
      <c r="F41" s="54"/>
      <c r="G41" s="54" t="str">
        <f>COM_Balance!$C$39</f>
        <v>CWCS</v>
      </c>
      <c r="H41" s="73"/>
      <c r="I41" s="92"/>
      <c r="J41" s="109"/>
      <c r="K41" s="157" t="str">
        <f t="shared" si="0"/>
        <v/>
      </c>
      <c r="L41" s="112"/>
      <c r="M41" s="115"/>
      <c r="N41" s="54"/>
      <c r="O41" s="54"/>
      <c r="P41" s="54"/>
      <c r="R41" s="116"/>
      <c r="S41" s="116"/>
      <c r="T41" s="124"/>
      <c r="U41" s="73"/>
      <c r="V41" s="76"/>
      <c r="W41" s="91"/>
    </row>
    <row r="42" spans="2:23" s="16" customFormat="1" ht="15">
      <c r="B42" s="54" t="str">
        <f>COM_Balance!$C$33</f>
        <v>CHCS</v>
      </c>
      <c r="C42" s="54" t="str">
        <f>LEFT(B42,5)&amp;RIGHT(F42,3)&amp;"_00_DH"</f>
        <v>CHCSHET_00_DH</v>
      </c>
      <c r="D42" s="106" t="str">
        <f>"Existing commercial - "&amp;RIGHT(B42,2)&amp;" Space Heat "&amp;RIGHT(F42,3)&amp;" Heat Exchanger"</f>
        <v>Existing commercial - CS Space Heat HET Heat Exchanger</v>
      </c>
      <c r="E42" s="409"/>
      <c r="F42" s="54" t="str">
        <f>COM_Balance!$M$13</f>
        <v>COMHET</v>
      </c>
      <c r="G42" s="54" t="str">
        <f>COM_Balance!$C$33</f>
        <v>CHCS</v>
      </c>
      <c r="H42" s="113"/>
      <c r="I42" s="92">
        <v>0.95</v>
      </c>
      <c r="J42" s="111">
        <f>IF(L42=0,0,$L$19/L42)</f>
        <v>0.90721621910318473</v>
      </c>
      <c r="K42" s="157">
        <f t="shared" si="0"/>
        <v>5</v>
      </c>
      <c r="L42" s="112">
        <f>$L$19+COM_CW!$H$19</f>
        <v>2.413097523587504E-4</v>
      </c>
      <c r="M42" s="93">
        <f>(L42*V42/O42)/P42</f>
        <v>0</v>
      </c>
      <c r="N42" s="71">
        <v>20</v>
      </c>
      <c r="O42" s="72">
        <v>0.25</v>
      </c>
      <c r="P42" s="54">
        <v>31.536000000000001</v>
      </c>
      <c r="R42" s="90">
        <f>IF(T42=0,0,M42*P42*O42/T42)*J42</f>
        <v>0</v>
      </c>
      <c r="S42" s="90">
        <f>COM_Balance!M33</f>
        <v>0</v>
      </c>
      <c r="T42" s="124">
        <f>I42</f>
        <v>0.95</v>
      </c>
      <c r="U42" s="73"/>
      <c r="V42" s="76">
        <f>IF($S$45=0,0,T42*S42/SUMPRODUCT($S$19:$S$43,$T$19:$T$43)*$V$45)</f>
        <v>0</v>
      </c>
      <c r="W42" s="91"/>
    </row>
    <row r="43" spans="2:23" s="16" customFormat="1" ht="15">
      <c r="B43" s="107"/>
      <c r="C43" s="54"/>
      <c r="D43" s="57"/>
      <c r="E43" s="409"/>
      <c r="F43" s="54"/>
      <c r="G43" s="54" t="str">
        <f>COM_Balance!$C$39</f>
        <v>CWCS</v>
      </c>
      <c r="H43" s="113"/>
      <c r="I43" s="92">
        <v>0.9</v>
      </c>
      <c r="J43" s="110"/>
      <c r="K43" s="157" t="str">
        <f t="shared" si="0"/>
        <v/>
      </c>
      <c r="L43" s="74"/>
      <c r="M43" s="74"/>
      <c r="N43" s="74"/>
      <c r="O43" s="74"/>
      <c r="P43" s="74"/>
      <c r="R43" s="74"/>
      <c r="S43" s="74"/>
      <c r="T43" s="124"/>
      <c r="U43" s="73"/>
      <c r="V43" s="76"/>
    </row>
    <row r="44" spans="2:23" s="16" customFormat="1" ht="15">
      <c r="B44" s="107" t="s">
        <v>23</v>
      </c>
      <c r="C44" s="54"/>
      <c r="D44" s="54"/>
      <c r="E44" s="111"/>
      <c r="F44" s="54"/>
      <c r="G44" s="54"/>
      <c r="H44" s="54"/>
      <c r="I44" s="54"/>
      <c r="J44" s="54"/>
      <c r="K44" s="157" t="str">
        <f t="shared" si="0"/>
        <v/>
      </c>
      <c r="L44" s="73"/>
      <c r="M44" s="76"/>
      <c r="N44" s="54"/>
      <c r="O44" s="54"/>
      <c r="P44" s="54"/>
      <c r="R44" s="76"/>
      <c r="S44" s="54"/>
      <c r="T44" s="124"/>
      <c r="U44" s="73"/>
      <c r="V44" s="54"/>
    </row>
    <row r="45" spans="2:23" s="16" customFormat="1" ht="15">
      <c r="B45" s="108" t="s">
        <v>84</v>
      </c>
      <c r="C45" s="54"/>
      <c r="D45" s="54"/>
      <c r="E45" s="54"/>
      <c r="F45" s="54"/>
      <c r="G45" s="54"/>
      <c r="H45" s="54"/>
      <c r="I45" s="54"/>
      <c r="J45" s="54"/>
      <c r="K45" s="54"/>
      <c r="L45" s="73"/>
      <c r="M45" s="115">
        <f>SUM(M19:M43)</f>
        <v>3.1582896972851455</v>
      </c>
      <c r="N45" s="54"/>
      <c r="O45" s="54"/>
      <c r="P45" s="54"/>
      <c r="R45" s="76">
        <f>SUM(R19:R43)</f>
        <v>17.966991459969385</v>
      </c>
      <c r="S45" s="76">
        <f>SUM(S19:S43)</f>
        <v>17.966991459969385</v>
      </c>
      <c r="T45" s="124"/>
      <c r="U45" s="73"/>
      <c r="V45" s="115">
        <f>COM_Balance!C62</f>
        <v>68243.948999999993</v>
      </c>
    </row>
    <row r="46" spans="2:23" s="16" customFormat="1" ht="15">
      <c r="L46" s="94"/>
      <c r="M46" s="95"/>
      <c r="U46" s="94"/>
    </row>
    <row r="47" spans="2:23" s="16" customFormat="1" ht="15">
      <c r="H47" s="95"/>
      <c r="I47" s="95"/>
      <c r="L47" s="94"/>
      <c r="M47" s="95"/>
      <c r="U47" s="94"/>
    </row>
    <row r="48" spans="2:23" s="16" customFormat="1" ht="18.75">
      <c r="B48" s="66" t="str">
        <f>"Base-year technologies for commercial space heating ("&amp;COM_Balance!$S$12&amp;")"</f>
        <v>Base-year technologies for commercial space heating (Public Services)</v>
      </c>
      <c r="C48" s="64"/>
      <c r="D48" s="64"/>
      <c r="E48" s="64"/>
      <c r="F48" s="64"/>
      <c r="G48" s="68" t="s">
        <v>80</v>
      </c>
      <c r="H48" s="101"/>
      <c r="I48" s="102"/>
      <c r="J48" s="103"/>
      <c r="K48" s="103"/>
      <c r="L48" s="104"/>
      <c r="M48" s="103"/>
      <c r="N48" s="103"/>
      <c r="O48" s="103"/>
      <c r="R48" s="90" t="s">
        <v>238</v>
      </c>
      <c r="S48" s="90"/>
      <c r="T48" s="84" t="s">
        <v>94</v>
      </c>
      <c r="U48" s="85"/>
      <c r="V48" s="85"/>
    </row>
    <row r="49" spans="2:22" s="16" customFormat="1" ht="45.75" thickBot="1">
      <c r="B49" s="127" t="s">
        <v>22</v>
      </c>
      <c r="C49" s="127" t="s">
        <v>15</v>
      </c>
      <c r="D49" s="127" t="s">
        <v>16</v>
      </c>
      <c r="E49" s="127" t="s">
        <v>95</v>
      </c>
      <c r="F49" s="127" t="s">
        <v>39</v>
      </c>
      <c r="G49" s="127" t="s">
        <v>40</v>
      </c>
      <c r="H49" s="128" t="s">
        <v>82</v>
      </c>
      <c r="I49" s="128" t="s">
        <v>128</v>
      </c>
      <c r="J49" s="128" t="s">
        <v>243</v>
      </c>
      <c r="K49" s="156" t="s">
        <v>244</v>
      </c>
      <c r="L49" s="132" t="s">
        <v>115</v>
      </c>
      <c r="M49" s="128" t="s">
        <v>240</v>
      </c>
      <c r="N49" s="128" t="s">
        <v>239</v>
      </c>
      <c r="O49" s="128" t="s">
        <v>111</v>
      </c>
      <c r="P49" s="128" t="s">
        <v>211</v>
      </c>
      <c r="R49" s="125" t="s">
        <v>127</v>
      </c>
      <c r="S49" s="125" t="s">
        <v>129</v>
      </c>
      <c r="T49" s="130" t="s">
        <v>146</v>
      </c>
      <c r="U49" s="126" t="s">
        <v>100</v>
      </c>
      <c r="V49" s="126" t="s">
        <v>101</v>
      </c>
    </row>
    <row r="50" spans="2:22" s="16" customFormat="1" ht="63">
      <c r="B50" s="131" t="s">
        <v>235</v>
      </c>
      <c r="C50" s="131"/>
      <c r="D50" s="131"/>
      <c r="E50" s="131" t="s">
        <v>110</v>
      </c>
      <c r="F50" s="131"/>
      <c r="G50" s="131"/>
      <c r="H50" s="131"/>
      <c r="I50" s="131"/>
      <c r="J50" s="131" t="s">
        <v>33</v>
      </c>
      <c r="K50" s="131" t="s">
        <v>214</v>
      </c>
      <c r="L50" s="133" t="s">
        <v>38</v>
      </c>
      <c r="M50" s="131" t="s">
        <v>114</v>
      </c>
      <c r="N50" s="131" t="s">
        <v>34</v>
      </c>
      <c r="O50" s="131" t="s">
        <v>63</v>
      </c>
      <c r="P50" s="131" t="s">
        <v>113</v>
      </c>
      <c r="R50" s="133" t="s">
        <v>10</v>
      </c>
      <c r="S50" s="133" t="s">
        <v>10</v>
      </c>
      <c r="T50" s="155"/>
      <c r="U50" s="133" t="s">
        <v>38</v>
      </c>
      <c r="V50" s="131" t="s">
        <v>32</v>
      </c>
    </row>
    <row r="51" spans="2:22" s="16" customFormat="1" ht="15">
      <c r="B51" s="54" t="str">
        <f>$B$8</f>
        <v>CHPS</v>
      </c>
      <c r="C51" s="54" t="str">
        <f>LEFT(B51,5)&amp;RIGHT(F51,3)&amp;"_00_Fur"</f>
        <v>CHPSCOA_00_Fur</v>
      </c>
      <c r="D51" s="106" t="str">
        <f>"Existing commercial - "&amp;RIGHT(B51,2)&amp;" Space Heat "&amp;RIGHT(F51,3)&amp;" Furnace"</f>
        <v>Existing commercial - PS Space Heat COA Furnace</v>
      </c>
      <c r="E51" s="54"/>
      <c r="F51" s="54" t="str">
        <f>COM_Balance!$D$13</f>
        <v>COMCOA</v>
      </c>
      <c r="G51" s="54"/>
      <c r="H51" s="88"/>
      <c r="I51" s="110"/>
      <c r="J51" s="109"/>
      <c r="K51" s="157" t="str">
        <f t="shared" ref="K51:K77" si="1">IF(J51="","",5)</f>
        <v/>
      </c>
      <c r="L51" s="89">
        <f>U51</f>
        <v>2.6324121707037664E-4</v>
      </c>
      <c r="M51" s="79">
        <f>(L51*V51/O51)/P51</f>
        <v>0</v>
      </c>
      <c r="N51" s="70">
        <v>20</v>
      </c>
      <c r="O51" s="72">
        <v>0.15</v>
      </c>
      <c r="P51" s="117">
        <v>31.536000000000001</v>
      </c>
      <c r="R51" s="90">
        <f>IF(T51=0,0,M51*P51*O51/T51)</f>
        <v>0</v>
      </c>
      <c r="S51" s="90">
        <f>COM_Balance!D34</f>
        <v>0</v>
      </c>
      <c r="T51" s="124">
        <f>H51</f>
        <v>0</v>
      </c>
      <c r="U51" s="112">
        <f>IF(V77=0,0,SUMPRODUCT(T51:T75,S51:S75)/V77)</f>
        <v>2.6324121707037664E-4</v>
      </c>
      <c r="V51" s="76">
        <f>IF($S$77=0,0,T51*S51/SUMPRODUCT($S$51:$S$75,$T$51:$T$75)*$V$77)</f>
        <v>0</v>
      </c>
    </row>
    <row r="52" spans="2:22" s="16" customFormat="1" ht="15.75" thickBot="1">
      <c r="B52" s="54" t="str">
        <f t="shared" ref="B52:B74" si="2">$B$8</f>
        <v>CHPS</v>
      </c>
      <c r="C52" s="54" t="str">
        <f>LEFT(B52,5)&amp;RIGHT(F52,3)&amp;"_00_Boi"</f>
        <v>CHPSLPG_00_Boi</v>
      </c>
      <c r="D52" s="106" t="str">
        <f>"Existing commercial - "&amp;RIGHT(B52,2)&amp;" Space Heat "&amp;RIGHT(F52,3)&amp;" Boiler"</f>
        <v>Existing commercial - PS Space Heat LPG Boiler</v>
      </c>
      <c r="E52" s="54"/>
      <c r="F52" s="54" t="str">
        <f>COM_Balance!$E$13</f>
        <v>COMLPG</v>
      </c>
      <c r="G52" s="54"/>
      <c r="H52" s="88">
        <v>0.8</v>
      </c>
      <c r="I52" s="110"/>
      <c r="J52" s="109"/>
      <c r="K52" s="157" t="str">
        <f t="shared" si="1"/>
        <v/>
      </c>
      <c r="L52" s="112">
        <f>$L$51</f>
        <v>2.6324121707037664E-4</v>
      </c>
      <c r="M52" s="79">
        <f>(L52*V52/O52)/P52</f>
        <v>1.492699909121209E-2</v>
      </c>
      <c r="N52" s="70">
        <v>20</v>
      </c>
      <c r="O52" s="72">
        <v>0.15</v>
      </c>
      <c r="P52" s="117">
        <v>31.536000000000001</v>
      </c>
      <c r="R52" s="90">
        <f>IF(T52=0,0,M52*P52*O52/T52)</f>
        <v>8.8263345626337086E-2</v>
      </c>
      <c r="S52" s="90">
        <f>COM_Balance!E34</f>
        <v>8.8263345626337059E-2</v>
      </c>
      <c r="T52" s="124">
        <f>H52</f>
        <v>0.8</v>
      </c>
      <c r="U52" s="73"/>
      <c r="V52" s="76">
        <f>IF($S$77=0,0,T52*S52/SUMPRODUCT($S$51:$S$75,$T$51:$T$75)*$V$77)</f>
        <v>268.23564062990994</v>
      </c>
    </row>
    <row r="53" spans="2:22" s="16" customFormat="1" ht="15">
      <c r="B53" s="54" t="str">
        <f t="shared" si="2"/>
        <v>CHPS</v>
      </c>
      <c r="C53" s="54" t="str">
        <f>LEFT(B53,5)&amp;RIGHT(F53,3)&amp;"_00_Boi"</f>
        <v>CHPSOIL_00_Boi</v>
      </c>
      <c r="D53" s="106" t="str">
        <f>"Existing commercial - "&amp;RIGHT(B53,2)&amp;" Space Heat "&amp;RIGHT(F53,3)&amp;" Boiler"</f>
        <v>Existing commercial - PS Space Heat OIL Boiler</v>
      </c>
      <c r="E53" s="118">
        <v>1</v>
      </c>
      <c r="F53" s="54" t="str">
        <f>COM_Balance!$F$13</f>
        <v>COMOIL</v>
      </c>
      <c r="G53" s="54"/>
      <c r="H53" s="88">
        <v>0.84</v>
      </c>
      <c r="I53" s="110"/>
      <c r="J53" s="109"/>
      <c r="K53" s="157" t="str">
        <f t="shared" si="1"/>
        <v/>
      </c>
      <c r="L53" s="112">
        <f>$L$51</f>
        <v>2.6324121707037664E-4</v>
      </c>
      <c r="M53" s="79">
        <f>(L53*V53/O53)/P53</f>
        <v>0.57560051325253514</v>
      </c>
      <c r="N53" s="70">
        <v>20</v>
      </c>
      <c r="O53" s="72">
        <v>0.15</v>
      </c>
      <c r="P53" s="117">
        <v>31.536000000000001</v>
      </c>
      <c r="R53" s="90">
        <f>IF(T53=0,0,M53*P53*O53/T53)</f>
        <v>3.2414531760592769</v>
      </c>
      <c r="S53" s="90">
        <f>COM_Balance!F34*E53</f>
        <v>3.2414531760592764</v>
      </c>
      <c r="T53" s="124">
        <f>H53</f>
        <v>0.84</v>
      </c>
      <c r="U53" s="73"/>
      <c r="V53" s="76">
        <f>IF($S$77=0,0,T53*S53/SUMPRODUCT($S$51:$S$75,$T$51:$T$75)*$V$77)</f>
        <v>10343.443546539504</v>
      </c>
    </row>
    <row r="54" spans="2:22" s="16" customFormat="1" ht="15.75" thickBot="1">
      <c r="B54" s="54" t="str">
        <f t="shared" si="2"/>
        <v>CHPS</v>
      </c>
      <c r="C54" s="54" t="str">
        <f>LEFT(B54,5)&amp;RIGHT(F54,3)&amp;"_00_DBoi"</f>
        <v>CHPSOIL_00_DBoi</v>
      </c>
      <c r="D54" s="106" t="str">
        <f>"Existing commercial - "&amp;RIGHT(B54,2)&amp;" Space Heat "&amp;RIGHT(F54,3)&amp;" Dual Boiler"</f>
        <v>Existing commercial - PS Space Heat OIL Dual Boiler</v>
      </c>
      <c r="E54" s="119">
        <f>1-E53</f>
        <v>0</v>
      </c>
      <c r="F54" s="54" t="str">
        <f>COM_Balance!$F$13</f>
        <v>COMOIL</v>
      </c>
      <c r="G54" s="54" t="str">
        <f>COM_Balance!C34</f>
        <v>CHPS</v>
      </c>
      <c r="H54" s="73"/>
      <c r="I54" s="92"/>
      <c r="J54" s="111">
        <f>IF(L54=0,0,$L$51/L54)</f>
        <v>0.90271850032909262</v>
      </c>
      <c r="K54" s="157">
        <f t="shared" si="1"/>
        <v>5</v>
      </c>
      <c r="L54" s="112">
        <f>$L$51+COM_CW!$H$45</f>
        <v>2.9160941863317318E-4</v>
      </c>
      <c r="M54" s="79">
        <f>(L54*V54/O54)/P54</f>
        <v>0</v>
      </c>
      <c r="N54" s="70">
        <v>20</v>
      </c>
      <c r="O54" s="72">
        <v>0.25</v>
      </c>
      <c r="P54" s="117">
        <v>31.536000000000001</v>
      </c>
      <c r="R54" s="90">
        <f>IF(T54=0,0,M54*P54*O54/T54)*J54</f>
        <v>0</v>
      </c>
      <c r="S54" s="90">
        <f>COM_Balance!F34*E54</f>
        <v>0</v>
      </c>
      <c r="T54" s="124">
        <f>I54</f>
        <v>0</v>
      </c>
      <c r="U54" s="73"/>
      <c r="V54" s="76">
        <f>IF($S$77=0,0,T54*S54/SUMPRODUCT($S$51:$S$75,$T$51:$T$75)*$V$77)</f>
        <v>0</v>
      </c>
    </row>
    <row r="55" spans="2:22" s="16" customFormat="1" ht="15.75" thickBot="1">
      <c r="B55" s="54"/>
      <c r="C55" s="54"/>
      <c r="D55" s="54"/>
      <c r="E55" s="54"/>
      <c r="F55" s="54"/>
      <c r="G55" s="54" t="str">
        <f>COM_Balance!C40</f>
        <v>CWPS</v>
      </c>
      <c r="H55" s="73"/>
      <c r="I55" s="92"/>
      <c r="J55" s="109"/>
      <c r="K55" s="157" t="str">
        <f t="shared" si="1"/>
        <v/>
      </c>
      <c r="L55" s="112"/>
      <c r="M55" s="115"/>
      <c r="N55" s="54"/>
      <c r="O55" s="54"/>
      <c r="P55" s="54"/>
      <c r="R55" s="116"/>
      <c r="S55" s="116"/>
      <c r="T55" s="124"/>
      <c r="U55" s="73"/>
      <c r="V55" s="76"/>
    </row>
    <row r="56" spans="2:22" s="16" customFormat="1" ht="15">
      <c r="B56" s="54" t="str">
        <f t="shared" si="2"/>
        <v>CHPS</v>
      </c>
      <c r="C56" s="54" t="str">
        <f>LEFT(B56,5)&amp;RIGHT(F56,3)&amp;"_00_Boi"</f>
        <v>CHPSGAS_00_Boi</v>
      </c>
      <c r="D56" s="106" t="str">
        <f>"Existing commercial - "&amp;RIGHT(B56,2)&amp;" Space Heat "&amp;RIGHT(F56,3)&amp;" Boiler"</f>
        <v>Existing commercial - PS Space Heat GAS Boiler</v>
      </c>
      <c r="E56" s="118">
        <v>1</v>
      </c>
      <c r="F56" s="54" t="str">
        <f>COM_Balance!$G$13</f>
        <v>COMGAS</v>
      </c>
      <c r="G56" s="54"/>
      <c r="H56" s="88">
        <v>0.8</v>
      </c>
      <c r="I56" s="110"/>
      <c r="J56" s="109"/>
      <c r="K56" s="157" t="str">
        <f t="shared" si="1"/>
        <v/>
      </c>
      <c r="L56" s="112">
        <f>$L$51</f>
        <v>2.6324121707037664E-4</v>
      </c>
      <c r="M56" s="79">
        <f>(L56*V56/O56)/P56</f>
        <v>1.8530354620991647</v>
      </c>
      <c r="N56" s="70">
        <v>20</v>
      </c>
      <c r="O56" s="72">
        <v>0.15</v>
      </c>
      <c r="P56" s="117">
        <v>31.536000000000001</v>
      </c>
      <c r="R56" s="90">
        <f>IF(T56=0,0,M56*P56*O56/T56)</f>
        <v>10.95699868739236</v>
      </c>
      <c r="S56" s="90">
        <f>COM_Balance!G34*E56</f>
        <v>10.95699868739236</v>
      </c>
      <c r="T56" s="124">
        <f>H56</f>
        <v>0.8</v>
      </c>
      <c r="U56" s="73"/>
      <c r="V56" s="76">
        <f>IF($S$77=0,0,T56*S56/SUMPRODUCT($S$51:$S$75,$T$51:$T$75)*$V$77)</f>
        <v>33298.732802813458</v>
      </c>
    </row>
    <row r="57" spans="2:22" s="16" customFormat="1" ht="15">
      <c r="B57" s="54" t="str">
        <f t="shared" si="2"/>
        <v>CHPS</v>
      </c>
      <c r="C57" s="54" t="str">
        <f>LEFT(B57,5)&amp;RIGHT(F57,3)&amp;"_00_HP"</f>
        <v>CHPSGAS_00_HP</v>
      </c>
      <c r="D57" s="106" t="str">
        <f>"Existing commercial - "&amp;RIGHT(B57,2)&amp;" Space Heat "&amp;RIGHT(F57,3)&amp;" Heat Pump"</f>
        <v>Existing commercial - PS Space Heat GAS Heat Pump</v>
      </c>
      <c r="E57" s="120"/>
      <c r="F57" s="54" t="str">
        <f>COM_Balance!$G$13</f>
        <v>COMGAS</v>
      </c>
      <c r="G57" s="54" t="str">
        <f>COM_Balance!C34</f>
        <v>CHPS</v>
      </c>
      <c r="H57" s="73"/>
      <c r="I57" s="92">
        <v>4</v>
      </c>
      <c r="J57" s="111">
        <f>IF(L57=0,0,$L$51/L57)</f>
        <v>0.56961507532119526</v>
      </c>
      <c r="K57" s="157">
        <f t="shared" si="1"/>
        <v>5</v>
      </c>
      <c r="L57" s="112">
        <f>$L$51+COM_CC!$I$36</f>
        <v>4.62138781916788E-4</v>
      </c>
      <c r="M57" s="79">
        <f>(L57*V57/O57)/P57</f>
        <v>0</v>
      </c>
      <c r="N57" s="70">
        <v>20</v>
      </c>
      <c r="O57" s="72">
        <v>0.15</v>
      </c>
      <c r="P57" s="117">
        <v>31.536000000000001</v>
      </c>
      <c r="R57" s="90">
        <f>IF(T57=0,0,M57*P57*O57/T57)*J57</f>
        <v>0</v>
      </c>
      <c r="S57" s="90">
        <f>COM_Balance!G34*E57</f>
        <v>0</v>
      </c>
      <c r="T57" s="124">
        <f>I57</f>
        <v>4</v>
      </c>
      <c r="U57" s="73"/>
      <c r="V57" s="76">
        <f>IF($S$77=0,0,T57*S57/SUMPRODUCT($S$51:$S$75,$T$51:$T$75)*$V$77)</f>
        <v>0</v>
      </c>
    </row>
    <row r="58" spans="2:22" s="16" customFormat="1" ht="15">
      <c r="B58" s="54"/>
      <c r="C58" s="54"/>
      <c r="D58" s="54"/>
      <c r="E58" s="120"/>
      <c r="F58" s="54"/>
      <c r="G58" s="54" t="str">
        <f>COM_Balance!$C$37</f>
        <v>CCPS</v>
      </c>
      <c r="H58" s="73"/>
      <c r="I58" s="92">
        <v>3.2</v>
      </c>
      <c r="J58" s="109"/>
      <c r="K58" s="157" t="str">
        <f t="shared" si="1"/>
        <v/>
      </c>
      <c r="L58" s="112"/>
      <c r="M58" s="115"/>
      <c r="N58" s="54"/>
      <c r="O58" s="54"/>
      <c r="P58" s="54"/>
      <c r="R58" s="116"/>
      <c r="S58" s="116"/>
      <c r="T58" s="124"/>
      <c r="U58" s="73"/>
      <c r="V58" s="76"/>
    </row>
    <row r="59" spans="2:22" s="16" customFormat="1" ht="15.75" thickBot="1">
      <c r="B59" s="54" t="str">
        <f t="shared" si="2"/>
        <v>CHPS</v>
      </c>
      <c r="C59" s="54" t="str">
        <f>LEFT(B59,5)&amp;RIGHT(F59,3)&amp;"_00_DBoi"</f>
        <v>CHPSGAS_00_DBoi</v>
      </c>
      <c r="D59" s="106" t="str">
        <f>"Existing commercial - "&amp;RIGHT(B59,2)&amp;" Space Heat "&amp;RIGHT(F59,3)&amp;" Dual Boiler"</f>
        <v>Existing commercial - PS Space Heat GAS Dual Boiler</v>
      </c>
      <c r="E59" s="119">
        <f>1-SUM(E56:E57)</f>
        <v>0</v>
      </c>
      <c r="F59" s="54" t="str">
        <f>COM_Balance!$G$13</f>
        <v>COMGAS</v>
      </c>
      <c r="G59" s="54" t="str">
        <f>COM_Balance!$C$34</f>
        <v>CHPS</v>
      </c>
      <c r="H59" s="73"/>
      <c r="I59" s="92"/>
      <c r="J59" s="111">
        <f>IF(L59=0,0,$L$51/L59)</f>
        <v>0.90271850032909262</v>
      </c>
      <c r="K59" s="157">
        <f t="shared" si="1"/>
        <v>5</v>
      </c>
      <c r="L59" s="112">
        <f>$L$51+COM_CW!$H$45</f>
        <v>2.9160941863317318E-4</v>
      </c>
      <c r="M59" s="79">
        <f>(L59*V59/O59)/P59</f>
        <v>0</v>
      </c>
      <c r="N59" s="70">
        <v>20</v>
      </c>
      <c r="O59" s="72">
        <v>0.25</v>
      </c>
      <c r="P59" s="117">
        <v>31.536000000000001</v>
      </c>
      <c r="R59" s="90">
        <f>IF(T59=0,0,M59*P59*O59/T59)*J59</f>
        <v>0</v>
      </c>
      <c r="S59" s="90">
        <f>COM_Balance!G34*E59</f>
        <v>0</v>
      </c>
      <c r="T59" s="124">
        <f>I59</f>
        <v>0</v>
      </c>
      <c r="U59" s="73"/>
      <c r="V59" s="76">
        <f>IF($S$77=0,0,T59*S59/SUMPRODUCT($S$51:$S$75,$T$51:$T$75)*$V$77)</f>
        <v>0</v>
      </c>
    </row>
    <row r="60" spans="2:22" s="16" customFormat="1" ht="15.75" thickBot="1">
      <c r="B60" s="54"/>
      <c r="C60" s="54"/>
      <c r="D60" s="54"/>
      <c r="E60" s="54"/>
      <c r="F60" s="54"/>
      <c r="G60" s="54" t="str">
        <f>COM_Balance!$C$40</f>
        <v>CWPS</v>
      </c>
      <c r="H60" s="73"/>
      <c r="I60" s="92"/>
      <c r="J60" s="109"/>
      <c r="K60" s="157" t="str">
        <f t="shared" si="1"/>
        <v/>
      </c>
      <c r="L60" s="112"/>
      <c r="M60" s="115"/>
      <c r="N60" s="54"/>
      <c r="O60" s="54"/>
      <c r="P60" s="54"/>
      <c r="R60" s="116"/>
      <c r="S60" s="116"/>
      <c r="T60" s="124"/>
      <c r="U60" s="73"/>
      <c r="V60" s="76"/>
    </row>
    <row r="61" spans="2:22" s="16" customFormat="1" ht="15">
      <c r="B61" s="54" t="str">
        <f t="shared" si="2"/>
        <v>CHPS</v>
      </c>
      <c r="C61" s="54" t="str">
        <f>LEFT(B61,5)&amp;RIGHT(F61,3)&amp;"_00_Boi"</f>
        <v>CHPSBIO_00_Boi</v>
      </c>
      <c r="D61" s="106" t="str">
        <f>"Existing commercial - "&amp;RIGHT(B61,2)&amp;" Space Heat "&amp;RIGHT(F61,3)&amp;" Boiler"</f>
        <v>Existing commercial - PS Space Heat BIO Boiler</v>
      </c>
      <c r="E61" s="118">
        <v>1</v>
      </c>
      <c r="F61" s="54" t="str">
        <f>COM_Balance!$H$13</f>
        <v>COMBIO</v>
      </c>
      <c r="G61" s="54"/>
      <c r="H61" s="88">
        <v>0.85</v>
      </c>
      <c r="I61" s="110"/>
      <c r="J61" s="109"/>
      <c r="K61" s="157" t="str">
        <f t="shared" si="1"/>
        <v/>
      </c>
      <c r="L61" s="112">
        <f>$L$51</f>
        <v>2.6324121707037664E-4</v>
      </c>
      <c r="M61" s="79">
        <f>(L61*V61/O61)/P61</f>
        <v>0</v>
      </c>
      <c r="N61" s="70">
        <v>20</v>
      </c>
      <c r="O61" s="72">
        <v>0.15</v>
      </c>
      <c r="P61" s="117">
        <v>31.536000000000001</v>
      </c>
      <c r="R61" s="90">
        <f>IF(T61=0,0,M61*P61*O61/T61)</f>
        <v>0</v>
      </c>
      <c r="S61" s="90">
        <f>COM_Balance!H34*E61</f>
        <v>0</v>
      </c>
      <c r="T61" s="124">
        <f>H61</f>
        <v>0.85</v>
      </c>
      <c r="U61" s="73"/>
      <c r="V61" s="76">
        <f>IF($S$77=0,0,T61*S61/SUMPRODUCT($S$51:$S$75,$T$51:$T$75)*$V$77)</f>
        <v>0</v>
      </c>
    </row>
    <row r="62" spans="2:22" s="16" customFormat="1" ht="15.75" thickBot="1">
      <c r="B62" s="54" t="str">
        <f t="shared" si="2"/>
        <v>CHPS</v>
      </c>
      <c r="C62" s="54" t="str">
        <f>LEFT(B62,5)&amp;RIGHT(F62,3)&amp;"_00_DBoi"</f>
        <v>CHPSBIO_00_DBoi</v>
      </c>
      <c r="D62" s="106" t="str">
        <f>"Existing commercial - "&amp;RIGHT(B62,2)&amp;" Space Heat "&amp;RIGHT(F62,3)&amp;" Dual Boiler"</f>
        <v>Existing commercial - PS Space Heat BIO Dual Boiler</v>
      </c>
      <c r="E62" s="119">
        <f>1-E61</f>
        <v>0</v>
      </c>
      <c r="F62" s="54" t="str">
        <f>COM_Balance!$H$13</f>
        <v>COMBIO</v>
      </c>
      <c r="G62" s="54" t="str">
        <f>COM_Balance!$C$34</f>
        <v>CHPS</v>
      </c>
      <c r="H62" s="73"/>
      <c r="I62" s="92"/>
      <c r="J62" s="111">
        <f>IF(L62=0,0,$L$51/L62)</f>
        <v>0.90271850032909262</v>
      </c>
      <c r="K62" s="157">
        <f t="shared" si="1"/>
        <v>5</v>
      </c>
      <c r="L62" s="112">
        <f>$L$51+COM_CW!$H$45</f>
        <v>2.9160941863317318E-4</v>
      </c>
      <c r="M62" s="79">
        <f>(L62*V62/O62)/P62</f>
        <v>0</v>
      </c>
      <c r="N62" s="70">
        <v>20</v>
      </c>
      <c r="O62" s="72">
        <v>0.25</v>
      </c>
      <c r="P62" s="117">
        <v>31.536000000000001</v>
      </c>
      <c r="R62" s="90">
        <f>IF(T62=0,0,M62*P62*O62/T62)*J62</f>
        <v>0</v>
      </c>
      <c r="S62" s="90">
        <f>COM_Balance!H34*E62</f>
        <v>0</v>
      </c>
      <c r="T62" s="124">
        <f>I62</f>
        <v>0</v>
      </c>
      <c r="U62" s="73"/>
      <c r="V62" s="76">
        <f>IF($S$77=0,0,T62*S62/SUMPRODUCT($S$51:$S$75,$T$51:$T$75)*$V$77)</f>
        <v>0</v>
      </c>
    </row>
    <row r="63" spans="2:22" s="16" customFormat="1" ht="15.75" thickBot="1">
      <c r="B63" s="54"/>
      <c r="C63" s="54"/>
      <c r="D63" s="54"/>
      <c r="E63" s="54"/>
      <c r="F63" s="54"/>
      <c r="G63" s="54" t="str">
        <f>COM_Balance!$C$40</f>
        <v>CWPS</v>
      </c>
      <c r="H63" s="73"/>
      <c r="I63" s="92"/>
      <c r="J63" s="109"/>
      <c r="K63" s="157" t="str">
        <f t="shared" si="1"/>
        <v/>
      </c>
      <c r="L63" s="112"/>
      <c r="M63" s="115"/>
      <c r="N63" s="54"/>
      <c r="O63" s="54"/>
      <c r="P63" s="54"/>
      <c r="R63" s="116"/>
      <c r="S63" s="116"/>
      <c r="T63" s="124"/>
      <c r="U63" s="73"/>
      <c r="V63" s="76"/>
    </row>
    <row r="64" spans="2:22" s="16" customFormat="1" ht="15">
      <c r="B64" s="54" t="str">
        <f t="shared" si="2"/>
        <v>CHPS</v>
      </c>
      <c r="C64" s="54" t="str">
        <f>LEFT(B64,5)&amp;RIGHT(F64,3)&amp;"_00_Boi"</f>
        <v>CHPSBGS_00_Boi</v>
      </c>
      <c r="D64" s="106" t="str">
        <f>"Existing commercial - "&amp;RIGHT(B64,2)&amp;" Space Heat "&amp;RIGHT(F64,3)&amp;" Boiler"</f>
        <v>Existing commercial - PS Space Heat BGS Boiler</v>
      </c>
      <c r="E64" s="118">
        <v>1</v>
      </c>
      <c r="F64" s="54" t="str">
        <f>COM_Balance!$I$13</f>
        <v>COMBGS</v>
      </c>
      <c r="G64" s="54"/>
      <c r="H64" s="410">
        <v>0.8</v>
      </c>
      <c r="I64" s="92"/>
      <c r="J64" s="109"/>
      <c r="K64" s="157"/>
      <c r="L64" s="112">
        <f>$L$19</f>
        <v>2.1892012116763135E-4</v>
      </c>
      <c r="M64" s="79">
        <f>(L64*V64/O64)/P64</f>
        <v>4.8173309357553082E-2</v>
      </c>
      <c r="N64" s="70">
        <v>20</v>
      </c>
      <c r="O64" s="72">
        <v>0.15</v>
      </c>
      <c r="P64" s="117">
        <v>31.536000000000001</v>
      </c>
      <c r="R64" s="90">
        <f>IF(T64=0,0,M64*P64*O64/T64)</f>
        <v>0.28484877823121135</v>
      </c>
      <c r="S64" s="90">
        <f>COM_Balance!$I$34*E64</f>
        <v>0.28484877823121135</v>
      </c>
      <c r="T64" s="124">
        <f>H64</f>
        <v>0.8</v>
      </c>
      <c r="U64" s="73"/>
      <c r="V64" s="76">
        <f>IF($S$45=0,0,T64*S64/SUMPRODUCT($S$19:$S$43,$T$19:$T$43)*$V$45)</f>
        <v>1040.9231521047705</v>
      </c>
    </row>
    <row r="65" spans="2:22" s="16" customFormat="1" ht="15.75" thickBot="1">
      <c r="B65" s="54" t="str">
        <f t="shared" si="2"/>
        <v>CHPS</v>
      </c>
      <c r="C65" s="54" t="str">
        <f>LEFT(B65,5)&amp;RIGHT(F65,3)&amp;"_00_DBoi"</f>
        <v>CHPSBGS_00_DBoi</v>
      </c>
      <c r="D65" s="106" t="str">
        <f>"Existing commercial - "&amp;RIGHT(B65,2)&amp;" Space Heat "&amp;RIGHT(F65,3)&amp;" Dual Boiler"</f>
        <v>Existing commercial - PS Space Heat BGS Dual Boiler</v>
      </c>
      <c r="E65" s="119">
        <f>1-E64</f>
        <v>0</v>
      </c>
      <c r="F65" s="54" t="str">
        <f>COM_Balance!$I$13</f>
        <v>COMBGS</v>
      </c>
      <c r="G65" s="54" t="str">
        <f>COM_Balance!$C$34</f>
        <v>CHPS</v>
      </c>
      <c r="H65" s="73"/>
      <c r="I65" s="92"/>
      <c r="J65" s="111">
        <f>IF(L65=0,0,$L$19/L65)</f>
        <v>0.90721621910318473</v>
      </c>
      <c r="K65" s="157">
        <f>IF(J65="","",5)</f>
        <v>5</v>
      </c>
      <c r="L65" s="112">
        <f>$L$19+COM_CW!$H$19</f>
        <v>2.413097523587504E-4</v>
      </c>
      <c r="M65" s="79">
        <f>(L65*V65/O65)/P65</f>
        <v>0</v>
      </c>
      <c r="N65" s="70">
        <v>20</v>
      </c>
      <c r="O65" s="72">
        <v>0.25</v>
      </c>
      <c r="P65" s="117">
        <v>31.536000000000001</v>
      </c>
      <c r="R65" s="90">
        <f>IF(T65=0,0,M65*P65*O65/T65)*J65</f>
        <v>0</v>
      </c>
      <c r="S65" s="90">
        <f>COM_Balance!$I$34*E65</f>
        <v>0</v>
      </c>
      <c r="T65" s="124">
        <f>I65</f>
        <v>0</v>
      </c>
      <c r="U65" s="73"/>
      <c r="V65" s="76">
        <f>IF($S$45=0,0,T65*S65/SUMPRODUCT($S$19:$S$43,$T$19:$T$43)*$V$45)</f>
        <v>0</v>
      </c>
    </row>
    <row r="66" spans="2:22" s="16" customFormat="1" ht="15">
      <c r="B66" s="54"/>
      <c r="C66" s="54"/>
      <c r="D66" s="54"/>
      <c r="E66" s="54"/>
      <c r="F66" s="54"/>
      <c r="G66" s="54" t="str">
        <f>COM_Balance!$C$40</f>
        <v>CWPS</v>
      </c>
      <c r="H66" s="73"/>
      <c r="I66" s="92"/>
      <c r="J66" s="109"/>
      <c r="K66" s="157"/>
      <c r="L66" s="112"/>
      <c r="M66" s="115"/>
      <c r="N66" s="54"/>
      <c r="O66" s="54"/>
      <c r="P66" s="54"/>
      <c r="R66" s="116"/>
      <c r="S66" s="116"/>
      <c r="T66" s="124"/>
      <c r="U66" s="73"/>
      <c r="V66" s="76"/>
    </row>
    <row r="67" spans="2:22" s="16" customFormat="1" ht="15">
      <c r="B67" s="54" t="str">
        <f t="shared" si="2"/>
        <v>CHPS</v>
      </c>
      <c r="C67" s="54" t="str">
        <f>LEFT(B67,5)&amp;RIGHT(F67,3)&amp;"_00"</f>
        <v>CHPSSOL_00</v>
      </c>
      <c r="D67" s="106" t="str">
        <f>"Existing commercial - "&amp;RIGHT(B67,2)&amp;" Space Heat "&amp;RIGHT(F67,3)</f>
        <v>Existing commercial - PS Space Heat SOL</v>
      </c>
      <c r="E67" s="54"/>
      <c r="F67" s="54" t="str">
        <f>COM_Balance!$J$13</f>
        <v>COMSOL</v>
      </c>
      <c r="G67" s="54"/>
      <c r="H67" s="88">
        <v>1</v>
      </c>
      <c r="I67" s="110"/>
      <c r="J67" s="109"/>
      <c r="K67" s="157" t="str">
        <f t="shared" si="1"/>
        <v/>
      </c>
      <c r="L67" s="112">
        <f>$L$51</f>
        <v>2.6324121707037664E-4</v>
      </c>
      <c r="M67" s="79">
        <f>(L67*V67/O67)/P67</f>
        <v>0</v>
      </c>
      <c r="N67" s="70">
        <v>20</v>
      </c>
      <c r="O67" s="72">
        <v>0.15</v>
      </c>
      <c r="P67" s="117">
        <v>31.536000000000001</v>
      </c>
      <c r="R67" s="90">
        <f>IF(T67=0,0,M67*P67*O67/T67)</f>
        <v>0</v>
      </c>
      <c r="S67" s="90">
        <f>COM_Balance!J34</f>
        <v>0</v>
      </c>
      <c r="T67" s="124">
        <f>H67</f>
        <v>1</v>
      </c>
      <c r="U67" s="73"/>
      <c r="V67" s="76">
        <f>IF($S$77=0,0,T67*S67/SUMPRODUCT($S$51:$S$75,$T$51:$T$75)*$V$77)</f>
        <v>0</v>
      </c>
    </row>
    <row r="68" spans="2:22" s="16" customFormat="1" ht="15.75" thickBot="1">
      <c r="B68" s="54" t="str">
        <f t="shared" si="2"/>
        <v>CHPS</v>
      </c>
      <c r="C68" s="54" t="str">
        <f>LEFT(B68,5)&amp;RIGHT(F68,3)&amp;"_00"</f>
        <v>CHPSGEO_00</v>
      </c>
      <c r="D68" s="106" t="str">
        <f>"Existing commercial - "&amp;RIGHT(B68,2)&amp;" Space Heat "&amp;RIGHT(F68,3)</f>
        <v>Existing commercial - PS Space Heat GEO</v>
      </c>
      <c r="E68" s="54"/>
      <c r="F68" s="54" t="str">
        <f>COM_Balance!$K$13</f>
        <v>COMGEO</v>
      </c>
      <c r="G68" s="54"/>
      <c r="H68" s="88">
        <v>1</v>
      </c>
      <c r="I68" s="110"/>
      <c r="J68" s="109"/>
      <c r="K68" s="157" t="str">
        <f t="shared" si="1"/>
        <v/>
      </c>
      <c r="L68" s="112">
        <f>$L$51</f>
        <v>2.6324121707037664E-4</v>
      </c>
      <c r="M68" s="79">
        <f>(L68*V68/O68)/P68</f>
        <v>0</v>
      </c>
      <c r="N68" s="70">
        <v>20</v>
      </c>
      <c r="O68" s="72">
        <v>0.15</v>
      </c>
      <c r="P68" s="117">
        <v>31.536000000000001</v>
      </c>
      <c r="R68" s="90">
        <f>IF(T68=0,0,M68*P68*O68/T68)</f>
        <v>0</v>
      </c>
      <c r="S68" s="90">
        <f>COM_Balance!K34</f>
        <v>0</v>
      </c>
      <c r="T68" s="124">
        <f>H68</f>
        <v>1</v>
      </c>
      <c r="U68" s="73"/>
      <c r="V68" s="76">
        <f>IF($S$77=0,0,T68*S68/SUMPRODUCT($S$51:$S$75,$T$51:$T$75)*$V$77)</f>
        <v>0</v>
      </c>
    </row>
    <row r="69" spans="2:22" s="16" customFormat="1" ht="15">
      <c r="B69" s="54" t="str">
        <f t="shared" si="2"/>
        <v>CHPS</v>
      </c>
      <c r="C69" s="54" t="str">
        <f>LEFT(B69,5)&amp;RIGHT(F69,3)&amp;"_00_Rad"</f>
        <v>CHPSELC_00_Rad</v>
      </c>
      <c r="D69" s="106" t="str">
        <f>"Existing commercial - "&amp;RIGHT(B69,2)&amp;" Space Heat "&amp;RIGHT(F69,3)&amp;" Radiator"</f>
        <v>Existing commercial - PS Space Heat ELC Radiator</v>
      </c>
      <c r="E69" s="118">
        <v>1</v>
      </c>
      <c r="F69" s="54" t="str">
        <f>COM_Balance!$L$13</f>
        <v>COMELC</v>
      </c>
      <c r="G69" s="54"/>
      <c r="H69" s="88">
        <v>0.89</v>
      </c>
      <c r="I69" s="110"/>
      <c r="J69" s="109"/>
      <c r="K69" s="157" t="str">
        <f t="shared" si="1"/>
        <v/>
      </c>
      <c r="L69" s="112">
        <f>$L$51</f>
        <v>2.6324121707037664E-4</v>
      </c>
      <c r="M69" s="79">
        <f>(L69*V69/O69)/P69</f>
        <v>0.11580121711958802</v>
      </c>
      <c r="N69" s="70">
        <v>20</v>
      </c>
      <c r="O69" s="72">
        <v>0.15</v>
      </c>
      <c r="P69" s="117">
        <v>31.536000000000001</v>
      </c>
      <c r="R69" s="90">
        <f>IF(T69=0,0,M69*P69*O69/T69)</f>
        <v>0.61548997467696542</v>
      </c>
      <c r="S69" s="90">
        <f>COM_Balance!L34*E69</f>
        <v>0.61548997467696542</v>
      </c>
      <c r="T69" s="124">
        <f>H69</f>
        <v>0.89</v>
      </c>
      <c r="U69" s="73"/>
      <c r="V69" s="76">
        <f>IF($S$77=0,0,T69*S69/SUMPRODUCT($S$51:$S$75,$T$51:$T$75)*$V$77)</f>
        <v>2080.9282207354727</v>
      </c>
    </row>
    <row r="70" spans="2:22" s="16" customFormat="1" ht="15">
      <c r="B70" s="54" t="str">
        <f t="shared" si="2"/>
        <v>CHPS</v>
      </c>
      <c r="C70" s="54" t="str">
        <f>LEFT(B70,5)&amp;RIGHT(F70,3)&amp;"_00_HP"</f>
        <v>CHPSELC_00_HP</v>
      </c>
      <c r="D70" s="106" t="str">
        <f>"Existing commercial - "&amp;RIGHT(B70,2)&amp;" Space Heat "&amp;RIGHT(F70,3)&amp;" Heat Pump"</f>
        <v>Existing commercial - PS Space Heat ELC Heat Pump</v>
      </c>
      <c r="E70" s="120"/>
      <c r="F70" s="54" t="str">
        <f>COM_Balance!$L$13</f>
        <v>COMELC</v>
      </c>
      <c r="G70" s="54" t="str">
        <f>COM_Balance!$C$34</f>
        <v>CHPS</v>
      </c>
      <c r="H70" s="73"/>
      <c r="I70" s="92">
        <v>4</v>
      </c>
      <c r="J70" s="111">
        <f>IF(L70=0,0,$L$51/L70)</f>
        <v>0.56961507532119526</v>
      </c>
      <c r="K70" s="157">
        <f t="shared" si="1"/>
        <v>5</v>
      </c>
      <c r="L70" s="112">
        <f>$L$51+COM_CC!$I$36</f>
        <v>4.62138781916788E-4</v>
      </c>
      <c r="M70" s="79">
        <f>(L70*V70/O70)/P70</f>
        <v>0</v>
      </c>
      <c r="N70" s="70">
        <v>20</v>
      </c>
      <c r="O70" s="72">
        <v>0.15</v>
      </c>
      <c r="P70" s="117">
        <v>31.536000000000001</v>
      </c>
      <c r="R70" s="90">
        <f>IF(T70=0,0,M70*P70*O70/T70)*J70</f>
        <v>0</v>
      </c>
      <c r="S70" s="90">
        <f>COM_Balance!L34*E70</f>
        <v>0</v>
      </c>
      <c r="T70" s="124">
        <f>I70</f>
        <v>4</v>
      </c>
      <c r="U70" s="73"/>
      <c r="V70" s="76">
        <f>IF($S$77=0,0,T70*S70/SUMPRODUCT($S$51:$S$75,$T$51:$T$75)*$V$77)</f>
        <v>0</v>
      </c>
    </row>
    <row r="71" spans="2:22" s="16" customFormat="1" ht="15">
      <c r="B71" s="54"/>
      <c r="C71" s="54"/>
      <c r="D71" s="54"/>
      <c r="E71" s="120"/>
      <c r="F71" s="54"/>
      <c r="G71" s="54" t="str">
        <f>COM_Balance!$C$37</f>
        <v>CCPS</v>
      </c>
      <c r="H71" s="73"/>
      <c r="I71" s="92">
        <v>3.2</v>
      </c>
      <c r="J71" s="109"/>
      <c r="K71" s="157" t="str">
        <f t="shared" si="1"/>
        <v/>
      </c>
      <c r="L71" s="112"/>
      <c r="M71" s="115"/>
      <c r="N71" s="54"/>
      <c r="O71" s="54"/>
      <c r="P71" s="54"/>
      <c r="R71" s="116"/>
      <c r="S71" s="116"/>
      <c r="T71" s="124"/>
      <c r="U71" s="73"/>
      <c r="V71" s="76"/>
    </row>
    <row r="72" spans="2:22" s="16" customFormat="1" ht="15.75" thickBot="1">
      <c r="B72" s="54" t="str">
        <f t="shared" si="2"/>
        <v>CHPS</v>
      </c>
      <c r="C72" s="54" t="str">
        <f>LEFT(B72,5)&amp;RIGHT(F72,3)&amp;"_00_DBoi"</f>
        <v>CHPSELC_00_DBoi</v>
      </c>
      <c r="D72" s="106" t="str">
        <f>"Existing commercial - "&amp;RIGHT(B72,2)&amp;" Space Heat "&amp;RIGHT(F72,3)&amp;" Dual Boiler"</f>
        <v>Existing commercial - PS Space Heat ELC Dual Boiler</v>
      </c>
      <c r="E72" s="119">
        <f>1-SUM(E69:E70)</f>
        <v>0</v>
      </c>
      <c r="F72" s="54" t="str">
        <f>COM_Balance!$L$13</f>
        <v>COMELC</v>
      </c>
      <c r="G72" s="54" t="str">
        <f>COM_Balance!$C$34</f>
        <v>CHPS</v>
      </c>
      <c r="H72" s="73"/>
      <c r="I72" s="92"/>
      <c r="J72" s="111">
        <f>IF(L72=0,0,$L$51/L72)</f>
        <v>0.90271850032909262</v>
      </c>
      <c r="K72" s="157">
        <f t="shared" si="1"/>
        <v>5</v>
      </c>
      <c r="L72" s="112">
        <f>$L$51+COM_CW!$H$45</f>
        <v>2.9160941863317318E-4</v>
      </c>
      <c r="M72" s="79">
        <f>(L72*V72/O72)/P72</f>
        <v>0</v>
      </c>
      <c r="N72" s="70">
        <v>20</v>
      </c>
      <c r="O72" s="72">
        <v>0.25</v>
      </c>
      <c r="P72" s="117">
        <v>31.536000000000001</v>
      </c>
      <c r="R72" s="90">
        <f>IF(T72=0,0,M72*P72*O72/T72)*J72</f>
        <v>0</v>
      </c>
      <c r="S72" s="90">
        <f>COM_Balance!L34*E72</f>
        <v>0</v>
      </c>
      <c r="T72" s="124">
        <f>I72</f>
        <v>0</v>
      </c>
      <c r="U72" s="73"/>
      <c r="V72" s="76">
        <f>IF($S$77=0,0,T72*S72/SUMPRODUCT($S$51:$S$75,$T$51:$T$75)*$V$77)</f>
        <v>0</v>
      </c>
    </row>
    <row r="73" spans="2:22" s="16" customFormat="1" ht="15">
      <c r="B73" s="54"/>
      <c r="C73" s="54"/>
      <c r="D73" s="54"/>
      <c r="E73" s="57"/>
      <c r="F73" s="54"/>
      <c r="G73" s="54" t="str">
        <f>COM_Balance!$C$40</f>
        <v>CWPS</v>
      </c>
      <c r="H73" s="73"/>
      <c r="I73" s="92"/>
      <c r="J73" s="109"/>
      <c r="K73" s="157" t="str">
        <f t="shared" si="1"/>
        <v/>
      </c>
      <c r="L73" s="112"/>
      <c r="M73" s="115"/>
      <c r="N73" s="54"/>
      <c r="O73" s="54"/>
      <c r="P73" s="54"/>
      <c r="R73" s="116"/>
      <c r="S73" s="116"/>
      <c r="T73" s="124"/>
      <c r="U73" s="73"/>
      <c r="V73" s="76"/>
    </row>
    <row r="74" spans="2:22" s="16" customFormat="1" ht="15">
      <c r="B74" s="54" t="str">
        <f t="shared" si="2"/>
        <v>CHPS</v>
      </c>
      <c r="C74" s="54" t="str">
        <f>LEFT(B74,5)&amp;RIGHT(F74,3)&amp;"_00_DH"</f>
        <v>CHPSHET_00_DH</v>
      </c>
      <c r="D74" s="106" t="str">
        <f>"Existing commercial - "&amp;RIGHT(B74,2)&amp;" Space Heat "&amp;RIGHT(F74,3)&amp;" Heat Exchanger"</f>
        <v>Existing commercial - PS Space Heat HET Heat Exchanger</v>
      </c>
      <c r="E74" s="57"/>
      <c r="F74" s="54" t="str">
        <f>COM_Balance!$M$13</f>
        <v>COMHET</v>
      </c>
      <c r="G74" s="54" t="str">
        <f>COM_Balance!$C$34</f>
        <v>CHPS</v>
      </c>
      <c r="H74" s="113"/>
      <c r="I74" s="92">
        <v>0.95</v>
      </c>
      <c r="J74" s="111">
        <f>IF(L74=0,0,$L$51/L74)</f>
        <v>0.90271850032909262</v>
      </c>
      <c r="K74" s="157">
        <f t="shared" si="1"/>
        <v>5</v>
      </c>
      <c r="L74" s="112">
        <f>$L$51+COM_CW!$H$45</f>
        <v>2.9160941863317318E-4</v>
      </c>
      <c r="M74" s="93">
        <f>(L74*V74/O74)/P74</f>
        <v>0</v>
      </c>
      <c r="N74" s="71">
        <v>20</v>
      </c>
      <c r="O74" s="72">
        <v>0.25</v>
      </c>
      <c r="P74" s="54">
        <v>31.536000000000001</v>
      </c>
      <c r="R74" s="90">
        <f>IF(T74=0,0,M74*P74*O74/T74)*J74</f>
        <v>0</v>
      </c>
      <c r="S74" s="90">
        <f>COM_Balance!M34</f>
        <v>0</v>
      </c>
      <c r="T74" s="124">
        <f>I74</f>
        <v>0.95</v>
      </c>
      <c r="U74" s="73"/>
      <c r="V74" s="76">
        <f>IF($S$77=0,0,T74*S74/SUMPRODUCT($S$51:$S$75,$T$51:$T$75)*$V$77)</f>
        <v>0</v>
      </c>
    </row>
    <row r="75" spans="2:22" s="16" customFormat="1" ht="15">
      <c r="B75" s="107"/>
      <c r="C75" s="54"/>
      <c r="D75" s="57"/>
      <c r="E75" s="57"/>
      <c r="F75" s="54"/>
      <c r="G75" s="54" t="str">
        <f>COM_Balance!$C$40</f>
        <v>CWPS</v>
      </c>
      <c r="H75" s="113"/>
      <c r="I75" s="92">
        <v>0.9</v>
      </c>
      <c r="J75" s="110"/>
      <c r="K75" s="157" t="str">
        <f t="shared" si="1"/>
        <v/>
      </c>
      <c r="L75" s="74"/>
      <c r="M75" s="74"/>
      <c r="N75" s="74"/>
      <c r="O75" s="74"/>
      <c r="P75" s="74"/>
      <c r="R75" s="74"/>
      <c r="S75" s="74"/>
      <c r="T75" s="124"/>
      <c r="U75" s="73"/>
      <c r="V75" s="76"/>
    </row>
    <row r="76" spans="2:22" s="16" customFormat="1" ht="15">
      <c r="B76" s="107" t="s">
        <v>23</v>
      </c>
      <c r="C76" s="54"/>
      <c r="D76" s="54"/>
      <c r="E76" s="54"/>
      <c r="F76" s="54"/>
      <c r="G76" s="54"/>
      <c r="H76" s="54"/>
      <c r="I76" s="54"/>
      <c r="J76" s="54"/>
      <c r="K76" s="157" t="str">
        <f t="shared" si="1"/>
        <v/>
      </c>
      <c r="L76" s="73"/>
      <c r="M76" s="76"/>
      <c r="N76" s="54"/>
      <c r="O76" s="54"/>
      <c r="P76" s="54"/>
      <c r="R76" s="76"/>
      <c r="S76" s="54"/>
      <c r="T76" s="124"/>
      <c r="U76" s="73"/>
      <c r="V76" s="54"/>
    </row>
    <row r="77" spans="2:22" s="16" customFormat="1" ht="15">
      <c r="B77" s="108" t="s">
        <v>84</v>
      </c>
      <c r="C77" s="54"/>
      <c r="D77" s="54"/>
      <c r="E77" s="54"/>
      <c r="F77" s="54"/>
      <c r="G77" s="54"/>
      <c r="H77" s="54"/>
      <c r="I77" s="54"/>
      <c r="J77" s="54"/>
      <c r="K77" s="157" t="str">
        <f t="shared" si="1"/>
        <v/>
      </c>
      <c r="L77" s="73"/>
      <c r="M77" s="115">
        <f>SUM(M51:M75)</f>
        <v>2.6075375009200532</v>
      </c>
      <c r="N77" s="54"/>
      <c r="O77" s="54"/>
      <c r="P77" s="54"/>
      <c r="R77" s="76">
        <f>SUM(R51:R75)</f>
        <v>15.187053961986152</v>
      </c>
      <c r="S77" s="76">
        <f>SUM(S51:S75)</f>
        <v>15.18705396198615</v>
      </c>
      <c r="T77" s="124"/>
      <c r="U77" s="73"/>
      <c r="V77" s="115">
        <f>COM_Balance!C63</f>
        <v>46857.006405097192</v>
      </c>
    </row>
    <row r="78" spans="2:22" s="16" customFormat="1" ht="15">
      <c r="T78" s="94"/>
    </row>
    <row r="79" spans="2:22" s="16" customFormat="1" ht="15">
      <c r="T79" s="94"/>
    </row>
    <row r="80" spans="2:22" s="16" customFormat="1" ht="15">
      <c r="T80" s="94"/>
    </row>
    <row r="81" spans="20:20" s="16" customFormat="1" ht="15">
      <c r="T81" s="94"/>
    </row>
    <row r="82" spans="20:20" s="16" customFormat="1" ht="15">
      <c r="T82" s="94"/>
    </row>
    <row r="83" spans="20:20" s="16" customFormat="1" ht="15">
      <c r="T83" s="94"/>
    </row>
    <row r="84" spans="20:20" s="16" customFormat="1" ht="15">
      <c r="T84" s="94"/>
    </row>
    <row r="85" spans="20:20" s="16" customFormat="1" ht="15">
      <c r="T85" s="94"/>
    </row>
    <row r="86" spans="20:20" s="16" customFormat="1" ht="15">
      <c r="T86" s="94"/>
    </row>
    <row r="87" spans="20:20" s="16" customFormat="1" ht="15">
      <c r="T87" s="94"/>
    </row>
    <row r="88" spans="20:20" s="16" customFormat="1" ht="15">
      <c r="T88" s="94"/>
    </row>
    <row r="89" spans="20:20" s="16" customFormat="1" ht="15">
      <c r="T89" s="94"/>
    </row>
    <row r="90" spans="20:20" s="16" customFormat="1" ht="15">
      <c r="T90" s="94"/>
    </row>
    <row r="91" spans="20:20" s="16" customFormat="1" ht="15">
      <c r="T91" s="94"/>
    </row>
    <row r="92" spans="20:20" s="16" customFormat="1" ht="15">
      <c r="T92" s="94"/>
    </row>
    <row r="93" spans="20:20" s="16" customFormat="1" ht="15">
      <c r="T93" s="94"/>
    </row>
    <row r="94" spans="20:20" s="16" customFormat="1" ht="15">
      <c r="T94" s="94"/>
    </row>
    <row r="95" spans="20:20" s="16" customFormat="1" ht="15">
      <c r="T95" s="94"/>
    </row>
    <row r="96" spans="20:20" s="16" customFormat="1" ht="15">
      <c r="T96" s="94"/>
    </row>
    <row r="97" spans="20:20" s="16" customFormat="1" ht="15">
      <c r="T97" s="94"/>
    </row>
    <row r="98" spans="20:20" s="16" customFormat="1" ht="15">
      <c r="T98" s="94"/>
    </row>
    <row r="99" spans="20:20" s="16" customFormat="1" ht="15">
      <c r="T99" s="94"/>
    </row>
    <row r="100" spans="20:20" s="16" customFormat="1" ht="15">
      <c r="T100" s="94"/>
    </row>
    <row r="101" spans="20:20" s="16" customFormat="1" ht="15">
      <c r="T101" s="94"/>
    </row>
    <row r="102" spans="20:20" s="16" customFormat="1" ht="15">
      <c r="T102" s="94"/>
    </row>
    <row r="103" spans="20:20" s="16" customFormat="1" ht="15">
      <c r="T103" s="94"/>
    </row>
    <row r="104" spans="20:20" s="16" customFormat="1" ht="15">
      <c r="T104" s="94"/>
    </row>
    <row r="105" spans="20:20" s="16" customFormat="1" ht="15">
      <c r="T105" s="94"/>
    </row>
    <row r="106" spans="20:20" s="16" customFormat="1" ht="15">
      <c r="T106" s="94"/>
    </row>
    <row r="107" spans="20:20" s="16" customFormat="1" ht="15">
      <c r="T107" s="94"/>
    </row>
    <row r="108" spans="20:20" s="16" customFormat="1" ht="15">
      <c r="T108" s="94"/>
    </row>
    <row r="109" spans="20:20" s="16" customFormat="1" ht="15">
      <c r="T109" s="94"/>
    </row>
    <row r="110" spans="20:20" s="16" customFormat="1" ht="15">
      <c r="T110" s="94"/>
    </row>
    <row r="111" spans="20:20" s="16" customFormat="1" ht="15">
      <c r="T111" s="94"/>
    </row>
    <row r="112" spans="20:20" s="16" customFormat="1" ht="15">
      <c r="T112" s="94"/>
    </row>
    <row r="113" spans="20:20" s="16" customFormat="1" ht="15">
      <c r="T113" s="94"/>
    </row>
    <row r="114" spans="20:20" s="16" customFormat="1" ht="15">
      <c r="T114" s="94"/>
    </row>
    <row r="115" spans="20:20" s="16" customFormat="1" ht="15">
      <c r="T115" s="94"/>
    </row>
    <row r="116" spans="20:20" s="16" customFormat="1" ht="15">
      <c r="T116" s="94"/>
    </row>
    <row r="117" spans="20:20" s="16" customFormat="1" ht="15">
      <c r="T117" s="94"/>
    </row>
    <row r="118" spans="20:20" s="16" customFormat="1" ht="15">
      <c r="T118" s="94"/>
    </row>
    <row r="119" spans="20:20" s="16" customFormat="1" ht="15">
      <c r="T119" s="94"/>
    </row>
    <row r="120" spans="20:20" s="16" customFormat="1" ht="15">
      <c r="T120" s="94"/>
    </row>
    <row r="121" spans="20:20" s="16" customFormat="1" ht="15">
      <c r="T121" s="94"/>
    </row>
    <row r="122" spans="20:20" s="16" customFormat="1" ht="15">
      <c r="T122" s="94"/>
    </row>
    <row r="123" spans="20:20" s="16" customFormat="1" ht="15">
      <c r="T123" s="94"/>
    </row>
    <row r="124" spans="20:20" s="16" customFormat="1" ht="15">
      <c r="T124" s="94"/>
    </row>
    <row r="125" spans="20:20" s="16" customFormat="1" ht="15">
      <c r="T125" s="94"/>
    </row>
    <row r="126" spans="20:20" s="16" customFormat="1" ht="15">
      <c r="T126" s="94"/>
    </row>
    <row r="127" spans="20:20" s="16" customFormat="1" ht="15">
      <c r="T127" s="94"/>
    </row>
    <row r="128" spans="20:20" s="16" customFormat="1" ht="15">
      <c r="T128" s="94"/>
    </row>
    <row r="129" spans="20:20" s="16" customFormat="1" ht="15">
      <c r="T129" s="94"/>
    </row>
    <row r="130" spans="20:20" s="16" customFormat="1" ht="15">
      <c r="T130" s="94"/>
    </row>
    <row r="131" spans="20:20" s="16" customFormat="1" ht="15">
      <c r="T131" s="94"/>
    </row>
    <row r="132" spans="20:20" s="16" customFormat="1" ht="15">
      <c r="T132" s="94"/>
    </row>
    <row r="133" spans="20:20" s="16" customFormat="1" ht="15">
      <c r="T133" s="94"/>
    </row>
    <row r="134" spans="20:20" s="16" customFormat="1" ht="15">
      <c r="T134" s="94"/>
    </row>
    <row r="135" spans="20:20" s="16" customFormat="1" ht="15">
      <c r="T135" s="94"/>
    </row>
    <row r="136" spans="20:20" s="16" customFormat="1" ht="15">
      <c r="T136" s="94"/>
    </row>
    <row r="137" spans="20:20" s="16" customFormat="1" ht="15">
      <c r="T137" s="94"/>
    </row>
    <row r="138" spans="20:20" s="16" customFormat="1" ht="15">
      <c r="T138" s="94"/>
    </row>
    <row r="139" spans="20:20" s="16" customFormat="1" ht="15">
      <c r="T139" s="94"/>
    </row>
    <row r="140" spans="20:20" s="16" customFormat="1" ht="15">
      <c r="T140" s="94"/>
    </row>
    <row r="141" spans="20:20" s="16" customFormat="1" ht="15">
      <c r="T141" s="94"/>
    </row>
    <row r="142" spans="20:20" s="16" customFormat="1" ht="15">
      <c r="T142" s="94"/>
    </row>
    <row r="143" spans="20:20" s="16" customFormat="1" ht="15">
      <c r="T143" s="94"/>
    </row>
    <row r="144" spans="20:20" s="16" customFormat="1" ht="15">
      <c r="T144" s="94"/>
    </row>
    <row r="145" spans="20:20" s="16" customFormat="1" ht="15">
      <c r="T145" s="94"/>
    </row>
    <row r="146" spans="20:20" s="16" customFormat="1" ht="15">
      <c r="T146" s="94"/>
    </row>
    <row r="147" spans="20:20" s="16" customFormat="1" ht="15">
      <c r="T147" s="94"/>
    </row>
    <row r="148" spans="20:20" s="16" customFormat="1" ht="15">
      <c r="T148" s="94"/>
    </row>
    <row r="149" spans="20:20" s="16" customFormat="1" ht="15">
      <c r="T149" s="94"/>
    </row>
    <row r="150" spans="20:20" s="16" customFormat="1" ht="15">
      <c r="T150" s="94"/>
    </row>
    <row r="151" spans="20:20" s="16" customFormat="1" ht="15">
      <c r="T151" s="94"/>
    </row>
    <row r="152" spans="20:20" s="16" customFormat="1" ht="15">
      <c r="T152" s="94"/>
    </row>
    <row r="153" spans="20:20" s="16" customFormat="1" ht="15">
      <c r="T153" s="94"/>
    </row>
    <row r="154" spans="20:20" s="16" customFormat="1" ht="15">
      <c r="T154" s="94"/>
    </row>
    <row r="155" spans="20:20" s="16" customFormat="1" ht="15">
      <c r="T155" s="94"/>
    </row>
    <row r="156" spans="20:20" s="16" customFormat="1" ht="15">
      <c r="T156" s="94"/>
    </row>
    <row r="157" spans="20:20" s="16" customFormat="1" ht="15">
      <c r="T157" s="94"/>
    </row>
    <row r="158" spans="20:20" s="16" customFormat="1" ht="15">
      <c r="T158" s="94"/>
    </row>
    <row r="159" spans="20:20" s="16" customFormat="1" ht="15">
      <c r="T159" s="94"/>
    </row>
    <row r="160" spans="20:20" s="16" customFormat="1" ht="15">
      <c r="T160" s="94"/>
    </row>
    <row r="161" spans="20:20" s="16" customFormat="1" ht="15">
      <c r="T161" s="94"/>
    </row>
    <row r="162" spans="20:20" s="16" customFormat="1" ht="15">
      <c r="T162" s="94"/>
    </row>
    <row r="163" spans="20:20" s="16" customFormat="1" ht="15">
      <c r="T163" s="94"/>
    </row>
    <row r="164" spans="20:20" s="16" customFormat="1" ht="15">
      <c r="T164" s="94"/>
    </row>
    <row r="165" spans="20:20" s="16" customFormat="1" ht="15">
      <c r="T165" s="94"/>
    </row>
    <row r="166" spans="20:20" s="16" customFormat="1" ht="15">
      <c r="T166" s="94"/>
    </row>
    <row r="167" spans="20:20" s="16" customFormat="1" ht="15">
      <c r="T167" s="94"/>
    </row>
    <row r="168" spans="20:20" s="16" customFormat="1" ht="15">
      <c r="T168" s="94"/>
    </row>
    <row r="169" spans="20:20" s="16" customFormat="1" ht="15">
      <c r="T169" s="94"/>
    </row>
    <row r="170" spans="20:20" s="16" customFormat="1" ht="15">
      <c r="T170" s="94"/>
    </row>
    <row r="171" spans="20:20" s="16" customFormat="1" ht="15">
      <c r="T171" s="94"/>
    </row>
    <row r="172" spans="20:20">
      <c r="T172" s="8"/>
    </row>
    <row r="173" spans="20:20">
      <c r="T173" s="8"/>
    </row>
    <row r="174" spans="20:20">
      <c r="T174" s="8"/>
    </row>
    <row r="175" spans="20:20">
      <c r="T175" s="8"/>
    </row>
    <row r="176" spans="20:20">
      <c r="T176" s="8"/>
    </row>
    <row r="177" spans="20:20">
      <c r="T177" s="8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7B74FDAF7A4FB4D876E5EA45926113E" ma:contentTypeVersion="4" ma:contentTypeDescription="Create a new document." ma:contentTypeScope="" ma:versionID="327522a6d5518d67d5f1063e9cc64cf0">
  <xsd:schema xmlns:xsd="http://www.w3.org/2001/XMLSchema" xmlns:xs="http://www.w3.org/2001/XMLSchema" xmlns:p="http://schemas.microsoft.com/office/2006/metadata/properties" xmlns:ns2="3a32fc56-8470-4d77-ad86-bef2a7229878" targetNamespace="http://schemas.microsoft.com/office/2006/metadata/properties" ma:root="true" ma:fieldsID="ffd5532d255be23b9fb13183c07e1fd0" ns2:_="">
    <xsd:import namespace="3a32fc56-8470-4d77-ad86-bef2a722987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32fc56-8470-4d77-ad86-bef2a722987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BACB2E3-CDF0-4ED0-BEB9-5A15710DBCB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B7A5D60-A3DF-417A-ABA8-B7F5CA08C10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a32fc56-8470-4d77-ad86-bef2a722987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4B89BCC-8A48-4F37-9079-7262C2133970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Cover</vt:lpstr>
      <vt:lpstr>Intro</vt:lpstr>
      <vt:lpstr>EB2018</vt:lpstr>
      <vt:lpstr>COM_Balance</vt:lpstr>
      <vt:lpstr>COM_Commodities</vt:lpstr>
      <vt:lpstr>COM_Processes</vt:lpstr>
      <vt:lpstr>COM_FuelTechs</vt:lpstr>
      <vt:lpstr>COM_EmiCoeffs</vt:lpstr>
      <vt:lpstr>COM_CH</vt:lpstr>
      <vt:lpstr>COM_CW</vt:lpstr>
      <vt:lpstr>COM_CC</vt:lpstr>
      <vt:lpstr>COM_COth</vt:lpstr>
      <vt:lpstr>COM_PV</vt:lpstr>
      <vt:lpstr>Commercial SEAI</vt:lpstr>
      <vt:lpstr>Public SEAI</vt:lpstr>
      <vt:lpstr>CSO data</vt:lpstr>
      <vt:lpstr>Public BOC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Olex</cp:lastModifiedBy>
  <cp:lastPrinted>2004-11-16T14:57:57Z</cp:lastPrinted>
  <dcterms:created xsi:type="dcterms:W3CDTF">2000-12-13T15:53:11Z</dcterms:created>
  <dcterms:modified xsi:type="dcterms:W3CDTF">2020-11-02T15:36:34Z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ase_Yr_Bal">
    <vt:lpwstr>EuroStat.MDB</vt:lpwstr>
  </property>
  <property fmtid="{D5CDD505-2E9C-101B-9397-08002B2CF9AE}" pid="3" name="ImportCode:EuroStat.MDB">
    <vt:lpwstr>58178961698000</vt:lpwstr>
  </property>
  <property fmtid="{D5CDD505-2E9C-101B-9397-08002B2CF9AE}" pid="4" name="Project">
    <vt:lpwstr>NEEDS</vt:lpwstr>
  </property>
  <property fmtid="{D5CDD505-2E9C-101B-9397-08002B2CF9AE}" pid="5" name="TmplVersion">
    <vt:lpwstr>Vrsn000059</vt:lpwstr>
  </property>
  <property fmtid="{D5CDD505-2E9C-101B-9397-08002B2CF9AE}" pid="6" name="ContentTypeId">
    <vt:lpwstr>0x01010087B74FDAF7A4FB4D876E5EA45926113E</vt:lpwstr>
  </property>
  <property fmtid="{D5CDD505-2E9C-101B-9397-08002B2CF9AE}" pid="7" name="SaveCode">
    <vt:r8>936504542827606</vt:r8>
  </property>
</Properties>
</file>