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VEDA\VEDA_Models\~g2v_Irish-TIMES-model\TRA_Update\"/>
    </mc:Choice>
  </mc:AlternateContent>
  <xr:revisionPtr revIDLastSave="0" documentId="13_ncr:1_{EC099B08-A7DD-427A-9940-983AEA33EC3F}" xr6:coauthVersionLast="46" xr6:coauthVersionMax="46" xr10:uidLastSave="{00000000-0000-0000-0000-000000000000}"/>
  <bookViews>
    <workbookView xWindow="-108" yWindow="-108" windowWidth="23256" windowHeight="12576" firstSheet="3" activeTab="10"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D29" i="58"/>
  <c r="D30" i="58"/>
  <c r="D31" i="58"/>
  <c r="D28" i="58"/>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7" i="43"/>
  <c r="C626" i="43"/>
  <c r="C625" i="43"/>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C628" i="43" l="1"/>
  <c r="C462" i="43"/>
  <c r="B12" i="65"/>
  <c r="L12" i="65" s="1"/>
  <c r="K18" i="43"/>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D71" i="58" l="1"/>
  <c r="D70" i="58"/>
  <c r="E75" i="59"/>
  <c r="E77" i="59"/>
  <c r="E76" i="59"/>
  <c r="C76" i="59"/>
  <c r="A75" i="59"/>
  <c r="A128" i="59" s="1"/>
  <c r="C75" i="59"/>
  <c r="A76" i="59"/>
  <c r="A129" i="59" s="1"/>
  <c r="B33" i="59"/>
  <c r="C33" i="59"/>
  <c r="B34" i="59"/>
  <c r="C34" i="59"/>
  <c r="C455" i="43" l="1"/>
  <c r="C454" i="43"/>
  <c r="D446" i="43"/>
  <c r="C446" i="43"/>
  <c r="C463" i="43" l="1"/>
  <c r="D72" i="58" s="1"/>
  <c r="C464" i="43"/>
  <c r="D73" i="58" s="1"/>
  <c r="C456" i="43"/>
  <c r="N4" i="69"/>
  <c r="M4" i="69"/>
  <c r="L4" i="69"/>
  <c r="K4" i="69"/>
  <c r="J4" i="69"/>
  <c r="I4" i="69"/>
  <c r="H4" i="69"/>
  <c r="G4" i="69"/>
  <c r="F4" i="69"/>
  <c r="E4" i="69"/>
  <c r="D4" i="69"/>
  <c r="C4" i="69"/>
  <c r="B8" i="69"/>
  <c r="B7" i="69"/>
  <c r="B6" i="69"/>
  <c r="B5" i="69"/>
  <c r="C629" i="43" l="1"/>
  <c r="D13" i="65"/>
  <c r="B13" i="65" s="1"/>
  <c r="C638" i="43" l="1"/>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C639" i="43" l="1"/>
  <c r="B151" i="59"/>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F150" i="59" l="1"/>
  <c r="F151" i="59" s="1"/>
  <c r="AG55" i="68"/>
  <c r="AH55" i="68" s="1"/>
  <c r="AI55" i="68" s="1"/>
  <c r="AJ55" i="68" s="1"/>
  <c r="AK55" i="68" s="1"/>
  <c r="AL55" i="68" s="1"/>
  <c r="AM55" i="68" s="1"/>
  <c r="AN55" i="68" s="1"/>
  <c r="AO55" i="68" s="1"/>
  <c r="AP55" i="68" s="1"/>
  <c r="M5" i="68" s="1"/>
  <c r="L5" i="68"/>
  <c r="J8" i="68"/>
  <c r="L8" i="68"/>
  <c r="G150" i="59" l="1"/>
  <c r="H150" i="59"/>
  <c r="G151" i="59"/>
  <c r="M7" i="65"/>
  <c r="M8" i="65"/>
  <c r="M9" i="65"/>
  <c r="M10" i="65"/>
  <c r="M11" i="65"/>
  <c r="M14" i="65"/>
  <c r="M15" i="65"/>
  <c r="M16" i="65"/>
  <c r="M17" i="65"/>
  <c r="M18" i="65"/>
  <c r="M6" i="65"/>
  <c r="L13"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L73" i="58" s="1"/>
  <c r="BT53" i="59" s="1"/>
  <c r="Y463" i="43"/>
  <c r="Z72" i="58" s="1"/>
  <c r="X464" i="43"/>
  <c r="Y73" i="58" s="1"/>
  <c r="CG53" i="59" s="1"/>
  <c r="J463" i="43"/>
  <c r="K72" i="58" s="1"/>
  <c r="G462" i="43"/>
  <c r="H71" i="58" s="1"/>
  <c r="AC464" i="43"/>
  <c r="AD73" i="58" s="1"/>
  <c r="CL53" i="59" s="1"/>
  <c r="Q464" i="43"/>
  <c r="R73" i="58" s="1"/>
  <c r="BZ53" i="59" s="1"/>
  <c r="K462" i="43"/>
  <c r="L70" i="58" s="1"/>
  <c r="S463" i="43"/>
  <c r="T72" i="58" s="1"/>
  <c r="Q463" i="43"/>
  <c r="R72" i="58" s="1"/>
  <c r="E463" i="43"/>
  <c r="F72" i="58" s="1"/>
  <c r="N464" i="43"/>
  <c r="O73" i="58" s="1"/>
  <c r="BW53" i="59" s="1"/>
  <c r="K463" i="43"/>
  <c r="L72" i="58" s="1"/>
  <c r="M463" i="43"/>
  <c r="N72" i="58" s="1"/>
  <c r="X463" i="43"/>
  <c r="Y72" i="58" s="1"/>
  <c r="J464" i="43"/>
  <c r="K73" i="58" s="1"/>
  <c r="BS53" i="59" s="1"/>
  <c r="P463" i="43"/>
  <c r="Q72" i="58" s="1"/>
  <c r="AC462" i="43"/>
  <c r="AD70" i="58" s="1"/>
  <c r="Q462" i="43"/>
  <c r="R70" i="58" s="1"/>
  <c r="AA463" i="43"/>
  <c r="AB72" i="58" s="1"/>
  <c r="P464" i="43"/>
  <c r="Q73" i="58" s="1"/>
  <c r="BY53" i="59" s="1"/>
  <c r="S464" i="43"/>
  <c r="T73" i="58" s="1"/>
  <c r="CB53" i="59" s="1"/>
  <c r="P462" i="43"/>
  <c r="Q70" i="58" s="1"/>
  <c r="T464" i="43"/>
  <c r="U73" i="58" s="1"/>
  <c r="CC53" i="59" s="1"/>
  <c r="AA462" i="43"/>
  <c r="AB70" i="58" s="1"/>
  <c r="L464" i="43"/>
  <c r="M73" i="58" s="1"/>
  <c r="BU53" i="59" s="1"/>
  <c r="W464" i="43"/>
  <c r="X73" i="58" s="1"/>
  <c r="X125" i="61" s="1"/>
  <c r="I464" i="43"/>
  <c r="J73" i="58" s="1"/>
  <c r="BR53" i="59" s="1"/>
  <c r="F462" i="43"/>
  <c r="G71" i="58" s="1"/>
  <c r="H464" i="43"/>
  <c r="I73" i="58" s="1"/>
  <c r="BQ53" i="59" s="1"/>
  <c r="S462" i="43"/>
  <c r="T70" i="58" s="1"/>
  <c r="L463" i="43"/>
  <c r="M72" i="58" s="1"/>
  <c r="T462" i="43"/>
  <c r="U70" i="58" s="1"/>
  <c r="O462" i="43"/>
  <c r="P71" i="58" s="1"/>
  <c r="U463" i="43"/>
  <c r="V72" i="58" s="1"/>
  <c r="F463" i="43"/>
  <c r="G72" i="58" s="1"/>
  <c r="H463" i="43"/>
  <c r="I72" i="58" s="1"/>
  <c r="Z464" i="43"/>
  <c r="AA73" i="58" s="1"/>
  <c r="CI53" i="59" s="1"/>
  <c r="L462" i="43"/>
  <c r="M71" i="58" s="1"/>
  <c r="V462" i="43"/>
  <c r="W71" i="58" s="1"/>
  <c r="R464" i="43"/>
  <c r="S73" i="58" s="1"/>
  <c r="CA53" i="59" s="1"/>
  <c r="O464" i="43"/>
  <c r="P73" i="58" s="1"/>
  <c r="BX53" i="59" s="1"/>
  <c r="U464" i="43"/>
  <c r="V73" i="58" s="1"/>
  <c r="CD53" i="59" s="1"/>
  <c r="E464" i="43"/>
  <c r="F73" i="58" s="1"/>
  <c r="W463" i="43"/>
  <c r="X72" i="58" s="1"/>
  <c r="W629" i="43"/>
  <c r="D464" i="43"/>
  <c r="E73" i="58" s="1"/>
  <c r="Y462" i="43"/>
  <c r="Z70" i="58" s="1"/>
  <c r="H462" i="43"/>
  <c r="I71" i="58" s="1"/>
  <c r="Z463" i="43"/>
  <c r="AA72" i="58" s="1"/>
  <c r="G464" i="43"/>
  <c r="H73" i="58" s="1"/>
  <c r="BP53" i="59" s="1"/>
  <c r="V463" i="43"/>
  <c r="W72" i="58" s="1"/>
  <c r="R462" i="43"/>
  <c r="S71" i="58" s="1"/>
  <c r="AB463" i="43"/>
  <c r="AC72" i="58" s="1"/>
  <c r="U462" i="43"/>
  <c r="V70" i="58" s="1"/>
  <c r="I463" i="43"/>
  <c r="J72" i="58" s="1"/>
  <c r="M464" i="43"/>
  <c r="N73" i="58" s="1"/>
  <c r="BV53" i="59" s="1"/>
  <c r="J462" i="43"/>
  <c r="K71" i="58" s="1"/>
  <c r="T463" i="43"/>
  <c r="U72" i="58" s="1"/>
  <c r="AA464" i="43"/>
  <c r="AB73" i="58" s="1"/>
  <c r="CJ53" i="59" s="1"/>
  <c r="N463" i="43"/>
  <c r="O72" i="58" s="1"/>
  <c r="D463" i="43"/>
  <c r="E72" i="58" s="1"/>
  <c r="Y464" i="43"/>
  <c r="Z73" i="58" s="1"/>
  <c r="CH53" i="59" s="1"/>
  <c r="X462" i="43"/>
  <c r="Y70" i="58" s="1"/>
  <c r="Z462" i="43"/>
  <c r="AA70" i="58" s="1"/>
  <c r="G463" i="43"/>
  <c r="H72" i="58" s="1"/>
  <c r="AC463" i="43"/>
  <c r="AD72" i="58" s="1"/>
  <c r="R463" i="43"/>
  <c r="S72" i="58" s="1"/>
  <c r="AB464" i="43"/>
  <c r="AC73" i="58" s="1"/>
  <c r="CK53" i="59" s="1"/>
  <c r="F344" i="43"/>
  <c r="F363" i="43" s="1"/>
  <c r="BL85" i="59"/>
  <c r="BL87" i="59" s="1"/>
  <c r="BL88" i="59" s="1"/>
  <c r="E456" i="43"/>
  <c r="E462" i="43"/>
  <c r="I456" i="43"/>
  <c r="I462" i="43"/>
  <c r="F456" i="43"/>
  <c r="F464" i="43"/>
  <c r="G73" i="58" s="1"/>
  <c r="M456" i="43"/>
  <c r="M462" i="43"/>
  <c r="T125" i="61"/>
  <c r="O456" i="43"/>
  <c r="O463" i="43"/>
  <c r="P72" i="58" s="1"/>
  <c r="V456" i="43"/>
  <c r="V464" i="43"/>
  <c r="W73" i="58" s="1"/>
  <c r="W456" i="43"/>
  <c r="W462" i="43"/>
  <c r="E70" i="58"/>
  <c r="E71" i="58"/>
  <c r="N456" i="43"/>
  <c r="N462" i="43"/>
  <c r="L125" i="61"/>
  <c r="AD125" i="61"/>
  <c r="AB456" i="43"/>
  <c r="AB462" i="43"/>
  <c r="O125" i="61"/>
  <c r="L71" i="58"/>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R71" i="58"/>
  <c r="H70" i="58"/>
  <c r="S70" i="58"/>
  <c r="AB71" i="58"/>
  <c r="Z71" i="58"/>
  <c r="S125" i="61"/>
  <c r="T71" i="58"/>
  <c r="Q71" i="58"/>
  <c r="Y71" i="58"/>
  <c r="H125" i="61"/>
  <c r="Q125" i="61"/>
  <c r="I70" i="58"/>
  <c r="BQ52" i="59" s="1"/>
  <c r="BQ67" i="59" s="1"/>
  <c r="BQ69" i="59" s="1"/>
  <c r="W70" i="58"/>
  <c r="CF53" i="59"/>
  <c r="AD71" i="58"/>
  <c r="P70" i="58"/>
  <c r="M125" i="61"/>
  <c r="K70" i="58"/>
  <c r="AA71" i="58"/>
  <c r="M70" i="58"/>
  <c r="F125" i="61"/>
  <c r="G345" i="43"/>
  <c r="G377" i="43" s="1"/>
  <c r="V71" i="58"/>
  <c r="C152" i="43"/>
  <c r="E303" i="43" s="1"/>
  <c r="E300" i="43" s="1"/>
  <c r="AC125" i="61"/>
  <c r="P125" i="61"/>
  <c r="AA125" i="61"/>
  <c r="BM53" i="59"/>
  <c r="E125" i="61"/>
  <c r="Y125" i="61"/>
  <c r="R125" i="61"/>
  <c r="U71" i="58"/>
  <c r="G70" i="58"/>
  <c r="Z125" i="61"/>
  <c r="I124" i="61"/>
  <c r="E124" i="61"/>
  <c r="BM52" i="59"/>
  <c r="W125" i="61"/>
  <c r="CE53" i="59"/>
  <c r="N70" i="58"/>
  <c r="N71" i="58"/>
  <c r="L124" i="61"/>
  <c r="BT52" i="59"/>
  <c r="BT67" i="59" s="1"/>
  <c r="BT69" i="59" s="1"/>
  <c r="H124" i="61"/>
  <c r="BP52" i="59"/>
  <c r="BP67" i="59" s="1"/>
  <c r="BP69" i="59" s="1"/>
  <c r="W124" i="61"/>
  <c r="CE52" i="59"/>
  <c r="X71" i="58"/>
  <c r="X70" i="58"/>
  <c r="V124" i="61"/>
  <c r="CD52" i="59"/>
  <c r="CD67" i="59" s="1"/>
  <c r="CD69" i="59" s="1"/>
  <c r="Z124" i="61"/>
  <c r="CH52" i="59"/>
  <c r="CH67" i="59" s="1"/>
  <c r="T124" i="61"/>
  <c r="CB52" i="59"/>
  <c r="CB67" i="59" s="1"/>
  <c r="CB69" i="59" s="1"/>
  <c r="G125" i="61"/>
  <c r="BO53" i="59"/>
  <c r="AC70" i="58"/>
  <c r="AC71" i="58"/>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J70" i="58"/>
  <c r="J71" i="58"/>
  <c r="K124" i="61"/>
  <c r="BS52" i="59"/>
  <c r="BS67" i="59" s="1"/>
  <c r="BS69" i="59" s="1"/>
  <c r="AD124" i="61"/>
  <c r="CL52" i="59"/>
  <c r="CL67" i="59" s="1"/>
  <c r="Y124" i="61"/>
  <c r="CG52" i="59"/>
  <c r="CG67" i="59" s="1"/>
  <c r="F70" i="58"/>
  <c r="F71" i="58"/>
  <c r="O71" i="58"/>
  <c r="O70" i="58"/>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<sst xmlns="http://schemas.openxmlformats.org/spreadsheetml/2006/main" count="3368" uniqueCount="1152">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</sst>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68">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168" fontId="4" fillId="20" borderId="0" xfId="0" applyNumberFormat="1" applyFont="1" applyFill="1"/>
    <xf numFmtId="0" fontId="30" fillId="20" borderId="0" xfId="0" applyFont="1" applyFill="1"/>
    <xf numFmtId="168" fontId="30" fillId="20" borderId="0" xfId="0" applyNumberFormat="1" applyFont="1" applyFill="1"/>
    <xf numFmtId="168" fontId="30" fillId="20" borderId="0" xfId="0" applyNumberFormat="1" applyFont="1" applyFill="1" applyAlignment="1">
      <alignment wrapText="1"/>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1" t="s">
        <v>221</v>
      </c>
      <c r="B17" s="831"/>
      <c r="C17" s="831"/>
      <c r="D17" s="831"/>
      <c r="E17" s="831"/>
      <c r="F17" s="83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32" t="s">
        <v>223</v>
      </c>
      <c r="C20" s="832"/>
      <c r="D20" s="832"/>
      <c r="E20" s="832"/>
      <c r="F20" s="832"/>
      <c r="G20" s="52"/>
      <c r="H20" s="52"/>
      <c r="I20" s="53"/>
      <c r="J20" s="53"/>
      <c r="K20" s="53"/>
      <c r="L20" s="53"/>
      <c r="M20" s="53"/>
      <c r="N20" s="53"/>
    </row>
    <row r="21" spans="1:14" ht="17.25" customHeight="1">
      <c r="A21" s="51" t="s">
        <v>224</v>
      </c>
      <c r="B21" s="833" t="s">
        <v>227</v>
      </c>
      <c r="C21" s="833"/>
      <c r="D21" s="833"/>
      <c r="E21" s="833"/>
      <c r="F21" s="833"/>
      <c r="G21" s="52"/>
      <c r="H21" s="52"/>
      <c r="I21" s="53"/>
      <c r="J21" s="53"/>
      <c r="K21" s="53"/>
      <c r="L21" s="53"/>
      <c r="M21" s="53"/>
      <c r="N21" s="53"/>
    </row>
    <row r="22" spans="1:14" ht="17.25" customHeight="1">
      <c r="A22" s="51" t="s">
        <v>225</v>
      </c>
      <c r="B22" s="833" t="s">
        <v>226</v>
      </c>
      <c r="C22" s="833"/>
      <c r="D22" s="833"/>
      <c r="E22" s="833"/>
      <c r="F22" s="83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8"/>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8"/>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85" zoomScaleNormal="85" workbookViewId="0">
      <selection activeCell="C13" sqref="C13"/>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1" t="s">
        <v>76</v>
      </c>
      <c r="E2" s="621"/>
      <c r="G2" s="621"/>
      <c r="J2" s="615" t="s">
        <v>60</v>
      </c>
      <c r="K2" s="615"/>
      <c r="L2" s="26"/>
      <c r="M2" s="26"/>
      <c r="N2" s="26"/>
      <c r="O2" s="26"/>
      <c r="P2" s="26"/>
      <c r="Q2" s="26"/>
      <c r="R2" s="26"/>
    </row>
    <row r="3" spans="2:18">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8"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8" ht="15" thickBot="1">
      <c r="B5" s="625" t="s">
        <v>830</v>
      </c>
      <c r="C5" s="626"/>
      <c r="D5" s="626"/>
      <c r="E5" s="626"/>
      <c r="F5" s="626" t="s">
        <v>876</v>
      </c>
      <c r="G5" s="626" t="s">
        <v>840</v>
      </c>
      <c r="H5" s="626" t="s">
        <v>88</v>
      </c>
      <c r="J5" s="620" t="s">
        <v>27</v>
      </c>
      <c r="K5" s="627"/>
      <c r="L5" s="627"/>
      <c r="M5" s="627"/>
      <c r="N5" s="627"/>
      <c r="O5" s="627"/>
      <c r="P5" s="627"/>
      <c r="Q5" s="627"/>
      <c r="R5" s="627"/>
    </row>
    <row r="6" spans="2:18"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8"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8"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8"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8"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8"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8" s="662" customFormat="1" ht="13.2">
      <c r="B12" s="821" t="str">
        <f>"FT-"&amp;D12</f>
        <v>FT-TRABJK</v>
      </c>
      <c r="C12" s="822" t="s">
        <v>1149</v>
      </c>
      <c r="D12" s="821" t="str">
        <f>Commodities!B12</f>
        <v>TRABJK</v>
      </c>
      <c r="E12" s="662">
        <v>1</v>
      </c>
      <c r="F12" s="662">
        <v>50</v>
      </c>
      <c r="G12" s="662">
        <v>0.01</v>
      </c>
      <c r="L12" s="823" t="str">
        <f t="shared" si="0"/>
        <v>FT-TRABJK</v>
      </c>
      <c r="M12" s="824" t="str">
        <f>"TRA "&amp;Commodities!C12</f>
        <v>TRA Bio Jet Kerosene (TRA)</v>
      </c>
      <c r="N12" s="823" t="s">
        <v>88</v>
      </c>
      <c r="O12" s="823" t="s">
        <v>870</v>
      </c>
    </row>
    <row r="13" spans="2:18"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8"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8"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8"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5"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4"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34" t="s">
        <v>592</v>
      </c>
      <c r="L4" s="834"/>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B12" s="819" t="s">
        <v>1148</v>
      </c>
      <c r="C12" s="819" t="s">
        <v>1143</v>
      </c>
      <c r="D12" s="820" t="s">
        <v>88</v>
      </c>
      <c r="K12" s="768" t="s">
        <v>321</v>
      </c>
      <c r="L12" s="768"/>
    </row>
    <row r="13" spans="1:13" s="93" customFormat="1">
      <c r="A13" s="56"/>
      <c r="B13" s="766" t="s">
        <v>475</v>
      </c>
      <c r="C13" s="766" t="s">
        <v>1021</v>
      </c>
      <c r="D13" s="56" t="s">
        <v>88</v>
      </c>
      <c r="E13" s="56"/>
      <c r="F13" s="56"/>
      <c r="G13" s="56"/>
      <c r="H13" s="56"/>
      <c r="I13" s="42"/>
      <c r="K13" s="769" t="s">
        <v>1041</v>
      </c>
      <c r="L13" s="769" t="s">
        <v>1042</v>
      </c>
    </row>
    <row r="14" spans="1:13" s="42" customFormat="1">
      <c r="A14" s="56"/>
      <c r="B14" s="766" t="s">
        <v>477</v>
      </c>
      <c r="C14" s="766" t="s">
        <v>1022</v>
      </c>
      <c r="D14" s="56" t="s">
        <v>88</v>
      </c>
      <c r="E14" s="56"/>
      <c r="F14" s="56"/>
      <c r="G14" s="56"/>
      <c r="H14" s="56"/>
      <c r="I14" s="93"/>
      <c r="K14" s="769" t="s">
        <v>1043</v>
      </c>
      <c r="L14" s="769" t="s">
        <v>1044</v>
      </c>
    </row>
    <row r="15" spans="1:13" s="42" customFormat="1">
      <c r="A15" s="636"/>
      <c r="B15" s="766" t="s">
        <v>87</v>
      </c>
      <c r="C15" s="766" t="s">
        <v>1023</v>
      </c>
      <c r="D15" s="636" t="s">
        <v>88</v>
      </c>
      <c r="E15" s="56"/>
      <c r="F15" s="56" t="s">
        <v>90</v>
      </c>
      <c r="G15" s="636"/>
      <c r="H15" s="636" t="s">
        <v>89</v>
      </c>
      <c r="K15" s="769" t="s">
        <v>1045</v>
      </c>
      <c r="L15" s="769" t="s">
        <v>1046</v>
      </c>
    </row>
    <row r="16" spans="1:13" s="24" customFormat="1">
      <c r="A16" s="42"/>
      <c r="B16" s="766" t="s">
        <v>855</v>
      </c>
      <c r="C16" s="766" t="s">
        <v>1024</v>
      </c>
      <c r="D16" s="636" t="s">
        <v>88</v>
      </c>
      <c r="E16" s="56"/>
      <c r="F16" s="56"/>
      <c r="G16" s="42"/>
      <c r="H16" s="42"/>
      <c r="I16" s="42"/>
      <c r="K16" s="769" t="s">
        <v>1047</v>
      </c>
      <c r="L16" s="769" t="s">
        <v>1048</v>
      </c>
    </row>
    <row r="17" spans="1:12" s="24" customFormat="1">
      <c r="B17" s="766" t="s">
        <v>1025</v>
      </c>
      <c r="C17" s="766" t="s">
        <v>1026</v>
      </c>
      <c r="D17" s="636" t="s">
        <v>88</v>
      </c>
      <c r="E17" s="56"/>
      <c r="F17" s="56"/>
      <c r="K17" s="769" t="s">
        <v>1049</v>
      </c>
      <c r="L17" s="769" t="s">
        <v>1050</v>
      </c>
    </row>
    <row r="18" spans="1:12" s="24" customFormat="1">
      <c r="A18" s="714"/>
      <c r="B18" s="766" t="s">
        <v>94</v>
      </c>
      <c r="C18" s="766" t="s">
        <v>1027</v>
      </c>
      <c r="D18" s="714" t="s">
        <v>88</v>
      </c>
      <c r="E18" s="714"/>
      <c r="F18" s="714"/>
      <c r="G18" s="714"/>
      <c r="H18" s="714"/>
      <c r="K18" s="769" t="s">
        <v>1051</v>
      </c>
      <c r="L18" s="769" t="s">
        <v>1052</v>
      </c>
    </row>
    <row r="19" spans="1:12" s="93" customFormat="1">
      <c r="A19" s="714"/>
      <c r="B19" s="766" t="s">
        <v>1028</v>
      </c>
      <c r="C19" s="766" t="s">
        <v>1029</v>
      </c>
      <c r="D19" s="745" t="s">
        <v>88</v>
      </c>
      <c r="E19" s="714"/>
      <c r="F19" s="714"/>
      <c r="G19" s="714"/>
      <c r="H19" s="714"/>
      <c r="I19" s="56"/>
      <c r="K19" s="769" t="s">
        <v>1053</v>
      </c>
      <c r="L19" s="769" t="s">
        <v>1054</v>
      </c>
    </row>
    <row r="20" spans="1:12" s="93" customFormat="1">
      <c r="B20" s="766" t="s">
        <v>1030</v>
      </c>
      <c r="C20" s="766" t="s">
        <v>1031</v>
      </c>
      <c r="D20" s="745" t="s">
        <v>88</v>
      </c>
      <c r="I20" s="56"/>
      <c r="K20" s="769" t="s">
        <v>1055</v>
      </c>
      <c r="L20" s="769" t="s">
        <v>1056</v>
      </c>
    </row>
    <row r="21" spans="1:12" s="93" customFormat="1">
      <c r="B21" s="819" t="s">
        <v>1144</v>
      </c>
      <c r="C21" s="819" t="s">
        <v>1145</v>
      </c>
      <c r="D21" s="745" t="s">
        <v>88</v>
      </c>
      <c r="I21" s="56"/>
      <c r="K21" s="769" t="s">
        <v>1057</v>
      </c>
      <c r="L21" s="769" t="s">
        <v>1058</v>
      </c>
    </row>
    <row r="22" spans="1:12">
      <c r="A22" s="1"/>
      <c r="B22" s="766" t="s">
        <v>997</v>
      </c>
      <c r="C22" s="766" t="s">
        <v>1032</v>
      </c>
      <c r="D22" s="1" t="s">
        <v>88</v>
      </c>
      <c r="E22" s="1"/>
      <c r="F22" s="1"/>
      <c r="G22" s="1"/>
      <c r="H22" s="1"/>
      <c r="I22" s="56"/>
      <c r="K22" s="768" t="s">
        <v>589</v>
      </c>
      <c r="L22" s="768"/>
    </row>
    <row r="23" spans="1:12" s="42" customFormat="1">
      <c r="A23" s="458"/>
      <c r="B23" s="767" t="s">
        <v>1033</v>
      </c>
      <c r="C23" s="767" t="s">
        <v>1034</v>
      </c>
      <c r="D23" s="458" t="s">
        <v>88</v>
      </c>
      <c r="E23" s="458"/>
      <c r="F23" s="458"/>
      <c r="G23" s="458"/>
      <c r="H23" s="458"/>
      <c r="I23"/>
      <c r="K23" s="769" t="s">
        <v>1059</v>
      </c>
      <c r="L23" s="769" t="s">
        <v>1060</v>
      </c>
    </row>
    <row r="24" spans="1:12">
      <c r="A24" s="56" t="s">
        <v>91</v>
      </c>
      <c r="B24" s="56" t="s">
        <v>963</v>
      </c>
      <c r="C24" s="26" t="s">
        <v>968</v>
      </c>
      <c r="D24" s="394" t="s">
        <v>867</v>
      </c>
      <c r="E24" s="56"/>
      <c r="F24" s="56"/>
      <c r="G24" s="56"/>
      <c r="H24" s="56"/>
      <c r="I24" s="42"/>
      <c r="K24" s="769" t="s">
        <v>1061</v>
      </c>
      <c r="L24" s="769" t="s">
        <v>1062</v>
      </c>
    </row>
    <row r="25" spans="1:12" s="24" customFormat="1">
      <c r="A25" s="56"/>
      <c r="B25" s="56" t="s">
        <v>964</v>
      </c>
      <c r="C25" s="26" t="s">
        <v>966</v>
      </c>
      <c r="D25" s="394" t="s">
        <v>867</v>
      </c>
      <c r="E25" s="56"/>
      <c r="F25" s="56"/>
      <c r="G25" s="56"/>
      <c r="H25" s="56"/>
      <c r="I25"/>
      <c r="K25" s="769" t="s">
        <v>1063</v>
      </c>
      <c r="L25" s="769" t="s">
        <v>1064</v>
      </c>
    </row>
    <row r="26" spans="1:12" s="24" customFormat="1">
      <c r="A26" s="56"/>
      <c r="B26" s="56" t="s">
        <v>965</v>
      </c>
      <c r="C26" s="26" t="s">
        <v>967</v>
      </c>
      <c r="D26" s="459" t="s">
        <v>867</v>
      </c>
      <c r="E26" s="56"/>
      <c r="F26" s="56"/>
      <c r="G26" s="56"/>
      <c r="H26" s="56"/>
      <c r="K26" s="768" t="s">
        <v>590</v>
      </c>
      <c r="L26" s="768"/>
    </row>
    <row r="27" spans="1:12" s="24" customFormat="1">
      <c r="A27" s="394"/>
      <c r="B27" s="56" t="s">
        <v>1140</v>
      </c>
      <c r="C27" s="56" t="s">
        <v>847</v>
      </c>
      <c r="D27" s="459" t="s">
        <v>980</v>
      </c>
      <c r="E27" s="56"/>
      <c r="F27" s="56"/>
      <c r="G27" s="56"/>
      <c r="H27" s="56"/>
      <c r="K27" s="769" t="s">
        <v>1065</v>
      </c>
      <c r="L27" s="769" t="s">
        <v>1066</v>
      </c>
    </row>
    <row r="28" spans="1:12" s="24" customFormat="1">
      <c r="A28" s="394"/>
      <c r="B28" s="56" t="s">
        <v>743</v>
      </c>
      <c r="C28" s="56" t="s">
        <v>846</v>
      </c>
      <c r="D28" s="394" t="s">
        <v>88</v>
      </c>
      <c r="E28" s="56"/>
      <c r="F28" s="56"/>
      <c r="G28" s="56"/>
      <c r="H28" s="56"/>
      <c r="K28" s="768" t="s">
        <v>24</v>
      </c>
      <c r="L28" s="768"/>
    </row>
    <row r="29" spans="1:12" s="24" customFormat="1">
      <c r="A29" s="459"/>
      <c r="B29" s="459" t="s">
        <v>212</v>
      </c>
      <c r="C29" s="459" t="s">
        <v>845</v>
      </c>
      <c r="D29" s="459" t="s">
        <v>88</v>
      </c>
      <c r="E29" s="56"/>
      <c r="F29" s="56"/>
      <c r="G29" s="56"/>
      <c r="H29" s="56"/>
      <c r="K29" s="769" t="s">
        <v>1141</v>
      </c>
      <c r="L29" s="769" t="s">
        <v>1067</v>
      </c>
    </row>
    <row r="30" spans="1:12" s="24" customFormat="1">
      <c r="A30" s="394"/>
      <c r="B30" s="394" t="s">
        <v>213</v>
      </c>
      <c r="C30" s="394" t="s">
        <v>844</v>
      </c>
      <c r="D30" s="394" t="s">
        <v>88</v>
      </c>
      <c r="E30" s="56"/>
      <c r="F30" s="56"/>
      <c r="G30" s="56"/>
      <c r="H30" s="56"/>
      <c r="J30" s="442"/>
      <c r="K30" s="769" t="s">
        <v>1142</v>
      </c>
      <c r="L30" s="769" t="s">
        <v>1068</v>
      </c>
    </row>
    <row r="31" spans="1:12" s="24" customFormat="1" ht="15" thickBot="1">
      <c r="A31" s="394"/>
      <c r="B31" s="394" t="s">
        <v>751</v>
      </c>
      <c r="C31" s="394" t="s">
        <v>843</v>
      </c>
      <c r="D31" s="394" t="s">
        <v>88</v>
      </c>
      <c r="E31" s="56"/>
      <c r="F31" s="56"/>
      <c r="G31" s="56"/>
      <c r="H31" s="56"/>
      <c r="J31" s="442"/>
      <c r="K31" s="769" t="s">
        <v>1069</v>
      </c>
      <c r="L31" s="769" t="s">
        <v>1070</v>
      </c>
    </row>
    <row r="32" spans="1:12" s="24" customFormat="1" ht="15" thickBot="1">
      <c r="A32" s="393"/>
      <c r="B32" s="393" t="s">
        <v>752</v>
      </c>
      <c r="C32" s="393" t="s">
        <v>842</v>
      </c>
      <c r="D32" s="393" t="s">
        <v>88</v>
      </c>
      <c r="E32" s="428"/>
      <c r="F32" s="428"/>
      <c r="G32" s="428"/>
      <c r="H32" s="428"/>
      <c r="J32" s="442"/>
      <c r="K32" s="770" t="s">
        <v>669</v>
      </c>
      <c r="L32" s="770"/>
    </row>
    <row r="33" spans="1:14" s="24" customFormat="1">
      <c r="A33" s="394" t="s">
        <v>102</v>
      </c>
      <c r="B33" s="29" t="s">
        <v>97</v>
      </c>
      <c r="C33" s="56" t="s">
        <v>228</v>
      </c>
      <c r="D33" s="394" t="s">
        <v>106</v>
      </c>
      <c r="E33" s="56"/>
      <c r="F33" s="56"/>
      <c r="G33" s="56"/>
      <c r="H33" s="56"/>
      <c r="J33" s="442"/>
      <c r="K33" s="768" t="s">
        <v>711</v>
      </c>
      <c r="L33" s="768"/>
    </row>
    <row r="34" spans="1:14" s="24" customFormat="1">
      <c r="A34" s="394"/>
      <c r="B34" s="29" t="s">
        <v>98</v>
      </c>
      <c r="C34" s="56" t="s">
        <v>103</v>
      </c>
      <c r="D34" s="394" t="s">
        <v>106</v>
      </c>
      <c r="E34" s="56"/>
      <c r="F34" s="56"/>
      <c r="G34" s="56"/>
      <c r="H34" s="56"/>
      <c r="J34" s="442"/>
      <c r="K34" s="769" t="s">
        <v>1071</v>
      </c>
      <c r="L34" s="769" t="s">
        <v>1072</v>
      </c>
    </row>
    <row r="35" spans="1:14">
      <c r="A35" s="394"/>
      <c r="B35" s="29" t="s">
        <v>99</v>
      </c>
      <c r="C35" s="56" t="s">
        <v>104</v>
      </c>
      <c r="D35" s="394" t="s">
        <v>106</v>
      </c>
      <c r="E35" s="56"/>
      <c r="F35" s="56"/>
      <c r="G35" s="56"/>
      <c r="H35" s="56"/>
      <c r="I35" s="24"/>
      <c r="J35" s="442"/>
      <c r="K35" s="769" t="s">
        <v>1129</v>
      </c>
      <c r="L35" s="769" t="s">
        <v>1128</v>
      </c>
    </row>
    <row r="36" spans="1:14" s="24" customFormat="1">
      <c r="A36" s="394"/>
      <c r="B36" s="29" t="s">
        <v>100</v>
      </c>
      <c r="C36" s="56" t="s">
        <v>105</v>
      </c>
      <c r="D36" s="394" t="s">
        <v>106</v>
      </c>
      <c r="E36" s="56"/>
      <c r="F36" s="56"/>
      <c r="G36" s="56"/>
      <c r="H36" s="56"/>
      <c r="I36"/>
      <c r="J36" s="442"/>
      <c r="K36" s="769" t="s">
        <v>1130</v>
      </c>
      <c r="L36" s="769" t="s">
        <v>1131</v>
      </c>
    </row>
    <row r="37" spans="1:14" s="24" customFormat="1">
      <c r="A37" s="394"/>
      <c r="B37" s="56" t="s">
        <v>110</v>
      </c>
      <c r="C37" s="56" t="s">
        <v>217</v>
      </c>
      <c r="D37" s="394" t="s">
        <v>106</v>
      </c>
      <c r="E37" s="56"/>
      <c r="F37" s="56"/>
      <c r="G37" s="56"/>
      <c r="H37" s="56"/>
      <c r="J37" s="442"/>
      <c r="K37" s="769" t="s">
        <v>1073</v>
      </c>
      <c r="L37" s="769" t="s">
        <v>1074</v>
      </c>
    </row>
    <row r="38" spans="1:14" ht="15" thickBot="1">
      <c r="A38" s="429"/>
      <c r="B38" s="430" t="s">
        <v>111</v>
      </c>
      <c r="C38" s="430" t="s">
        <v>218</v>
      </c>
      <c r="D38" s="429" t="s">
        <v>106</v>
      </c>
      <c r="E38" s="430"/>
      <c r="F38" s="430"/>
      <c r="G38" s="430"/>
      <c r="H38" s="430"/>
      <c r="K38" s="769" t="s">
        <v>1075</v>
      </c>
      <c r="L38" s="769" t="s">
        <v>1076</v>
      </c>
    </row>
    <row r="39" spans="1:14" ht="15" thickBot="1">
      <c r="A39" s="1"/>
      <c r="B39" s="636"/>
      <c r="C39" s="636"/>
      <c r="D39" s="1"/>
      <c r="E39" s="636"/>
      <c r="F39" s="636"/>
      <c r="G39" s="636"/>
      <c r="H39" s="636"/>
      <c r="K39" s="770" t="s">
        <v>1077</v>
      </c>
      <c r="L39" s="770"/>
    </row>
    <row r="40" spans="1:14">
      <c r="A40" s="572" t="s">
        <v>745</v>
      </c>
      <c r="G40" s="56"/>
      <c r="H40" s="56"/>
      <c r="K40" s="769" t="s">
        <v>1078</v>
      </c>
      <c r="L40" s="769" t="s">
        <v>1079</v>
      </c>
    </row>
    <row r="41" spans="1:14">
      <c r="A41" s="572" t="s">
        <v>746</v>
      </c>
      <c r="G41" s="459"/>
      <c r="H41" s="459"/>
      <c r="K41" s="769" t="s">
        <v>1080</v>
      </c>
      <c r="L41" s="769" t="s">
        <v>1081</v>
      </c>
    </row>
    <row r="42" spans="1:14" ht="15" thickBot="1">
      <c r="A42" s="572" t="s">
        <v>744</v>
      </c>
      <c r="G42" s="459"/>
      <c r="H42" s="459"/>
      <c r="K42" s="769" t="s">
        <v>1082</v>
      </c>
      <c r="L42" s="769" t="s">
        <v>1083</v>
      </c>
    </row>
    <row r="43" spans="1:14" ht="15" thickBot="1">
      <c r="A43" s="572" t="s">
        <v>747</v>
      </c>
      <c r="G43" s="459"/>
      <c r="H43" s="459"/>
      <c r="K43" s="770" t="s">
        <v>95</v>
      </c>
      <c r="L43" s="770"/>
    </row>
    <row r="44" spans="1:14">
      <c r="K44" s="769" t="s">
        <v>1084</v>
      </c>
      <c r="L44" s="769" t="s">
        <v>1085</v>
      </c>
      <c r="M44" s="459"/>
      <c r="N44" s="459"/>
    </row>
    <row r="45" spans="1:14" s="459" customFormat="1" ht="15" thickBot="1">
      <c r="K45" s="771" t="s">
        <v>1086</v>
      </c>
      <c r="L45" s="771"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zoomScale="70" zoomScaleNormal="70" workbookViewId="0">
      <selection activeCell="D18" sqref="D18"/>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1088</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1-J55</f>
        <v>0.9548414346182118</v>
      </c>
      <c r="J5" s="730">
        <f>1-L55</f>
        <v>0.95</v>
      </c>
      <c r="K5" s="730">
        <f>1-V55</f>
        <v>0.9</v>
      </c>
      <c r="L5" s="730">
        <f>1-AF55</f>
        <v>0.9</v>
      </c>
      <c r="M5" s="730">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1-J56</f>
        <v>0.95912212653292017</v>
      </c>
      <c r="J8" s="732">
        <f>1-L56</f>
        <v>0.94884746867213698</v>
      </c>
      <c r="K8" s="732">
        <f>1-V56</f>
        <v>0.9</v>
      </c>
      <c r="L8" s="732">
        <f>1-AG56</f>
        <v>0.9</v>
      </c>
      <c r="M8" s="732">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Commodities!B13</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Commodities!B14</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1" t="str">
        <f>P9</f>
        <v>TRABJK_BLD</v>
      </c>
      <c r="D17" s="731" t="str">
        <f>Commodities!B18</f>
        <v>TRAKER</v>
      </c>
      <c r="E17" s="731"/>
      <c r="F17" s="56" t="s">
        <v>1013</v>
      </c>
      <c r="G17" s="731">
        <v>1</v>
      </c>
      <c r="H17" s="731">
        <v>5</v>
      </c>
      <c r="I17" s="733">
        <v>1</v>
      </c>
      <c r="J17" s="733">
        <v>0.99</v>
      </c>
      <c r="K17" s="733">
        <v>0.5</v>
      </c>
      <c r="L17" s="733">
        <v>0.3</v>
      </c>
      <c r="M17" s="733">
        <v>0.1</v>
      </c>
    </row>
    <row r="18" spans="1:19" s="714" customFormat="1">
      <c r="C18" s="56"/>
      <c r="D18" s="56" t="str">
        <f>Commodities!B12</f>
        <v>TRABJK</v>
      </c>
      <c r="E18" s="56"/>
      <c r="F18" s="56" t="s">
        <v>1013</v>
      </c>
      <c r="G18" s="56"/>
      <c r="H18" s="56">
        <v>5</v>
      </c>
      <c r="I18" s="764">
        <f>1-I17</f>
        <v>0</v>
      </c>
      <c r="J18" s="764">
        <f t="shared" ref="J18:M18" si="13">1-J17</f>
        <v>1.0000000000000009E-2</v>
      </c>
      <c r="K18" s="764">
        <f t="shared" si="13"/>
        <v>0.5</v>
      </c>
      <c r="L18" s="764">
        <f t="shared" si="13"/>
        <v>0.7</v>
      </c>
      <c r="M18" s="764">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4" t="s">
        <v>480</v>
      </c>
      <c r="B23" s="735"/>
      <c r="L23"/>
      <c r="M23" s="714"/>
      <c r="O23" s="714"/>
      <c r="P23" s="714"/>
      <c r="Q23" s="714"/>
      <c r="R23" s="714"/>
      <c r="S23" s="714"/>
    </row>
    <row r="24" spans="1:19">
      <c r="A24" s="736" t="s">
        <v>481</v>
      </c>
      <c r="B24" s="737" t="s">
        <v>482</v>
      </c>
      <c r="L24"/>
      <c r="M24" s="714"/>
      <c r="O24" s="714"/>
      <c r="P24" s="714"/>
      <c r="Q24" s="714"/>
      <c r="R24" s="714"/>
      <c r="S24" s="714"/>
    </row>
    <row r="25" spans="1:19">
      <c r="A25" s="738" t="s">
        <v>20</v>
      </c>
      <c r="B25" s="739">
        <v>1041376950</v>
      </c>
      <c r="L25"/>
      <c r="M25" s="714"/>
      <c r="O25" s="714"/>
      <c r="P25" s="714"/>
      <c r="Q25" s="714"/>
      <c r="R25" s="714"/>
      <c r="S25" s="714"/>
    </row>
    <row r="26" spans="1:19">
      <c r="A26" s="740" t="s">
        <v>483</v>
      </c>
      <c r="B26" s="739">
        <v>53868503</v>
      </c>
    </row>
    <row r="27" spans="1:19">
      <c r="A27" s="740" t="s">
        <v>19</v>
      </c>
      <c r="B27" s="741">
        <v>3392228806</v>
      </c>
    </row>
    <row r="28" spans="1:19">
      <c r="A28" s="740" t="s">
        <v>484</v>
      </c>
      <c r="B28" s="741">
        <v>162101602</v>
      </c>
    </row>
    <row r="29" spans="1:19">
      <c r="A29" s="742" t="s">
        <v>485</v>
      </c>
      <c r="B29" s="743"/>
    </row>
    <row r="30" spans="1:19">
      <c r="A30" s="743"/>
      <c r="B30" s="743"/>
    </row>
    <row r="31" spans="1:19">
      <c r="A31" s="743"/>
      <c r="B31" s="743"/>
    </row>
    <row r="32" spans="1:19">
      <c r="A32" s="734" t="s">
        <v>486</v>
      </c>
      <c r="B32" s="735"/>
    </row>
    <row r="33" spans="1:2">
      <c r="A33" s="736" t="s">
        <v>481</v>
      </c>
      <c r="B33" s="737" t="s">
        <v>486</v>
      </c>
    </row>
    <row r="34" spans="1:2">
      <c r="A34" s="738" t="s">
        <v>20</v>
      </c>
      <c r="B34" s="739">
        <v>35</v>
      </c>
    </row>
    <row r="35" spans="1:2">
      <c r="A35" s="740" t="s">
        <v>483</v>
      </c>
      <c r="B35" s="739">
        <v>32</v>
      </c>
    </row>
    <row r="36" spans="1:2">
      <c r="A36" s="740" t="s">
        <v>19</v>
      </c>
      <c r="B36" s="741">
        <v>37</v>
      </c>
    </row>
    <row r="37" spans="1:2">
      <c r="A37" s="740" t="s">
        <v>484</v>
      </c>
      <c r="B37" s="741">
        <v>33</v>
      </c>
    </row>
    <row r="38" spans="1:2">
      <c r="A38" s="743"/>
      <c r="B38" s="743"/>
    </row>
    <row r="39" spans="1:2">
      <c r="A39" s="743"/>
      <c r="B39" s="743"/>
    </row>
    <row r="40" spans="1:2">
      <c r="A40" s="734" t="s">
        <v>487</v>
      </c>
      <c r="B40" s="735"/>
    </row>
    <row r="41" spans="1:2">
      <c r="A41" s="736" t="s">
        <v>481</v>
      </c>
      <c r="B41" s="737" t="s">
        <v>488</v>
      </c>
    </row>
    <row r="42" spans="1:2">
      <c r="A42" s="738" t="s">
        <v>20</v>
      </c>
      <c r="B42" s="744">
        <f>(B25*B34)/((B25*B34)+(B26*B35))</f>
        <v>0.9548414346182118</v>
      </c>
    </row>
    <row r="43" spans="1:2">
      <c r="A43" s="740" t="s">
        <v>483</v>
      </c>
      <c r="B43" s="744">
        <f>(B26*B35)/((B25*B34)+(B26*B35))</f>
        <v>4.5158565381788147E-2</v>
      </c>
    </row>
    <row r="44" spans="1:2">
      <c r="A44" s="740" t="s">
        <v>19</v>
      </c>
      <c r="B44" s="744">
        <f>(B27*B36)/((B27*B36)+(B28*B37))</f>
        <v>0.95912212653292017</v>
      </c>
    </row>
    <row r="45" spans="1:2">
      <c r="A45" s="740" t="s">
        <v>484</v>
      </c>
      <c r="B45" s="744">
        <f>(B28*B37)/((B27*B36)+(B28*B37))</f>
        <v>4.087787346707978E-2</v>
      </c>
    </row>
    <row r="49" spans="1:42" ht="15" thickBot="1">
      <c r="A49" s="714" t="s">
        <v>1003</v>
      </c>
    </row>
    <row r="50" spans="1:42">
      <c r="A50" s="750" t="s">
        <v>998</v>
      </c>
      <c r="B50" s="751">
        <v>2010</v>
      </c>
      <c r="C50" s="751">
        <v>2011</v>
      </c>
      <c r="D50" s="751">
        <v>2012</v>
      </c>
      <c r="E50" s="751">
        <v>2013</v>
      </c>
      <c r="F50" s="751">
        <v>2014</v>
      </c>
      <c r="G50" s="751">
        <v>2015</v>
      </c>
      <c r="H50" s="751">
        <v>2016</v>
      </c>
      <c r="I50" s="751">
        <v>2017</v>
      </c>
      <c r="J50" s="751">
        <v>2018</v>
      </c>
      <c r="K50" s="751">
        <v>2019</v>
      </c>
      <c r="L50" s="751">
        <v>2020</v>
      </c>
      <c r="M50" s="751">
        <v>2021</v>
      </c>
      <c r="N50" s="751">
        <v>2022</v>
      </c>
      <c r="O50" s="751">
        <v>2023</v>
      </c>
      <c r="P50" s="751">
        <v>2024</v>
      </c>
      <c r="Q50" s="751">
        <v>2025</v>
      </c>
      <c r="R50" s="751">
        <v>2026</v>
      </c>
      <c r="S50" s="751">
        <v>2027</v>
      </c>
      <c r="T50" s="751">
        <v>2028</v>
      </c>
      <c r="U50" s="751">
        <v>2029</v>
      </c>
      <c r="V50" s="751">
        <v>2030</v>
      </c>
      <c r="W50" s="751">
        <v>2031</v>
      </c>
      <c r="X50" s="751">
        <v>2032</v>
      </c>
      <c r="Y50" s="751">
        <v>2033</v>
      </c>
      <c r="Z50" s="751">
        <v>2034</v>
      </c>
      <c r="AA50" s="751">
        <v>2035</v>
      </c>
      <c r="AB50" s="751">
        <v>2036</v>
      </c>
      <c r="AC50" s="751">
        <v>2037</v>
      </c>
      <c r="AD50" s="751">
        <v>2038</v>
      </c>
      <c r="AE50" s="751">
        <v>2039</v>
      </c>
      <c r="AF50" s="751">
        <v>2040</v>
      </c>
      <c r="AG50" s="751">
        <v>2041</v>
      </c>
      <c r="AH50" s="751">
        <v>2042</v>
      </c>
      <c r="AI50" s="751">
        <v>2043</v>
      </c>
      <c r="AJ50" s="751">
        <v>2044</v>
      </c>
      <c r="AK50" s="751">
        <v>2045</v>
      </c>
      <c r="AL50" s="751">
        <v>2046</v>
      </c>
      <c r="AM50" s="751">
        <v>2047</v>
      </c>
      <c r="AN50" s="751">
        <v>2048</v>
      </c>
      <c r="AO50" s="751">
        <v>2049</v>
      </c>
      <c r="AP50" s="755">
        <v>2050</v>
      </c>
    </row>
    <row r="51" spans="1:42">
      <c r="A51" s="746" t="s">
        <v>18</v>
      </c>
      <c r="B51" s="756">
        <v>1919438353</v>
      </c>
      <c r="C51" s="756">
        <v>1770757195</v>
      </c>
      <c r="D51" s="756">
        <v>1624514247</v>
      </c>
      <c r="E51" s="756">
        <v>1517484617</v>
      </c>
      <c r="F51" s="757">
        <v>1437055035</v>
      </c>
      <c r="G51" s="757">
        <v>1362450472</v>
      </c>
      <c r="H51" s="757">
        <v>1272730975</v>
      </c>
      <c r="I51" s="757">
        <v>1146348261</v>
      </c>
      <c r="J51" s="757">
        <v>1041376950</v>
      </c>
      <c r="K51" s="757">
        <v>989982198</v>
      </c>
      <c r="L51" s="758" t="s">
        <v>17</v>
      </c>
      <c r="M51" s="758" t="s">
        <v>17</v>
      </c>
      <c r="N51" s="758" t="s">
        <v>17</v>
      </c>
      <c r="O51" s="758" t="s">
        <v>17</v>
      </c>
      <c r="P51" s="758" t="s">
        <v>17</v>
      </c>
      <c r="Q51" s="758" t="s">
        <v>17</v>
      </c>
      <c r="R51" s="758" t="s">
        <v>17</v>
      </c>
      <c r="S51" s="758" t="s">
        <v>17</v>
      </c>
      <c r="T51" s="758" t="s">
        <v>17</v>
      </c>
      <c r="U51" s="758" t="s">
        <v>17</v>
      </c>
      <c r="V51" s="758" t="s">
        <v>17</v>
      </c>
      <c r="W51" s="758" t="s">
        <v>17</v>
      </c>
      <c r="X51" s="758" t="s">
        <v>17</v>
      </c>
      <c r="Y51" s="758" t="s">
        <v>17</v>
      </c>
      <c r="Z51" s="758" t="s">
        <v>17</v>
      </c>
      <c r="AA51" s="758" t="s">
        <v>17</v>
      </c>
      <c r="AB51" s="758" t="s">
        <v>17</v>
      </c>
      <c r="AC51" s="758" t="s">
        <v>17</v>
      </c>
      <c r="AD51" s="758" t="s">
        <v>17</v>
      </c>
      <c r="AE51" s="758" t="s">
        <v>17</v>
      </c>
      <c r="AF51" s="758" t="s">
        <v>17</v>
      </c>
      <c r="AG51" s="758" t="s">
        <v>17</v>
      </c>
      <c r="AH51" s="758" t="s">
        <v>17</v>
      </c>
      <c r="AI51" s="758" t="s">
        <v>17</v>
      </c>
      <c r="AJ51" s="758" t="s">
        <v>17</v>
      </c>
      <c r="AK51" s="758" t="s">
        <v>17</v>
      </c>
      <c r="AL51" s="758" t="s">
        <v>17</v>
      </c>
      <c r="AM51" s="758" t="s">
        <v>17</v>
      </c>
      <c r="AN51" s="758" t="s">
        <v>17</v>
      </c>
      <c r="AO51" s="758" t="s">
        <v>17</v>
      </c>
      <c r="AP51" s="747" t="s">
        <v>17</v>
      </c>
    </row>
    <row r="52" spans="1:42">
      <c r="A52" s="746" t="s">
        <v>999</v>
      </c>
      <c r="B52" s="756">
        <v>32285257</v>
      </c>
      <c r="C52" s="756">
        <v>57428620</v>
      </c>
      <c r="D52" s="756">
        <v>55648948</v>
      </c>
      <c r="E52" s="756">
        <v>56388985</v>
      </c>
      <c r="F52" s="757">
        <v>52569970</v>
      </c>
      <c r="G52" s="757">
        <v>58834520</v>
      </c>
      <c r="H52" s="757">
        <v>63084385</v>
      </c>
      <c r="I52" s="757">
        <v>58476031</v>
      </c>
      <c r="J52" s="757">
        <v>53868503</v>
      </c>
      <c r="K52" s="757">
        <v>51730645</v>
      </c>
      <c r="L52" s="758"/>
      <c r="M52" s="758"/>
      <c r="N52" s="758"/>
      <c r="O52" s="758"/>
      <c r="P52" s="758"/>
      <c r="Q52" s="758"/>
      <c r="R52" s="758"/>
      <c r="S52" s="758"/>
      <c r="T52" s="758"/>
      <c r="U52" s="758"/>
      <c r="V52" s="758"/>
      <c r="W52" s="758"/>
      <c r="X52" s="758"/>
      <c r="Y52" s="758"/>
      <c r="Z52" s="758"/>
      <c r="AA52" s="758"/>
      <c r="AB52" s="758"/>
      <c r="AC52" s="758"/>
      <c r="AD52" s="758"/>
      <c r="AE52" s="758"/>
      <c r="AF52" s="758"/>
      <c r="AG52" s="758"/>
      <c r="AH52" s="758"/>
      <c r="AI52" s="758"/>
      <c r="AJ52" s="758"/>
      <c r="AK52" s="758"/>
      <c r="AL52" s="758"/>
      <c r="AM52" s="758"/>
      <c r="AN52" s="758"/>
      <c r="AO52" s="758"/>
      <c r="AP52" s="747"/>
    </row>
    <row r="53" spans="1:42">
      <c r="A53" s="746" t="s">
        <v>19</v>
      </c>
      <c r="B53" s="756">
        <v>2487370477</v>
      </c>
      <c r="C53" s="756">
        <v>2454495889</v>
      </c>
      <c r="D53" s="756">
        <v>2441127259</v>
      </c>
      <c r="E53" s="756">
        <v>2548493422</v>
      </c>
      <c r="F53" s="757">
        <v>2706015956</v>
      </c>
      <c r="G53" s="757">
        <v>2952899074</v>
      </c>
      <c r="H53" s="757">
        <v>3187676279</v>
      </c>
      <c r="I53" s="757">
        <v>3242587996</v>
      </c>
      <c r="J53" s="757">
        <v>3392228806</v>
      </c>
      <c r="K53" s="757">
        <v>3419565001</v>
      </c>
      <c r="L53" s="758" t="s">
        <v>17</v>
      </c>
      <c r="M53" s="758" t="s">
        <v>17</v>
      </c>
      <c r="N53" s="758" t="s">
        <v>17</v>
      </c>
      <c r="O53" s="758" t="s">
        <v>17</v>
      </c>
      <c r="P53" s="758" t="s">
        <v>17</v>
      </c>
      <c r="Q53" s="758" t="s">
        <v>17</v>
      </c>
      <c r="R53" s="758" t="s">
        <v>17</v>
      </c>
      <c r="S53" s="758" t="s">
        <v>17</v>
      </c>
      <c r="T53" s="758" t="s">
        <v>17</v>
      </c>
      <c r="U53" s="758" t="s">
        <v>17</v>
      </c>
      <c r="V53" s="758" t="s">
        <v>17</v>
      </c>
      <c r="W53" s="758" t="s">
        <v>17</v>
      </c>
      <c r="X53" s="758" t="s">
        <v>17</v>
      </c>
      <c r="Y53" s="758" t="s">
        <v>17</v>
      </c>
      <c r="Z53" s="758" t="s">
        <v>17</v>
      </c>
      <c r="AA53" s="758" t="s">
        <v>17</v>
      </c>
      <c r="AB53" s="758" t="s">
        <v>17</v>
      </c>
      <c r="AC53" s="758" t="s">
        <v>17</v>
      </c>
      <c r="AD53" s="758" t="s">
        <v>17</v>
      </c>
      <c r="AE53" s="758" t="s">
        <v>17</v>
      </c>
      <c r="AF53" s="758" t="s">
        <v>17</v>
      </c>
      <c r="AG53" s="758" t="s">
        <v>17</v>
      </c>
      <c r="AH53" s="758" t="s">
        <v>17</v>
      </c>
      <c r="AI53" s="758" t="s">
        <v>17</v>
      </c>
      <c r="AJ53" s="758" t="s">
        <v>17</v>
      </c>
      <c r="AK53" s="758" t="s">
        <v>17</v>
      </c>
      <c r="AL53" s="758" t="s">
        <v>17</v>
      </c>
      <c r="AM53" s="758" t="s">
        <v>17</v>
      </c>
      <c r="AN53" s="758" t="s">
        <v>17</v>
      </c>
      <c r="AO53" s="758" t="s">
        <v>17</v>
      </c>
      <c r="AP53" s="747" t="s">
        <v>17</v>
      </c>
    </row>
    <row r="54" spans="1:42">
      <c r="A54" s="746" t="s">
        <v>1000</v>
      </c>
      <c r="B54" s="756">
        <v>64523884</v>
      </c>
      <c r="C54" s="756">
        <v>86912448</v>
      </c>
      <c r="D54" s="756">
        <v>70292126</v>
      </c>
      <c r="E54" s="756">
        <v>93969733</v>
      </c>
      <c r="F54" s="757">
        <v>114350795</v>
      </c>
      <c r="G54" s="757">
        <v>124868316</v>
      </c>
      <c r="H54" s="757">
        <v>109734839</v>
      </c>
      <c r="I54" s="757">
        <v>167296383</v>
      </c>
      <c r="J54" s="757">
        <v>162101602</v>
      </c>
      <c r="K54" s="757">
        <v>206694716</v>
      </c>
      <c r="L54" s="758" t="s">
        <v>17</v>
      </c>
      <c r="M54" s="758" t="s">
        <v>17</v>
      </c>
      <c r="N54" s="758" t="s">
        <v>17</v>
      </c>
      <c r="O54" s="758" t="s">
        <v>17</v>
      </c>
      <c r="P54" s="758" t="s">
        <v>17</v>
      </c>
      <c r="Q54" s="758" t="s">
        <v>17</v>
      </c>
      <c r="R54" s="758" t="s">
        <v>17</v>
      </c>
      <c r="S54" s="758" t="s">
        <v>17</v>
      </c>
      <c r="T54" s="758" t="s">
        <v>17</v>
      </c>
      <c r="U54" s="758" t="s">
        <v>17</v>
      </c>
      <c r="V54" s="758" t="s">
        <v>17</v>
      </c>
      <c r="W54" s="758" t="s">
        <v>17</v>
      </c>
      <c r="X54" s="758" t="s">
        <v>17</v>
      </c>
      <c r="Y54" s="758" t="s">
        <v>17</v>
      </c>
      <c r="Z54" s="758" t="s">
        <v>17</v>
      </c>
      <c r="AA54" s="758" t="s">
        <v>17</v>
      </c>
      <c r="AB54" s="758" t="s">
        <v>17</v>
      </c>
      <c r="AC54" s="758" t="s">
        <v>17</v>
      </c>
      <c r="AD54" s="758" t="s">
        <v>17</v>
      </c>
      <c r="AE54" s="758" t="s">
        <v>17</v>
      </c>
      <c r="AF54" s="758" t="s">
        <v>17</v>
      </c>
      <c r="AG54" s="758" t="s">
        <v>17</v>
      </c>
      <c r="AH54" s="758" t="s">
        <v>17</v>
      </c>
      <c r="AI54" s="758" t="s">
        <v>17</v>
      </c>
      <c r="AJ54" s="758" t="s">
        <v>17</v>
      </c>
      <c r="AK54" s="758" t="s">
        <v>17</v>
      </c>
      <c r="AL54" s="758" t="s">
        <v>17</v>
      </c>
      <c r="AM54" s="758" t="s">
        <v>17</v>
      </c>
      <c r="AN54" s="758" t="s">
        <v>17</v>
      </c>
      <c r="AO54" s="758" t="s">
        <v>17</v>
      </c>
      <c r="AP54" s="747" t="s">
        <v>17</v>
      </c>
    </row>
    <row r="55" spans="1:42">
      <c r="A55" s="746"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3">
        <f>AO55</f>
        <v>0.1</v>
      </c>
    </row>
    <row r="56" spans="1:42" ht="15" thickBot="1">
      <c r="A56" s="748" t="s">
        <v>1002</v>
      </c>
      <c r="B56" s="749">
        <f>(B54*$B$37)/((B53*$B$36)+(B54*$B$37))</f>
        <v>2.2613031440494664E-2</v>
      </c>
      <c r="C56" s="749">
        <f>(C54*$B$37)/((C53*$B$36)+(C54*$B$37))</f>
        <v>3.0614584580015675E-2</v>
      </c>
      <c r="D56" s="749">
        <f t="shared" ref="D56:K56" si="18">(D54*$B$37)/((D53*$B$36)+(D54*$B$37))</f>
        <v>2.5038929047601442E-2</v>
      </c>
      <c r="E56" s="749">
        <f t="shared" si="18"/>
        <v>3.1839344737629331E-2</v>
      </c>
      <c r="F56" s="749">
        <f t="shared" si="18"/>
        <v>3.6320649339008006E-2</v>
      </c>
      <c r="G56" s="749">
        <f t="shared" si="18"/>
        <v>3.6344417166647852E-2</v>
      </c>
      <c r="H56" s="749">
        <f t="shared" si="18"/>
        <v>2.9788521237398415E-2</v>
      </c>
      <c r="I56" s="749">
        <f t="shared" si="18"/>
        <v>4.3991498039437318E-2</v>
      </c>
      <c r="J56" s="749">
        <f t="shared" si="18"/>
        <v>4.087787346707978E-2</v>
      </c>
      <c r="K56" s="749">
        <f t="shared" si="18"/>
        <v>5.1152531327863002E-2</v>
      </c>
      <c r="L56" s="749">
        <f>K56</f>
        <v>5.1152531327863002E-2</v>
      </c>
      <c r="M56" s="749">
        <f>L56+(($V$56-$L$56)/10)</f>
        <v>5.6037278195076701E-2</v>
      </c>
      <c r="N56" s="749">
        <f t="shared" ref="N56:U56" si="19">M56+(($V$56-$L$56)/10)</f>
        <v>6.09220250622904E-2</v>
      </c>
      <c r="O56" s="749">
        <f t="shared" si="19"/>
        <v>6.5806771929504099E-2</v>
      </c>
      <c r="P56" s="749">
        <f t="shared" si="19"/>
        <v>7.0691518796717798E-2</v>
      </c>
      <c r="Q56" s="749">
        <f t="shared" si="19"/>
        <v>7.5576265663931497E-2</v>
      </c>
      <c r="R56" s="749">
        <f t="shared" si="19"/>
        <v>8.0461012531145196E-2</v>
      </c>
      <c r="S56" s="749">
        <f t="shared" si="19"/>
        <v>8.5345759398358895E-2</v>
      </c>
      <c r="T56" s="749">
        <f t="shared" si="19"/>
        <v>9.0230506265572594E-2</v>
      </c>
      <c r="U56" s="749">
        <f t="shared" si="19"/>
        <v>9.5115253132786293E-2</v>
      </c>
      <c r="V56" s="759">
        <v>0.1</v>
      </c>
      <c r="W56" s="749">
        <f t="shared" ref="W56:AP56" si="20">V56</f>
        <v>0.1</v>
      </c>
      <c r="X56" s="749">
        <f t="shared" si="20"/>
        <v>0.1</v>
      </c>
      <c r="Y56" s="749">
        <f t="shared" si="20"/>
        <v>0.1</v>
      </c>
      <c r="Z56" s="749">
        <f t="shared" si="20"/>
        <v>0.1</v>
      </c>
      <c r="AA56" s="749">
        <f t="shared" si="20"/>
        <v>0.1</v>
      </c>
      <c r="AB56" s="749">
        <f t="shared" si="20"/>
        <v>0.1</v>
      </c>
      <c r="AC56" s="749">
        <f t="shared" si="20"/>
        <v>0.1</v>
      </c>
      <c r="AD56" s="749">
        <f t="shared" si="20"/>
        <v>0.1</v>
      </c>
      <c r="AE56" s="749">
        <f t="shared" si="20"/>
        <v>0.1</v>
      </c>
      <c r="AF56" s="749">
        <f t="shared" si="20"/>
        <v>0.1</v>
      </c>
      <c r="AG56" s="749">
        <f t="shared" si="20"/>
        <v>0.1</v>
      </c>
      <c r="AH56" s="749">
        <f t="shared" si="20"/>
        <v>0.1</v>
      </c>
      <c r="AI56" s="749">
        <f t="shared" si="20"/>
        <v>0.1</v>
      </c>
      <c r="AJ56" s="749">
        <f t="shared" si="20"/>
        <v>0.1</v>
      </c>
      <c r="AK56" s="749">
        <f t="shared" si="20"/>
        <v>0.1</v>
      </c>
      <c r="AL56" s="749">
        <f t="shared" si="20"/>
        <v>0.1</v>
      </c>
      <c r="AM56" s="749">
        <f t="shared" si="20"/>
        <v>0.1</v>
      </c>
      <c r="AN56" s="749">
        <f t="shared" si="20"/>
        <v>0.1</v>
      </c>
      <c r="AO56" s="749">
        <f t="shared" si="20"/>
        <v>0.1</v>
      </c>
      <c r="AP56" s="754">
        <f t="shared" si="20"/>
        <v>0.1</v>
      </c>
    </row>
    <row r="57" spans="1:42">
      <c r="A57" s="742"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7" zoomScale="55" zoomScaleNormal="55" workbookViewId="0">
      <selection activeCell="E78" sqref="E78"/>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1099</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1104</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7">
        <f t="shared" ref="F74:F77" si="71">D189/1000</f>
        <v>0.01</v>
      </c>
      <c r="G74" s="807">
        <f t="shared" ref="G74:G77" si="72">E189/1000</f>
        <v>0.27800000000000002</v>
      </c>
      <c r="H74" s="807">
        <f t="shared" ref="H74:H77" si="73">F189/1000</f>
        <v>4.9000000000000002E-2</v>
      </c>
      <c r="I74" s="807">
        <f t="shared" ref="I74:I77" si="74">G189/1000</f>
        <v>1.4999999999999999E-2</v>
      </c>
      <c r="J74" s="807">
        <f t="shared" ref="J74:J77" si="75">H189/1000</f>
        <v>2.1000000000000001E-2</v>
      </c>
      <c r="K74" s="807">
        <f t="shared" ref="K74:K77" si="76">I189/1000</f>
        <v>8.0000000000000002E-3</v>
      </c>
      <c r="L74" s="807">
        <f t="shared" ref="L74:L77" si="77">J189/1000</f>
        <v>1.4999999999999999E-2</v>
      </c>
      <c r="M74" s="807">
        <f t="shared" ref="M74:M77" si="78">K189/1000</f>
        <v>2.1000000000000001E-2</v>
      </c>
      <c r="N74" s="807">
        <f t="shared" ref="N74:N77" si="79">L189/1000</f>
        <v>0.01</v>
      </c>
      <c r="O74" s="807">
        <f t="shared" ref="O74:O77" si="80">M189/1000</f>
        <v>1.4E-2</v>
      </c>
      <c r="P74" s="807">
        <f t="shared" ref="P74:P77" si="81">N189/1000</f>
        <v>2.8000000000000001E-2</v>
      </c>
      <c r="Q74" s="807">
        <f t="shared" ref="Q74:Q77" si="82">O189/1000</f>
        <v>4.5999999999999999E-2</v>
      </c>
      <c r="R74" s="807">
        <f t="shared" ref="R74:R77" si="83">P189/1000</f>
        <v>1.6E-2</v>
      </c>
      <c r="S74" s="807">
        <f t="shared" ref="S74:S77" si="84">Q189/1000</f>
        <v>0.13100000000000001</v>
      </c>
      <c r="T74" s="807">
        <f t="shared" ref="T74:T77" si="85">R189/1000</f>
        <v>2.1000000000000001E-2</v>
      </c>
      <c r="U74" s="807">
        <f t="shared" ref="U74:U77" si="86">S189/1000</f>
        <v>1.4E-2</v>
      </c>
      <c r="V74" s="807">
        <f t="shared" ref="V74:V77" si="87">T189/1000</f>
        <v>2.7E-2</v>
      </c>
      <c r="W74" s="807">
        <f t="shared" ref="W74:W77" si="88">U189/1000</f>
        <v>0.03</v>
      </c>
      <c r="X74" s="807">
        <f t="shared" ref="X74:X77" si="89">V189/1000</f>
        <v>4.3999999999999997E-2</v>
      </c>
      <c r="Y74" s="807">
        <f t="shared" ref="Y74:Y77" si="90">W189/1000</f>
        <v>2E-3</v>
      </c>
      <c r="Z74" s="807">
        <f t="shared" ref="Z74:Z77" si="91">X189/1000</f>
        <v>1.9E-2</v>
      </c>
      <c r="AA74" s="807">
        <f t="shared" ref="AA74:AA77" si="92">Y189/1000</f>
        <v>1.4E-2</v>
      </c>
      <c r="AB74" s="807">
        <f t="shared" ref="AB74:AB77" si="93">Z189/1000</f>
        <v>8.9999999999999993E-3</v>
      </c>
      <c r="AC74" s="807">
        <f t="shared" ref="AC74:AC77" si="94">AA189/1000</f>
        <v>7.0000000000000001E-3</v>
      </c>
      <c r="AD74" s="807">
        <f t="shared" ref="AD74:AD77" si="95">AB189/1000</f>
        <v>2.9000000000000001E-2</v>
      </c>
      <c r="AE74" s="807">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7">
        <f t="shared" si="71"/>
        <v>5.2619999999999996</v>
      </c>
      <c r="G75" s="807">
        <f t="shared" si="72"/>
        <v>67.396000000000001</v>
      </c>
      <c r="H75" s="807">
        <f t="shared" si="73"/>
        <v>14.377000000000001</v>
      </c>
      <c r="I75" s="807">
        <f t="shared" si="74"/>
        <v>7.2439999999999998</v>
      </c>
      <c r="J75" s="807">
        <f t="shared" si="75"/>
        <v>5.3410000000000002</v>
      </c>
      <c r="K75" s="807">
        <f t="shared" si="76"/>
        <v>3.5209999999999999</v>
      </c>
      <c r="L75" s="807">
        <f t="shared" si="77"/>
        <v>7.1390000000000002</v>
      </c>
      <c r="M75" s="807">
        <f t="shared" si="78"/>
        <v>12.86</v>
      </c>
      <c r="N75" s="807">
        <f t="shared" si="79"/>
        <v>6.0270000000000001</v>
      </c>
      <c r="O75" s="807">
        <f t="shared" si="80"/>
        <v>7.5810000000000004</v>
      </c>
      <c r="P75" s="807">
        <f t="shared" si="81"/>
        <v>12.180999999999999</v>
      </c>
      <c r="Q75" s="807">
        <f t="shared" si="82"/>
        <v>8.7870000000000008</v>
      </c>
      <c r="R75" s="807">
        <f t="shared" si="83"/>
        <v>8.8019999999999996</v>
      </c>
      <c r="S75" s="807">
        <f t="shared" si="84"/>
        <v>37.667000000000002</v>
      </c>
      <c r="T75" s="807">
        <f t="shared" si="85"/>
        <v>11.12</v>
      </c>
      <c r="U75" s="807">
        <f t="shared" si="86"/>
        <v>11.993</v>
      </c>
      <c r="V75" s="807">
        <f t="shared" si="87"/>
        <v>12.476000000000001</v>
      </c>
      <c r="W75" s="807">
        <f t="shared" si="88"/>
        <v>7.5670000000000002</v>
      </c>
      <c r="X75" s="807">
        <f t="shared" si="89"/>
        <v>18.739999999999998</v>
      </c>
      <c r="Y75" s="807">
        <f t="shared" si="90"/>
        <v>3.1930000000000001</v>
      </c>
      <c r="Z75" s="807">
        <f t="shared" si="91"/>
        <v>12.510999999999999</v>
      </c>
      <c r="AA75" s="807">
        <f t="shared" si="92"/>
        <v>5.8959999999999999</v>
      </c>
      <c r="AB75" s="807">
        <f t="shared" si="93"/>
        <v>5.6</v>
      </c>
      <c r="AC75" s="807">
        <f t="shared" si="94"/>
        <v>7.37</v>
      </c>
      <c r="AD75" s="807">
        <f t="shared" si="95"/>
        <v>13.568</v>
      </c>
      <c r="AE75" s="807">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1104</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7">
        <f t="shared" si="71"/>
        <v>0.14699999999999999</v>
      </c>
      <c r="G76" s="807">
        <f t="shared" si="72"/>
        <v>2.9660000000000002</v>
      </c>
      <c r="H76" s="807">
        <f t="shared" si="73"/>
        <v>0.55300000000000005</v>
      </c>
      <c r="I76" s="807">
        <f t="shared" si="74"/>
        <v>0.249</v>
      </c>
      <c r="J76" s="807">
        <f t="shared" si="75"/>
        <v>0.217</v>
      </c>
      <c r="K76" s="807">
        <f t="shared" si="76"/>
        <v>0.13400000000000001</v>
      </c>
      <c r="L76" s="807">
        <f t="shared" si="77"/>
        <v>0.372</v>
      </c>
      <c r="M76" s="807">
        <f t="shared" si="78"/>
        <v>0.47899999999999998</v>
      </c>
      <c r="N76" s="807">
        <f t="shared" si="79"/>
        <v>0.16600000000000001</v>
      </c>
      <c r="O76" s="807">
        <f t="shared" si="80"/>
        <v>0.19800000000000001</v>
      </c>
      <c r="P76" s="807">
        <f t="shared" si="81"/>
        <v>0.38900000000000001</v>
      </c>
      <c r="Q76" s="807">
        <f t="shared" si="82"/>
        <v>0.20699999999999999</v>
      </c>
      <c r="R76" s="807">
        <f t="shared" si="83"/>
        <v>0.22</v>
      </c>
      <c r="S76" s="807">
        <f t="shared" si="84"/>
        <v>1.167</v>
      </c>
      <c r="T76" s="807">
        <f t="shared" si="85"/>
        <v>0.26200000000000001</v>
      </c>
      <c r="U76" s="807">
        <f t="shared" si="86"/>
        <v>0.7</v>
      </c>
      <c r="V76" s="807">
        <f t="shared" si="87"/>
        <v>0.40899999999999997</v>
      </c>
      <c r="W76" s="807">
        <f t="shared" si="88"/>
        <v>0.20699999999999999</v>
      </c>
      <c r="X76" s="807">
        <f t="shared" si="89"/>
        <v>0.54700000000000004</v>
      </c>
      <c r="Y76" s="807">
        <f t="shared" si="90"/>
        <v>7.3999999999999996E-2</v>
      </c>
      <c r="Z76" s="807">
        <f t="shared" si="91"/>
        <v>0.26100000000000001</v>
      </c>
      <c r="AA76" s="807">
        <f t="shared" si="92"/>
        <v>0.14799999999999999</v>
      </c>
      <c r="AB76" s="807">
        <f t="shared" si="93"/>
        <v>0.20499999999999999</v>
      </c>
      <c r="AC76" s="807">
        <f t="shared" si="94"/>
        <v>0.184</v>
      </c>
      <c r="AD76" s="807">
        <f t="shared" si="95"/>
        <v>0.318</v>
      </c>
      <c r="AE76" s="807">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7">
        <f t="shared" si="71"/>
        <v>0.39</v>
      </c>
      <c r="G77" s="807">
        <f t="shared" si="72"/>
        <v>3.883</v>
      </c>
      <c r="H77" s="807">
        <f t="shared" si="73"/>
        <v>1.1120000000000001</v>
      </c>
      <c r="I77" s="807">
        <f t="shared" si="74"/>
        <v>0.71299999999999997</v>
      </c>
      <c r="J77" s="807">
        <f t="shared" si="75"/>
        <v>0.45500000000000002</v>
      </c>
      <c r="K77" s="807">
        <f t="shared" si="76"/>
        <v>0.27600000000000002</v>
      </c>
      <c r="L77" s="807">
        <f t="shared" si="77"/>
        <v>0.61699999999999999</v>
      </c>
      <c r="M77" s="807">
        <f t="shared" si="78"/>
        <v>1.4239999999999999</v>
      </c>
      <c r="N77" s="807">
        <f t="shared" si="79"/>
        <v>0.32300000000000001</v>
      </c>
      <c r="O77" s="807">
        <f t="shared" si="80"/>
        <v>0.316</v>
      </c>
      <c r="P77" s="807">
        <f t="shared" si="81"/>
        <v>1.39</v>
      </c>
      <c r="Q77" s="807">
        <f t="shared" si="82"/>
        <v>0.39600000000000002</v>
      </c>
      <c r="R77" s="807">
        <f t="shared" si="83"/>
        <v>0.39700000000000002</v>
      </c>
      <c r="S77" s="807">
        <f t="shared" si="84"/>
        <v>2.5579999999999998</v>
      </c>
      <c r="T77" s="807">
        <f t="shared" si="85"/>
        <v>0.51600000000000001</v>
      </c>
      <c r="U77" s="807">
        <f t="shared" si="86"/>
        <v>0.94099999999999995</v>
      </c>
      <c r="V77" s="807">
        <f t="shared" si="87"/>
        <v>1.05</v>
      </c>
      <c r="W77" s="807">
        <f t="shared" si="88"/>
        <v>0.35799999999999998</v>
      </c>
      <c r="X77" s="807">
        <f t="shared" si="89"/>
        <v>1.026</v>
      </c>
      <c r="Y77" s="807">
        <f t="shared" si="90"/>
        <v>0.13500000000000001</v>
      </c>
      <c r="Z77" s="807">
        <f t="shared" si="91"/>
        <v>0.56999999999999995</v>
      </c>
      <c r="AA77" s="807">
        <f t="shared" si="92"/>
        <v>0.32600000000000001</v>
      </c>
      <c r="AB77" s="807">
        <f t="shared" si="93"/>
        <v>0.23200000000000001</v>
      </c>
      <c r="AC77" s="807">
        <f t="shared" si="94"/>
        <v>0.48799999999999999</v>
      </c>
      <c r="AD77" s="807">
        <f t="shared" si="95"/>
        <v>0.72</v>
      </c>
      <c r="AE77" s="807">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1104</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5.6">
      <c r="A101" s="455" t="s">
        <v>666</v>
      </c>
      <c r="B101" s="573"/>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row>
    <row r="111" spans="1:61" s="459" customFormat="1">
      <c r="A111" s="127" t="str">
        <f t="shared" si="142"/>
        <v>T-CAR-HEV_GSL00</v>
      </c>
      <c r="B111" s="671">
        <v>15</v>
      </c>
    </row>
    <row r="112" spans="1:61" s="459" customFormat="1">
      <c r="A112" s="127" t="str">
        <f t="shared" si="142"/>
        <v>T-CAR-HEV_DST00</v>
      </c>
      <c r="B112" s="671">
        <v>15</v>
      </c>
    </row>
    <row r="113" spans="1:60" s="459" customFormat="1">
      <c r="A113" s="127" t="str">
        <f t="shared" si="142"/>
        <v>T-CAR-PHEV_GSL00</v>
      </c>
      <c r="B113" s="671">
        <v>15</v>
      </c>
    </row>
    <row r="114" spans="1:60" s="459" customFormat="1">
      <c r="A114" s="127" t="str">
        <f t="shared" si="142"/>
        <v>T-CAR-PHEV_DST00</v>
      </c>
      <c r="B114" s="671">
        <v>15</v>
      </c>
      <c r="AG114" s="714" t="s">
        <v>1092</v>
      </c>
    </row>
    <row r="115" spans="1:60" s="459" customFormat="1">
      <c r="A115" s="127" t="str">
        <f t="shared" si="142"/>
        <v>T-CAR-BEV_ELC00</v>
      </c>
      <c r="B115" s="671">
        <v>15</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T-LPT-BEV_ELC00</v>
      </c>
      <c r="B123" s="491">
        <v>30</v>
      </c>
    </row>
    <row r="124" spans="1:60" s="459" customFormat="1">
      <c r="A124" s="127" t="str">
        <f t="shared" si="142"/>
        <v>T-HPT-BEV_ELC00</v>
      </c>
      <c r="B124" s="491">
        <v>30</v>
      </c>
    </row>
    <row r="125" spans="1:60" s="459" customFormat="1">
      <c r="A125" s="127" t="str">
        <f t="shared" si="142"/>
        <v>T-HPT-ICE_DST00</v>
      </c>
      <c r="B125" s="491">
        <v>30</v>
      </c>
    </row>
    <row r="126" spans="1:60" s="459" customFormat="1" ht="15.6">
      <c r="A126" s="455" t="str">
        <f t="shared" si="142"/>
        <v>*Goods vehicle</v>
      </c>
      <c r="B126" s="638"/>
      <c r="AF126"/>
    </row>
    <row r="127" spans="1:60" s="459" customFormat="1">
      <c r="A127" s="127" t="str">
        <f t="shared" si="142"/>
        <v>T-LGT-ICE_GSL00</v>
      </c>
      <c r="B127" s="491">
        <v>20</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Commodities!B13</f>
        <v>TRACNG</v>
      </c>
      <c r="C149" s="28" t="s">
        <v>1014</v>
      </c>
      <c r="D149" s="760">
        <f>'EB2018'!Z55/'EB2018'!AM55</f>
        <v>4.2308762790135457E-2</v>
      </c>
      <c r="E149" s="761">
        <f>D149</f>
        <v>4.2308762790135457E-2</v>
      </c>
      <c r="F149" s="761">
        <f t="shared" ref="F149:AD149" si="152">E149</f>
        <v>4.2308762790135457E-2</v>
      </c>
      <c r="G149" s="761">
        <f t="shared" si="152"/>
        <v>4.2308762790135457E-2</v>
      </c>
      <c r="H149" s="761">
        <f t="shared" si="152"/>
        <v>4.2308762790135457E-2</v>
      </c>
      <c r="I149" s="761">
        <f t="shared" si="152"/>
        <v>4.2308762790135457E-2</v>
      </c>
      <c r="J149" s="761">
        <f t="shared" si="152"/>
        <v>4.2308762790135457E-2</v>
      </c>
      <c r="K149" s="761">
        <f t="shared" si="152"/>
        <v>4.2308762790135457E-2</v>
      </c>
      <c r="L149" s="761">
        <f t="shared" si="152"/>
        <v>4.2308762790135457E-2</v>
      </c>
      <c r="M149" s="761">
        <f t="shared" si="152"/>
        <v>4.2308762790135457E-2</v>
      </c>
      <c r="N149" s="761">
        <f t="shared" si="152"/>
        <v>4.2308762790135457E-2</v>
      </c>
      <c r="O149" s="761">
        <f t="shared" si="152"/>
        <v>4.2308762790135457E-2</v>
      </c>
      <c r="P149" s="761">
        <f t="shared" si="152"/>
        <v>4.2308762790135457E-2</v>
      </c>
      <c r="Q149" s="761">
        <f t="shared" si="152"/>
        <v>4.2308762790135457E-2</v>
      </c>
      <c r="R149" s="761">
        <f t="shared" si="152"/>
        <v>4.2308762790135457E-2</v>
      </c>
      <c r="S149" s="761">
        <f t="shared" si="152"/>
        <v>4.2308762790135457E-2</v>
      </c>
      <c r="T149" s="761">
        <f t="shared" si="152"/>
        <v>4.2308762790135457E-2</v>
      </c>
      <c r="U149" s="761">
        <f t="shared" si="152"/>
        <v>4.2308762790135457E-2</v>
      </c>
      <c r="V149" s="761">
        <f t="shared" si="152"/>
        <v>4.2308762790135457E-2</v>
      </c>
      <c r="W149" s="761">
        <f t="shared" si="152"/>
        <v>4.2308762790135457E-2</v>
      </c>
      <c r="X149" s="761">
        <f t="shared" si="152"/>
        <v>4.2308762790135457E-2</v>
      </c>
      <c r="Y149" s="761">
        <f t="shared" si="152"/>
        <v>4.2308762790135457E-2</v>
      </c>
      <c r="Z149" s="761">
        <f t="shared" si="152"/>
        <v>4.2308762790135457E-2</v>
      </c>
      <c r="AA149" s="761">
        <f t="shared" si="152"/>
        <v>4.2308762790135457E-2</v>
      </c>
      <c r="AB149" s="761">
        <f t="shared" si="152"/>
        <v>4.2308762790135457E-2</v>
      </c>
      <c r="AC149" s="761">
        <f t="shared" si="152"/>
        <v>4.2308762790135457E-2</v>
      </c>
      <c r="AD149" s="761">
        <f t="shared" si="152"/>
        <v>4.2308762790135457E-2</v>
      </c>
      <c r="AF149"/>
    </row>
    <row r="150" spans="1:60" s="459" customFormat="1">
      <c r="A150" s="103" t="str">
        <f>Commodities!K42</f>
        <v>T-OTH_CON00</v>
      </c>
      <c r="B150" s="1" t="str">
        <f>Commodities!B20</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Commodities!B19</f>
        <v>TRAGSE</v>
      </c>
      <c r="C151" s="129" t="s">
        <v>1014</v>
      </c>
      <c r="D151" s="798">
        <f>1-D150-D149</f>
        <v>0.29817283121360821</v>
      </c>
      <c r="E151" s="798">
        <f t="shared" ref="E151:AD151" si="154">1-E150-E149</f>
        <v>0.29817283121360821</v>
      </c>
      <c r="F151" s="798">
        <f t="shared" si="154"/>
        <v>0.29817283121360821</v>
      </c>
      <c r="G151" s="798">
        <f t="shared" si="154"/>
        <v>0.29817283121360821</v>
      </c>
      <c r="H151" s="798">
        <f t="shared" si="154"/>
        <v>0.29817283121360821</v>
      </c>
      <c r="I151" s="798">
        <f t="shared" si="154"/>
        <v>0.29817283121360821</v>
      </c>
      <c r="J151" s="798">
        <f t="shared" si="154"/>
        <v>0.29817283121360821</v>
      </c>
      <c r="K151" s="798">
        <f t="shared" si="154"/>
        <v>0.29817283121360821</v>
      </c>
      <c r="L151" s="798">
        <f t="shared" si="154"/>
        <v>0.29817283121360821</v>
      </c>
      <c r="M151" s="798">
        <f t="shared" si="154"/>
        <v>0.29817283121360821</v>
      </c>
      <c r="N151" s="798">
        <f t="shared" si="154"/>
        <v>0.29817283121360821</v>
      </c>
      <c r="O151" s="798">
        <f t="shared" si="154"/>
        <v>0.29817283121360821</v>
      </c>
      <c r="P151" s="798">
        <f t="shared" si="154"/>
        <v>0.29817283121360821</v>
      </c>
      <c r="Q151" s="798">
        <f t="shared" si="154"/>
        <v>0.29817283121360821</v>
      </c>
      <c r="R151" s="798">
        <f t="shared" si="154"/>
        <v>0.29817283121360821</v>
      </c>
      <c r="S151" s="798">
        <f t="shared" si="154"/>
        <v>0.29817283121360821</v>
      </c>
      <c r="T151" s="798">
        <f t="shared" si="154"/>
        <v>0.29817283121360821</v>
      </c>
      <c r="U151" s="798">
        <f t="shared" si="154"/>
        <v>0.29817283121360821</v>
      </c>
      <c r="V151" s="798">
        <f t="shared" si="154"/>
        <v>0.29817283121360821</v>
      </c>
      <c r="W151" s="798">
        <f t="shared" si="154"/>
        <v>0.29817283121360821</v>
      </c>
      <c r="X151" s="798">
        <f t="shared" si="154"/>
        <v>0.29817283121360821</v>
      </c>
      <c r="Y151" s="798">
        <f t="shared" si="154"/>
        <v>0.29817283121360821</v>
      </c>
      <c r="Z151" s="798">
        <f t="shared" si="154"/>
        <v>0.29817283121360821</v>
      </c>
      <c r="AA151" s="798">
        <f t="shared" si="154"/>
        <v>0.29817283121360821</v>
      </c>
      <c r="AB151" s="798">
        <f t="shared" si="154"/>
        <v>0.29817283121360821</v>
      </c>
      <c r="AC151" s="798">
        <f t="shared" si="154"/>
        <v>0.29817283121360821</v>
      </c>
      <c r="AD151" s="798">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7">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35" t="s">
        <v>505</v>
      </c>
      <c r="B231" s="835"/>
      <c r="C231" s="835"/>
      <c r="D231" s="835"/>
      <c r="E231" s="835"/>
      <c r="F231" s="836"/>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35" t="s">
        <v>506</v>
      </c>
      <c r="B234" s="835"/>
      <c r="C234" s="835"/>
      <c r="D234" s="835"/>
      <c r="E234" s="835"/>
      <c r="F234" s="836"/>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1" t="s">
        <v>116</v>
      </c>
      <c r="B264" s="842" t="s">
        <v>117</v>
      </c>
      <c r="C264" s="562" t="s">
        <v>118</v>
      </c>
      <c r="D264" s="562" t="s">
        <v>119</v>
      </c>
      <c r="E264" s="562" t="s">
        <v>120</v>
      </c>
      <c r="F264" s="562" t="s">
        <v>121</v>
      </c>
      <c r="AF264" s="451"/>
    </row>
    <row r="265" spans="1:32" ht="39.6">
      <c r="A265" s="841"/>
      <c r="B265" s="842"/>
      <c r="C265" s="563" t="s">
        <v>122</v>
      </c>
      <c r="D265" s="563">
        <v>28</v>
      </c>
      <c r="E265" s="563">
        <v>190</v>
      </c>
      <c r="F265" s="563" t="s">
        <v>123</v>
      </c>
      <c r="AF265" s="451"/>
    </row>
    <row r="266" spans="1:32" ht="26.4">
      <c r="A266" s="841"/>
      <c r="B266" s="842"/>
      <c r="C266" s="564" t="s">
        <v>124</v>
      </c>
      <c r="D266" s="564">
        <v>25</v>
      </c>
      <c r="E266" s="564">
        <v>262</v>
      </c>
      <c r="F266" s="564" t="s">
        <v>125</v>
      </c>
      <c r="AF266" s="451"/>
    </row>
    <row r="267" spans="1:32">
      <c r="A267" s="841"/>
      <c r="B267" s="842"/>
      <c r="C267" s="563" t="s">
        <v>126</v>
      </c>
      <c r="D267" s="563">
        <v>10</v>
      </c>
      <c r="E267" s="563">
        <v>304</v>
      </c>
      <c r="F267" s="563">
        <v>2008</v>
      </c>
    </row>
    <row r="268" spans="1:32" ht="26.4">
      <c r="A268" s="841"/>
      <c r="B268" s="843" t="s">
        <v>127</v>
      </c>
      <c r="C268" s="564" t="s">
        <v>128</v>
      </c>
      <c r="D268" s="564">
        <v>5</v>
      </c>
      <c r="E268" s="564" t="s">
        <v>129</v>
      </c>
      <c r="F268" s="564" t="s">
        <v>130</v>
      </c>
    </row>
    <row r="269" spans="1:32" ht="26.4">
      <c r="A269" s="841"/>
      <c r="B269" s="843"/>
      <c r="C269" s="563" t="s">
        <v>131</v>
      </c>
      <c r="D269" s="563">
        <v>5</v>
      </c>
      <c r="E269" s="563">
        <v>28</v>
      </c>
      <c r="F269" s="563" t="s">
        <v>130</v>
      </c>
    </row>
    <row r="270" spans="1:32" ht="26.4">
      <c r="A270" s="841"/>
      <c r="B270" s="843"/>
      <c r="C270" s="564" t="s">
        <v>132</v>
      </c>
      <c r="D270" s="564">
        <v>5</v>
      </c>
      <c r="E270" s="564">
        <v>44</v>
      </c>
      <c r="F270" s="564" t="s">
        <v>130</v>
      </c>
    </row>
    <row r="271" spans="1:32" ht="26.4">
      <c r="A271" s="841"/>
      <c r="B271" s="843"/>
      <c r="C271" s="563" t="s">
        <v>133</v>
      </c>
      <c r="D271" s="563">
        <v>16</v>
      </c>
      <c r="E271" s="563">
        <v>69</v>
      </c>
      <c r="F271" s="563" t="s">
        <v>130</v>
      </c>
    </row>
    <row r="272" spans="1:32" ht="26.4">
      <c r="A272" s="841"/>
      <c r="B272" s="843"/>
      <c r="C272" s="564" t="s">
        <v>134</v>
      </c>
      <c r="D272" s="564">
        <v>5</v>
      </c>
      <c r="E272" s="564">
        <v>69</v>
      </c>
      <c r="F272" s="564" t="s">
        <v>130</v>
      </c>
    </row>
    <row r="273" spans="1:32" ht="26.4">
      <c r="A273" s="844" t="s">
        <v>135</v>
      </c>
      <c r="B273" s="565" t="s">
        <v>136</v>
      </c>
      <c r="C273" s="563" t="s">
        <v>124</v>
      </c>
      <c r="D273" s="563">
        <v>29</v>
      </c>
      <c r="E273" s="563">
        <v>185</v>
      </c>
      <c r="F273" s="563" t="s">
        <v>139</v>
      </c>
    </row>
    <row r="274" spans="1:32">
      <c r="A274" s="844"/>
      <c r="B274" s="565" t="s">
        <v>137</v>
      </c>
      <c r="C274" s="564" t="s">
        <v>140</v>
      </c>
      <c r="D274" s="564">
        <v>8</v>
      </c>
      <c r="E274" s="564">
        <v>85</v>
      </c>
      <c r="F274" s="564">
        <v>2000</v>
      </c>
    </row>
    <row r="275" spans="1:32">
      <c r="A275" s="844"/>
      <c r="B275" s="565" t="s">
        <v>138</v>
      </c>
      <c r="C275" s="563" t="s">
        <v>140</v>
      </c>
      <c r="D275" s="563">
        <v>8</v>
      </c>
      <c r="E275" s="563">
        <v>130</v>
      </c>
      <c r="F275" s="563">
        <v>1993</v>
      </c>
      <c r="AF275" s="459"/>
    </row>
    <row r="276" spans="1:32" ht="26.4">
      <c r="A276" s="844" t="s">
        <v>40</v>
      </c>
      <c r="B276" s="842" t="s">
        <v>141</v>
      </c>
      <c r="C276" s="564" t="s">
        <v>143</v>
      </c>
      <c r="D276" s="564">
        <v>8</v>
      </c>
      <c r="E276" s="564">
        <v>160</v>
      </c>
      <c r="F276" s="564" t="s">
        <v>144</v>
      </c>
    </row>
    <row r="277" spans="1:32">
      <c r="A277" s="844"/>
      <c r="B277" s="842"/>
      <c r="C277" s="563" t="s">
        <v>145</v>
      </c>
      <c r="D277" s="563">
        <v>3</v>
      </c>
      <c r="E277" s="563">
        <v>160</v>
      </c>
      <c r="F277" s="563">
        <v>2001</v>
      </c>
    </row>
    <row r="278" spans="1:32">
      <c r="A278" s="844"/>
      <c r="B278" s="842"/>
      <c r="C278" s="564" t="s">
        <v>146</v>
      </c>
      <c r="D278" s="564">
        <v>4</v>
      </c>
      <c r="E278" s="564">
        <v>160</v>
      </c>
      <c r="F278" s="564">
        <v>2000</v>
      </c>
    </row>
    <row r="279" spans="1:32">
      <c r="A279" s="844"/>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0" t="s">
        <v>719</v>
      </c>
      <c r="B286" s="840"/>
      <c r="C286" s="840"/>
      <c r="D286" s="840"/>
      <c r="AF286" s="451"/>
    </row>
    <row r="287" spans="1:32" ht="15" thickBot="1">
      <c r="A287" s="838" t="s">
        <v>163</v>
      </c>
      <c r="B287" s="839"/>
      <c r="C287" s="839"/>
      <c r="D287" s="839"/>
      <c r="E287" s="839"/>
      <c r="F287" s="839"/>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37" t="s">
        <v>725</v>
      </c>
      <c r="B295" s="837"/>
      <c r="C295" s="837" t="s">
        <v>726</v>
      </c>
      <c r="D295" s="837"/>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619" zoomScale="85" zoomScaleNormal="85" workbookViewId="0">
      <selection activeCell="A634" sqref="A634:AC6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4"/>
      <c r="B18" s="814" t="s">
        <v>980</v>
      </c>
      <c r="C18" s="815">
        <f>G564/1000000</f>
        <v>8.8551000000000005E-2</v>
      </c>
      <c r="D18" s="814">
        <v>0</v>
      </c>
      <c r="E18" s="815">
        <f>C18*Stock!B304</f>
        <v>2.8462821428571431E-2</v>
      </c>
      <c r="F18" s="816">
        <v>0</v>
      </c>
      <c r="G18" s="816">
        <v>0</v>
      </c>
      <c r="H18" s="816">
        <v>0</v>
      </c>
      <c r="I18" s="816">
        <v>0</v>
      </c>
      <c r="J18" s="816">
        <v>0</v>
      </c>
      <c r="K18" s="815">
        <f>C18*Stock!D304</f>
        <v>9.4876071428571431E-3</v>
      </c>
      <c r="L18" s="816">
        <v>0</v>
      </c>
      <c r="M18" s="816">
        <v>0</v>
      </c>
      <c r="N18" s="816">
        <v>0</v>
      </c>
      <c r="O18" s="816">
        <v>0</v>
      </c>
      <c r="P18" s="816">
        <v>0</v>
      </c>
      <c r="Q18" s="816">
        <v>0</v>
      </c>
      <c r="R18" s="816">
        <v>0</v>
      </c>
      <c r="S18" s="816">
        <v>0</v>
      </c>
      <c r="T18" s="816">
        <v>0</v>
      </c>
      <c r="U18" s="815">
        <f>C18*Stock!C304</f>
        <v>1.5812678571428571E-2</v>
      </c>
      <c r="V18" s="816">
        <v>0</v>
      </c>
      <c r="W18" s="816">
        <v>0</v>
      </c>
      <c r="X18" s="815">
        <f>C18*Stock!A304</f>
        <v>3.4787892857142858E-2</v>
      </c>
      <c r="Y18" s="816">
        <v>0</v>
      </c>
      <c r="Z18" s="816">
        <v>0</v>
      </c>
      <c r="AA18" s="816">
        <v>0</v>
      </c>
      <c r="AB18" s="816">
        <v>0</v>
      </c>
      <c r="AC18" s="816">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46" t="s">
        <v>783</v>
      </c>
      <c r="C73" s="846"/>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53">
        <f>'EB2018'!AM48</f>
        <v>2058.4846677479868</v>
      </c>
      <c r="D75" s="850">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53"/>
      <c r="D76" s="851"/>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53"/>
      <c r="D77" s="851"/>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53"/>
      <c r="D78" s="851"/>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53"/>
      <c r="D79" s="851"/>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53"/>
      <c r="D80" s="851"/>
      <c r="E80" s="9"/>
      <c r="F80" s="9"/>
      <c r="G80" s="9"/>
      <c r="H80" s="9"/>
      <c r="I80" s="9"/>
      <c r="J80" s="9"/>
      <c r="K80" s="9"/>
    </row>
    <row r="81" spans="1:17" s="459" customFormat="1">
      <c r="A81" s="594" t="str">
        <f>Commodities!K19</f>
        <v>T-CAR-PHEV_GSL00</v>
      </c>
      <c r="B81" s="605">
        <f>Stock!E60*AF!D13/Efficiency!D14/0.041868</f>
        <v>1.3184587114421897</v>
      </c>
      <c r="C81" s="853"/>
      <c r="D81" s="851"/>
      <c r="E81" s="9"/>
      <c r="F81" s="9"/>
      <c r="G81" s="9"/>
      <c r="H81" s="9"/>
      <c r="I81" s="9"/>
      <c r="J81" s="9"/>
      <c r="K81" s="9"/>
    </row>
    <row r="82" spans="1:17" s="459" customFormat="1">
      <c r="A82" s="594" t="str">
        <f>Commodities!K20</f>
        <v>T-CAR-PHEV_DST00</v>
      </c>
      <c r="B82" s="605">
        <f>Stock!E61*AF!D14/Efficiency!D15/0.041868</f>
        <v>1.9463942395372347E-2</v>
      </c>
      <c r="C82" s="853"/>
      <c r="D82" s="851"/>
      <c r="E82" s="9"/>
      <c r="F82" s="9"/>
      <c r="G82" s="9"/>
      <c r="H82" s="9"/>
      <c r="I82" s="9"/>
      <c r="J82" s="9"/>
      <c r="K82" s="9"/>
    </row>
    <row r="83" spans="1:17" s="459" customFormat="1">
      <c r="A83" s="594" t="str">
        <f>Commodities!K21</f>
        <v>T-CAR-BEV_ELC00</v>
      </c>
      <c r="B83" s="605">
        <f>Stock!E62*AF!D15/Efficiency!D16/0.041868</f>
        <v>1.2398289747677393</v>
      </c>
      <c r="C83" s="853"/>
      <c r="D83" s="851"/>
      <c r="E83" s="9"/>
      <c r="F83" s="9"/>
      <c r="G83" s="9"/>
      <c r="H83" s="9"/>
      <c r="I83" s="9"/>
      <c r="J83" s="9"/>
      <c r="K83" s="9"/>
    </row>
    <row r="84" spans="1:17" s="459" customFormat="1" ht="15.6">
      <c r="A84" s="590" t="s">
        <v>770</v>
      </c>
      <c r="B84" s="603">
        <f>SUM(B75:B83)</f>
        <v>1664.1406922635126</v>
      </c>
      <c r="C84" s="853"/>
      <c r="D84" s="852"/>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46" t="s">
        <v>783</v>
      </c>
      <c r="C89" s="846"/>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47">
        <f>'EB2018'!AM46+'EB2018'!AM47</f>
        <v>1058.3361520244771</v>
      </c>
      <c r="D91" s="850">
        <f>(B94-C91)/C91</f>
        <v>-0.99984557718687606</v>
      </c>
      <c r="F91" s="9"/>
      <c r="G91" s="9"/>
      <c r="H91" s="9"/>
      <c r="I91" s="9"/>
      <c r="J91" s="9"/>
      <c r="K91" s="9"/>
    </row>
    <row r="92" spans="1:17" s="459" customFormat="1">
      <c r="A92" s="588" t="str">
        <f>Commodities!K37</f>
        <v>T-HGT-ICE_DST00</v>
      </c>
      <c r="B92" s="607">
        <f>(Stock!E77*AF!D26/1000)/Efficiency!D27/0.041868</f>
        <v>0.15911937712801305</v>
      </c>
      <c r="C92" s="848"/>
      <c r="D92" s="851"/>
      <c r="F92" s="9"/>
      <c r="G92" s="9"/>
      <c r="H92" s="9"/>
      <c r="I92" s="9"/>
      <c r="J92" s="9"/>
      <c r="K92" s="9"/>
    </row>
    <row r="93" spans="1:17" s="459" customFormat="1">
      <c r="A93" s="588" t="str">
        <f>Commodities!K38</f>
        <v>T-GTR-ICE_DST00</v>
      </c>
      <c r="B93" s="607">
        <f>(Stock!E78*AF!D27/1000)/Efficiency!D28/0.041868</f>
        <v>2.7938927066507233E-3</v>
      </c>
      <c r="C93" s="848"/>
      <c r="D93" s="851"/>
      <c r="F93" s="9"/>
      <c r="G93" s="9"/>
      <c r="H93" s="9"/>
      <c r="I93" s="9"/>
      <c r="J93" s="9"/>
      <c r="K93" s="9"/>
    </row>
    <row r="94" spans="1:17" s="459" customFormat="1" ht="15.6">
      <c r="A94" s="590" t="s">
        <v>786</v>
      </c>
      <c r="B94" s="603">
        <f>SUM(B91:B93)</f>
        <v>0.16343124582632046</v>
      </c>
      <c r="C94" s="849"/>
      <c r="D94" s="852"/>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46" t="s">
        <v>783</v>
      </c>
      <c r="C99" s="846"/>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47">
        <f>'EB2018'!AM49</f>
        <v>139.18657889221006</v>
      </c>
      <c r="D101" s="850">
        <f>(B105-C101)/C101</f>
        <v>1.8672189714068362E-2</v>
      </c>
      <c r="Q101" s="135"/>
    </row>
    <row r="102" spans="1:17" s="459" customFormat="1">
      <c r="A102" s="597" t="str">
        <f>Commodities!K24</f>
        <v>T-TAX-ICE_DST00</v>
      </c>
      <c r="B102" s="609">
        <f>(Stock!E65*AF!D17)/Efficiency!D18/0.041868</f>
        <v>39.815351909987868</v>
      </c>
      <c r="C102" s="848"/>
      <c r="D102" s="851"/>
      <c r="Q102" s="135"/>
    </row>
    <row r="103" spans="1:17" s="459" customFormat="1">
      <c r="A103" s="597" t="str">
        <f>Commodities!K25</f>
        <v>T-TAX-HEV_GSL00</v>
      </c>
      <c r="B103" s="609">
        <f>(Stock!E66*AF!D18)/Efficiency!D19/0.041868</f>
        <v>2.6942012356171219</v>
      </c>
      <c r="C103" s="848"/>
      <c r="D103" s="851"/>
      <c r="Q103" s="135"/>
    </row>
    <row r="104" spans="1:17" s="459" customFormat="1">
      <c r="A104" s="597" t="str">
        <f>Commodities!K27</f>
        <v>T-BUS-ICE_DST00</v>
      </c>
      <c r="B104" s="609">
        <f>(Stock!E68*AF!D19)/Efficiency!D20/0.041868</f>
        <v>93.683316929119542</v>
      </c>
      <c r="C104" s="848"/>
      <c r="D104" s="851"/>
      <c r="Q104" s="135"/>
    </row>
    <row r="105" spans="1:17" s="459" customFormat="1" ht="15.6">
      <c r="A105" s="596" t="s">
        <v>878</v>
      </c>
      <c r="B105" s="608">
        <f>SUM(B101:B104)</f>
        <v>141.78549709893755</v>
      </c>
      <c r="C105" s="849"/>
      <c r="D105" s="852"/>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46" t="s">
        <v>783</v>
      </c>
      <c r="C110" s="846"/>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47">
        <f>'EB2018'!AM50</f>
        <v>42.228937759939136</v>
      </c>
      <c r="D112" s="850" t="e">
        <f>(B116-C112)/C112</f>
        <v>#REF!</v>
      </c>
    </row>
    <row r="113" spans="1:88" s="459" customFormat="1">
      <c r="A113" s="597" t="str">
        <f>Commodities!K30</f>
        <v>T-HPT-BEV_ELC00</v>
      </c>
      <c r="B113" s="609">
        <f>B112</f>
        <v>2.4094862952239589</v>
      </c>
      <c r="C113" s="848"/>
      <c r="D113" s="851"/>
    </row>
    <row r="114" spans="1:88" s="459" customFormat="1">
      <c r="A114" s="597" t="str">
        <f>Commodities!K31</f>
        <v>T-HPT-ICE_DST00</v>
      </c>
      <c r="B114" s="609" t="e">
        <f>#REF!/ACT2FLO!D68/Efficiency!D23/0.041868</f>
        <v>#REF!</v>
      </c>
      <c r="C114" s="848"/>
      <c r="D114" s="851"/>
    </row>
    <row r="115" spans="1:88" s="459" customFormat="1">
      <c r="A115" s="597" t="str">
        <f>Commodities!K38</f>
        <v>T-GTR-ICE_DST00</v>
      </c>
      <c r="B115" s="609" t="e">
        <f>#REF!/ACT2FLO!D74/Efficiency!D28/0.041868</f>
        <v>#REF!</v>
      </c>
      <c r="C115" s="848"/>
      <c r="D115" s="851"/>
    </row>
    <row r="116" spans="1:88" s="459" customFormat="1" ht="15.6">
      <c r="A116" s="596" t="s">
        <v>786</v>
      </c>
      <c r="B116" s="608" t="e">
        <f>SUM(B112:B115)</f>
        <v>#REF!</v>
      </c>
      <c r="C116" s="849"/>
      <c r="D116" s="852"/>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57" t="s">
        <v>16</v>
      </c>
      <c r="B135" s="857"/>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56" t="s">
        <v>16</v>
      </c>
      <c r="B156" s="856"/>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58"/>
      <c r="H176" s="858"/>
      <c r="I176" s="495"/>
      <c r="J176" s="495"/>
      <c r="Z176" s="445"/>
      <c r="AA176" s="445"/>
      <c r="AB176" s="445"/>
    </row>
    <row r="177" spans="1:30" s="133" customFormat="1">
      <c r="A177" s="496" t="s">
        <v>37</v>
      </c>
      <c r="B177" s="497">
        <v>0.97050000000000003</v>
      </c>
      <c r="C177" s="497">
        <v>0.97640000000000005</v>
      </c>
      <c r="D177" s="445"/>
      <c r="E177" s="445"/>
      <c r="F177" s="445"/>
      <c r="G177" s="858"/>
      <c r="H177" s="858"/>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59" t="s">
        <v>944</v>
      </c>
      <c r="J252" s="859"/>
      <c r="K252" s="859"/>
      <c r="L252" s="859"/>
      <c r="M252" s="859"/>
      <c r="N252" s="859"/>
      <c r="O252" s="859"/>
      <c r="P252" s="859"/>
      <c r="Q252" s="859"/>
      <c r="R252" s="859"/>
      <c r="S252" s="859"/>
      <c r="T252" s="859"/>
      <c r="U252" s="859"/>
      <c r="V252" s="859"/>
      <c r="W252" s="859"/>
      <c r="X252" s="859"/>
      <c r="Y252" s="859"/>
      <c r="Z252" s="859"/>
      <c r="AA252" s="859"/>
      <c r="AB252" s="859"/>
    </row>
    <row r="253" spans="1:28" s="459" customFormat="1">
      <c r="A253" s="132" t="s">
        <v>912</v>
      </c>
      <c r="B253" s="132" t="s">
        <v>447</v>
      </c>
      <c r="C253" s="132" t="s">
        <v>913</v>
      </c>
      <c r="I253" s="860" t="s">
        <v>935</v>
      </c>
      <c r="J253" s="862" t="s">
        <v>321</v>
      </c>
      <c r="K253" s="862"/>
      <c r="L253" s="862"/>
      <c r="M253" s="13"/>
      <c r="N253" s="862" t="s">
        <v>670</v>
      </c>
      <c r="O253" s="862"/>
      <c r="P253" s="862"/>
      <c r="Q253" s="13"/>
      <c r="R253" s="862" t="s">
        <v>323</v>
      </c>
      <c r="S253" s="862"/>
      <c r="T253" s="862"/>
      <c r="U253" s="13"/>
      <c r="V253" s="862" t="s">
        <v>936</v>
      </c>
      <c r="W253" s="862"/>
      <c r="X253" s="862"/>
      <c r="Y253" s="13"/>
      <c r="Z253" s="862" t="s">
        <v>560</v>
      </c>
      <c r="AA253" s="862"/>
      <c r="AB253" s="862"/>
    </row>
    <row r="254" spans="1:28" s="459" customFormat="1" ht="21.6">
      <c r="A254" s="678"/>
      <c r="B254" s="682" t="s">
        <v>973</v>
      </c>
      <c r="C254" s="682" t="s">
        <v>914</v>
      </c>
      <c r="I254" s="861"/>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45"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45"/>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45"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45"/>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45"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45"/>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45"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45"/>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45"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45"/>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45"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45"/>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45" t="s">
        <v>1116</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45"/>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45" t="s">
        <v>1117</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45"/>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45" t="s">
        <v>1118</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45"/>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2"/>
      <c r="B446" s="802" t="s">
        <v>16</v>
      </c>
      <c r="C446" s="804">
        <f>SUM(C440:C445)</f>
        <v>11538</v>
      </c>
      <c r="D446" s="804">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3"/>
      <c r="C447" s="805"/>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3"/>
      <c r="B448" s="803"/>
      <c r="C448" s="805"/>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3"/>
      <c r="B449" s="803"/>
      <c r="C449" s="805"/>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3"/>
      <c r="B450" s="803"/>
      <c r="C450" s="805"/>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6"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6"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6"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2"/>
      <c r="B456" s="802" t="s">
        <v>16</v>
      </c>
      <c r="C456" s="804">
        <f t="shared" ref="C456:AC456" si="206">SUM(C453:C455)</f>
        <v>11538</v>
      </c>
      <c r="D456" s="804">
        <f t="shared" si="206"/>
        <v>177.95641949867974</v>
      </c>
      <c r="E456" s="804">
        <f t="shared" si="206"/>
        <v>2629.455866894506</v>
      </c>
      <c r="F456" s="804">
        <f t="shared" si="206"/>
        <v>482.32584543324703</v>
      </c>
      <c r="G456" s="804">
        <f t="shared" si="206"/>
        <v>310.17655131899437</v>
      </c>
      <c r="H456" s="804">
        <f t="shared" si="206"/>
        <v>220.92382768752688</v>
      </c>
      <c r="I456" s="804">
        <f t="shared" si="206"/>
        <v>106.61321663190297</v>
      </c>
      <c r="J456" s="804">
        <f t="shared" si="206"/>
        <v>279.38412011837357</v>
      </c>
      <c r="K456" s="804">
        <f t="shared" si="206"/>
        <v>422.80031908047602</v>
      </c>
      <c r="L456" s="804">
        <f t="shared" si="206"/>
        <v>203.35363153768466</v>
      </c>
      <c r="M456" s="804">
        <f t="shared" si="206"/>
        <v>231.54784920152733</v>
      </c>
      <c r="N456" s="804">
        <f t="shared" si="206"/>
        <v>467.99675121515725</v>
      </c>
      <c r="O456" s="804">
        <f t="shared" si="206"/>
        <v>308.73718466108562</v>
      </c>
      <c r="P456" s="804">
        <f t="shared" si="206"/>
        <v>303.81359843254126</v>
      </c>
      <c r="Q456" s="804">
        <f t="shared" si="206"/>
        <v>1625.5685935130527</v>
      </c>
      <c r="R456" s="804">
        <f t="shared" si="206"/>
        <v>442.29510717528478</v>
      </c>
      <c r="S456" s="804">
        <f t="shared" si="206"/>
        <v>498.35433078518957</v>
      </c>
      <c r="T456" s="804">
        <f t="shared" si="206"/>
        <v>407.97504625354344</v>
      </c>
      <c r="U456" s="804">
        <f t="shared" si="206"/>
        <v>363.13962256162824</v>
      </c>
      <c r="V456" s="804">
        <f t="shared" si="206"/>
        <v>605.11341326480942</v>
      </c>
      <c r="W456" s="804">
        <f t="shared" si="206"/>
        <v>80.700464509738026</v>
      </c>
      <c r="X456" s="804">
        <f t="shared" si="206"/>
        <v>306.02242993803907</v>
      </c>
      <c r="Y456" s="804">
        <f t="shared" si="206"/>
        <v>151.34752708989396</v>
      </c>
      <c r="Z456" s="804">
        <f t="shared" si="206"/>
        <v>165.04509242434406</v>
      </c>
      <c r="AA456" s="804">
        <f t="shared" si="206"/>
        <v>191.84367071819389</v>
      </c>
      <c r="AB456" s="804">
        <f t="shared" si="206"/>
        <v>400.91337992242592</v>
      </c>
      <c r="AC456" s="804">
        <f t="shared" si="206"/>
        <v>154.59614013215509</v>
      </c>
    </row>
    <row r="457" spans="1:29" s="714" customFormat="1">
      <c r="A457" s="803"/>
      <c r="B457" s="803"/>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c r="AA457" s="805"/>
      <c r="AB457" s="805"/>
      <c r="AC457" s="805"/>
    </row>
    <row r="458" spans="1:29" s="714" customFormat="1">
      <c r="A458" s="803"/>
      <c r="B458" s="803"/>
      <c r="C458" s="805"/>
      <c r="D458" s="828"/>
      <c r="E458" s="828"/>
      <c r="F458" s="828"/>
      <c r="G458" s="828"/>
      <c r="H458" s="828"/>
      <c r="I458" s="805"/>
      <c r="J458" s="805"/>
      <c r="K458" s="805"/>
      <c r="L458" s="805"/>
      <c r="M458" s="805"/>
      <c r="N458" s="805"/>
      <c r="O458" s="805"/>
      <c r="P458" s="805"/>
      <c r="Q458" s="805"/>
      <c r="R458" s="805"/>
      <c r="S458" s="805"/>
      <c r="T458" s="805"/>
      <c r="U458" s="805"/>
      <c r="V458" s="805"/>
      <c r="W458" s="805"/>
      <c r="X458" s="805"/>
      <c r="Y458" s="805"/>
      <c r="Z458" s="805"/>
      <c r="AA458" s="805"/>
      <c r="AB458" s="805"/>
      <c r="AC458" s="805"/>
    </row>
    <row r="459" spans="1:29" s="714" customFormat="1">
      <c r="A459" s="803"/>
      <c r="B459" s="803"/>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c r="AA459" s="805"/>
      <c r="AB459" s="805"/>
      <c r="AC459" s="805"/>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6"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6"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8" t="s">
        <v>1118</v>
      </c>
      <c r="B464" s="458" t="s">
        <v>1127</v>
      </c>
      <c r="C464" s="809">
        <f>C455/SUM(C431:C432)</f>
        <v>8.8649122807017537</v>
      </c>
      <c r="D464" s="809">
        <f t="shared" ref="D464:AC464" si="210">D455/SUM(D431:D432)</f>
        <v>7.4223789525858956</v>
      </c>
      <c r="E464" s="809">
        <f t="shared" si="210"/>
        <v>11.690912742461185</v>
      </c>
      <c r="F464" s="809">
        <f t="shared" si="210"/>
        <v>6.8139290003136823</v>
      </c>
      <c r="G464" s="809">
        <f t="shared" si="210"/>
        <v>6.3181403161842509</v>
      </c>
      <c r="H464" s="809">
        <f t="shared" si="210"/>
        <v>7.4424850414354795</v>
      </c>
      <c r="I464" s="809">
        <f t="shared" si="210"/>
        <v>6.2254184276998403</v>
      </c>
      <c r="J464" s="809">
        <f t="shared" si="210"/>
        <v>7.6471656643165069</v>
      </c>
      <c r="K464" s="809">
        <f t="shared" si="210"/>
        <v>5.1434150255042406</v>
      </c>
      <c r="L464" s="809">
        <f t="shared" si="210"/>
        <v>10.477357684173224</v>
      </c>
      <c r="M464" s="809">
        <f t="shared" si="210"/>
        <v>12.675629247002487</v>
      </c>
      <c r="N464" s="809">
        <f t="shared" si="210"/>
        <v>5.2552937315052377</v>
      </c>
      <c r="O464" s="809">
        <f t="shared" si="210"/>
        <v>12.877109956272569</v>
      </c>
      <c r="P464" s="809">
        <f t="shared" si="210"/>
        <v>12.671752246239185</v>
      </c>
      <c r="Q464" s="809">
        <f t="shared" si="210"/>
        <v>10.469239881289264</v>
      </c>
      <c r="R464" s="809">
        <f t="shared" si="210"/>
        <v>14.900043845465245</v>
      </c>
      <c r="S464" s="809">
        <f t="shared" si="210"/>
        <v>8.083384479810876</v>
      </c>
      <c r="T464" s="809">
        <f t="shared" si="210"/>
        <v>6.8719345731134407</v>
      </c>
      <c r="U464" s="809">
        <f t="shared" si="210"/>
        <v>16.74051429878304</v>
      </c>
      <c r="V464" s="809">
        <f t="shared" si="210"/>
        <v>11.521995663580766</v>
      </c>
      <c r="W464" s="809">
        <f t="shared" si="210"/>
        <v>10.097799746618781</v>
      </c>
      <c r="X464" s="809">
        <f t="shared" si="210"/>
        <v>12.183703954339899</v>
      </c>
      <c r="Y464" s="809">
        <f t="shared" si="210"/>
        <v>8.2852211646866252</v>
      </c>
      <c r="Z464" s="809">
        <f t="shared" si="210"/>
        <v>13.14191607211287</v>
      </c>
      <c r="AA464" s="809">
        <f t="shared" si="210"/>
        <v>5.6011213274341811</v>
      </c>
      <c r="AB464" s="809">
        <f t="shared" si="210"/>
        <v>10.033010468504163</v>
      </c>
      <c r="AC464" s="809">
        <f t="shared" si="210"/>
        <v>2.219819033010749</v>
      </c>
    </row>
    <row r="465" spans="1:29" s="714" customFormat="1">
      <c r="A465" s="803"/>
      <c r="B465" s="803"/>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c r="AA465" s="805"/>
      <c r="AB465" s="805"/>
      <c r="AC465" s="805"/>
    </row>
    <row r="466" spans="1:29" s="714" customFormat="1">
      <c r="A466" s="803"/>
      <c r="B466" s="803"/>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c r="AA466" s="805"/>
      <c r="AB466" s="805"/>
      <c r="AC466" s="805"/>
    </row>
    <row r="467" spans="1:29" s="714" customFormat="1">
      <c r="A467" s="803"/>
      <c r="B467" s="803"/>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c r="AA467" s="805"/>
      <c r="AB467" s="805"/>
      <c r="AC467" s="805"/>
    </row>
    <row r="468" spans="1:29" s="714" customFormat="1">
      <c r="A468" s="803"/>
      <c r="B468" s="803"/>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3"/>
      <c r="B469" s="803"/>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54" t="s">
        <v>694</v>
      </c>
      <c r="C472" s="854"/>
      <c r="D472" s="854"/>
      <c r="E472" s="854"/>
      <c r="F472" s="854"/>
      <c r="G472" s="854"/>
      <c r="H472" s="854"/>
      <c r="I472" s="854"/>
      <c r="J472" s="854"/>
      <c r="K472" s="854"/>
      <c r="L472" s="854"/>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55" t="s">
        <v>699</v>
      </c>
      <c r="C490" s="855"/>
      <c r="D490" s="855"/>
      <c r="E490" s="855"/>
      <c r="F490" s="855"/>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54" t="s">
        <v>694</v>
      </c>
      <c r="C516" s="854"/>
      <c r="D516" s="854"/>
      <c r="E516" s="854"/>
      <c r="F516" s="854"/>
      <c r="G516" s="854"/>
      <c r="H516" s="854"/>
      <c r="I516" s="854"/>
      <c r="J516" s="854"/>
      <c r="K516" s="854"/>
      <c r="L516" s="854"/>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54" t="s">
        <v>694</v>
      </c>
      <c r="C535" s="854"/>
      <c r="D535" s="854"/>
      <c r="E535" s="854"/>
      <c r="F535" s="854"/>
      <c r="G535" s="854"/>
      <c r="H535" s="854"/>
      <c r="I535" s="854"/>
      <c r="J535" s="854"/>
      <c r="K535" s="854"/>
      <c r="L535" s="854"/>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35" t="s">
        <v>717</v>
      </c>
      <c r="B553" s="835"/>
      <c r="C553" s="835"/>
      <c r="D553" s="835"/>
      <c r="E553" s="835"/>
      <c r="F553" s="835"/>
      <c r="G553" s="835"/>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63" t="s">
        <v>716</v>
      </c>
      <c r="B565" s="863"/>
      <c r="C565" s="863"/>
      <c r="D565" s="863"/>
      <c r="E565" s="863"/>
      <c r="F565" s="863"/>
      <c r="G565" s="863"/>
    </row>
    <row r="566" spans="1:32">
      <c r="A566" s="864" t="s">
        <v>718</v>
      </c>
      <c r="B566" s="864"/>
      <c r="C566" s="864"/>
      <c r="D566" s="864"/>
      <c r="E566" s="864"/>
      <c r="F566" s="864"/>
      <c r="G566" s="864"/>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54" t="s">
        <v>694</v>
      </c>
      <c r="C574" s="854"/>
      <c r="D574" s="854"/>
      <c r="E574" s="854"/>
      <c r="F574" s="854"/>
      <c r="G574" s="854"/>
      <c r="H574" s="854"/>
      <c r="I574" s="854"/>
      <c r="J574" s="854"/>
      <c r="K574" s="854"/>
      <c r="L574" s="854"/>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55" t="s">
        <v>699</v>
      </c>
      <c r="C592" s="855"/>
      <c r="D592" s="855"/>
      <c r="E592" s="855"/>
      <c r="F592" s="855"/>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5"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5"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5"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5"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6"/>
      <c r="B629" s="826" t="s">
        <v>16</v>
      </c>
      <c r="C629" s="830">
        <f>SUM(C625:C628)</f>
        <v>11.626551000000001</v>
      </c>
      <c r="D629" s="830">
        <f t="shared" ref="D629:AC629" si="229">SUM(D625:D628)</f>
        <v>0.17795641949867974</v>
      </c>
      <c r="E629" s="830">
        <f t="shared" si="229"/>
        <v>2.6579186883230776</v>
      </c>
      <c r="F629" s="830">
        <f t="shared" si="229"/>
        <v>0.48232584543324702</v>
      </c>
      <c r="G629" s="830">
        <f t="shared" si="229"/>
        <v>0.31017655131899435</v>
      </c>
      <c r="H629" s="830">
        <f t="shared" si="229"/>
        <v>0.22092382768752689</v>
      </c>
      <c r="I629" s="830">
        <f t="shared" si="229"/>
        <v>0.10661321663190297</v>
      </c>
      <c r="J629" s="830">
        <f t="shared" si="229"/>
        <v>0.2793841201183736</v>
      </c>
      <c r="K629" s="830">
        <f t="shared" si="229"/>
        <v>0.43228792622333317</v>
      </c>
      <c r="L629" s="830">
        <f t="shared" si="229"/>
        <v>0.20335363153768465</v>
      </c>
      <c r="M629" s="830">
        <f t="shared" si="229"/>
        <v>0.23154784920152732</v>
      </c>
      <c r="N629" s="830">
        <f t="shared" si="229"/>
        <v>0.46799675121515727</v>
      </c>
      <c r="O629" s="830">
        <f t="shared" si="229"/>
        <v>0.30873718466108557</v>
      </c>
      <c r="P629" s="830">
        <f t="shared" si="229"/>
        <v>0.30381359843254124</v>
      </c>
      <c r="Q629" s="830">
        <f t="shared" si="229"/>
        <v>1.6255685935130528</v>
      </c>
      <c r="R629" s="830">
        <f t="shared" si="229"/>
        <v>0.44229510717528475</v>
      </c>
      <c r="S629" s="830">
        <f t="shared" si="229"/>
        <v>0.49835433078518959</v>
      </c>
      <c r="T629" s="830">
        <f t="shared" si="229"/>
        <v>0.40797504625354342</v>
      </c>
      <c r="U629" s="830">
        <f t="shared" si="229"/>
        <v>0.37895230113305683</v>
      </c>
      <c r="V629" s="830">
        <f t="shared" si="229"/>
        <v>0.60511341326480939</v>
      </c>
      <c r="W629" s="830">
        <f t="shared" si="229"/>
        <v>8.0700464509738029E-2</v>
      </c>
      <c r="X629" s="830">
        <f t="shared" si="229"/>
        <v>0.34081032279518192</v>
      </c>
      <c r="Y629" s="830">
        <f t="shared" si="229"/>
        <v>0.15134752708989396</v>
      </c>
      <c r="Z629" s="830">
        <f t="shared" si="229"/>
        <v>0.16504509242434406</v>
      </c>
      <c r="AA629" s="830">
        <f t="shared" si="229"/>
        <v>0.19184367071819389</v>
      </c>
      <c r="AB629" s="830">
        <f>SUM(AB625:AB628)</f>
        <v>0.40091337992242593</v>
      </c>
      <c r="AC629" s="830">
        <f t="shared" si="229"/>
        <v>0.15459614013215511</v>
      </c>
    </row>
    <row r="630" spans="1:29" s="714" customFormat="1">
      <c r="A630" s="803"/>
      <c r="B630" s="803"/>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c r="AA630" s="805"/>
      <c r="AB630" s="805"/>
      <c r="AC630" s="805"/>
    </row>
    <row r="631" spans="1:29" s="714" customFormat="1">
      <c r="A631" s="803"/>
      <c r="B631" s="803"/>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c r="AA631" s="805"/>
      <c r="AB631" s="805"/>
      <c r="AC631" s="805"/>
    </row>
    <row r="632" spans="1:29" s="714" customFormat="1">
      <c r="A632" s="803"/>
      <c r="B632" s="803"/>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c r="AA632" s="805"/>
      <c r="AB632" s="805"/>
      <c r="AC632" s="805"/>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5"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5"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5"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5" t="s">
        <v>24</v>
      </c>
      <c r="B638" s="714" t="s">
        <v>17</v>
      </c>
      <c r="C638" s="827">
        <f t="shared" si="232"/>
        <v>7.6162741641953831E-3</v>
      </c>
      <c r="D638" s="827">
        <f t="shared" ref="D638:AC638" si="235">D628/D$629</f>
        <v>0</v>
      </c>
      <c r="E638" s="827">
        <f t="shared" si="235"/>
        <v>1.0708687799072239E-2</v>
      </c>
      <c r="F638" s="827">
        <f t="shared" si="235"/>
        <v>0</v>
      </c>
      <c r="G638" s="827">
        <f t="shared" si="235"/>
        <v>0</v>
      </c>
      <c r="H638" s="827">
        <f t="shared" si="235"/>
        <v>0</v>
      </c>
      <c r="I638" s="827">
        <f t="shared" si="235"/>
        <v>0</v>
      </c>
      <c r="J638" s="827">
        <f t="shared" si="235"/>
        <v>0</v>
      </c>
      <c r="K638" s="827">
        <f t="shared" si="235"/>
        <v>2.1947425702460065E-2</v>
      </c>
      <c r="L638" s="827">
        <f t="shared" si="235"/>
        <v>0</v>
      </c>
      <c r="M638" s="827">
        <f t="shared" si="235"/>
        <v>0</v>
      </c>
      <c r="N638" s="827">
        <f t="shared" si="235"/>
        <v>0</v>
      </c>
      <c r="O638" s="827">
        <f t="shared" si="235"/>
        <v>0</v>
      </c>
      <c r="P638" s="827">
        <f t="shared" si="235"/>
        <v>0</v>
      </c>
      <c r="Q638" s="827">
        <f t="shared" si="235"/>
        <v>0</v>
      </c>
      <c r="R638" s="827">
        <f t="shared" si="235"/>
        <v>0</v>
      </c>
      <c r="S638" s="827">
        <f t="shared" si="235"/>
        <v>0</v>
      </c>
      <c r="T638" s="827">
        <f t="shared" si="235"/>
        <v>0</v>
      </c>
      <c r="U638" s="827">
        <f t="shared" si="235"/>
        <v>4.1727358625740237E-2</v>
      </c>
      <c r="V638" s="827">
        <f t="shared" si="235"/>
        <v>0</v>
      </c>
      <c r="W638" s="827">
        <f t="shared" si="235"/>
        <v>0</v>
      </c>
      <c r="X638" s="827">
        <f>X628/X$629</f>
        <v>0.10207405859020728</v>
      </c>
      <c r="Y638" s="827">
        <f t="shared" si="235"/>
        <v>0</v>
      </c>
      <c r="Z638" s="827">
        <f t="shared" si="235"/>
        <v>0</v>
      </c>
      <c r="AA638" s="827">
        <f t="shared" si="235"/>
        <v>0</v>
      </c>
      <c r="AB638" s="827">
        <f t="shared" si="235"/>
        <v>0</v>
      </c>
      <c r="AC638" s="827">
        <f t="shared" si="235"/>
        <v>0</v>
      </c>
    </row>
    <row r="639" spans="1:29" s="714" customFormat="1">
      <c r="A639" s="826"/>
      <c r="B639" s="826" t="s">
        <v>16</v>
      </c>
      <c r="C639" s="804">
        <f>SUM(C635:C638)</f>
        <v>0.99999999999999989</v>
      </c>
      <c r="D639" s="804">
        <f t="shared" ref="D639:AC639" si="236">SUM(D635:D638)</f>
        <v>0.99999999999999989</v>
      </c>
      <c r="E639" s="804">
        <f t="shared" si="236"/>
        <v>1</v>
      </c>
      <c r="F639" s="804">
        <f t="shared" si="236"/>
        <v>0.99999999999999989</v>
      </c>
      <c r="G639" s="804">
        <f t="shared" si="236"/>
        <v>1.0000000000000002</v>
      </c>
      <c r="H639" s="804">
        <f t="shared" si="236"/>
        <v>1</v>
      </c>
      <c r="I639" s="804">
        <f t="shared" si="236"/>
        <v>1</v>
      </c>
      <c r="J639" s="804">
        <f t="shared" si="236"/>
        <v>1</v>
      </c>
      <c r="K639" s="804">
        <f t="shared" si="236"/>
        <v>1</v>
      </c>
      <c r="L639" s="804">
        <f t="shared" si="236"/>
        <v>1</v>
      </c>
      <c r="M639" s="804">
        <f t="shared" si="236"/>
        <v>1</v>
      </c>
      <c r="N639" s="804">
        <f t="shared" si="236"/>
        <v>1</v>
      </c>
      <c r="O639" s="804">
        <f t="shared" si="236"/>
        <v>1</v>
      </c>
      <c r="P639" s="804">
        <f t="shared" si="236"/>
        <v>1</v>
      </c>
      <c r="Q639" s="804">
        <f t="shared" si="236"/>
        <v>0.99999999999999989</v>
      </c>
      <c r="R639" s="804">
        <f t="shared" si="236"/>
        <v>1</v>
      </c>
      <c r="S639" s="804">
        <f t="shared" si="236"/>
        <v>1</v>
      </c>
      <c r="T639" s="804">
        <f t="shared" si="236"/>
        <v>1</v>
      </c>
      <c r="U639" s="804">
        <f t="shared" si="236"/>
        <v>1</v>
      </c>
      <c r="V639" s="804">
        <f t="shared" si="236"/>
        <v>1</v>
      </c>
      <c r="W639" s="804">
        <f t="shared" si="236"/>
        <v>0.99999999999999989</v>
      </c>
      <c r="X639" s="804">
        <f t="shared" si="236"/>
        <v>1</v>
      </c>
      <c r="Y639" s="804">
        <f t="shared" si="236"/>
        <v>1</v>
      </c>
      <c r="Z639" s="804">
        <f t="shared" si="236"/>
        <v>1</v>
      </c>
      <c r="AA639" s="804">
        <f t="shared" si="236"/>
        <v>1</v>
      </c>
      <c r="AB639" s="804">
        <f t="shared" si="236"/>
        <v>1</v>
      </c>
      <c r="AC639" s="804">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1">
    <mergeCell ref="B574:L574"/>
    <mergeCell ref="B592:F592"/>
    <mergeCell ref="A553:G553"/>
    <mergeCell ref="A565:G565"/>
    <mergeCell ref="A566:G566"/>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73:C73"/>
    <mergeCell ref="B89:C89"/>
    <mergeCell ref="C91:C94"/>
    <mergeCell ref="D91:D94"/>
    <mergeCell ref="D75:D84"/>
    <mergeCell ref="D101:D105"/>
    <mergeCell ref="B110:C110"/>
    <mergeCell ref="C112:C116"/>
    <mergeCell ref="D112:D116"/>
    <mergeCell ref="C75:C84"/>
    <mergeCell ref="A414:A415"/>
    <mergeCell ref="A416:A417"/>
    <mergeCell ref="A418:A419"/>
    <mergeCell ref="B99:C99"/>
    <mergeCell ref="C101:C105"/>
    <mergeCell ref="A440:A441"/>
    <mergeCell ref="A442:A443"/>
    <mergeCell ref="A444:A445"/>
    <mergeCell ref="A429:A430"/>
    <mergeCell ref="A431:A432"/>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abSelected="1" zoomScale="85" zoomScaleNormal="85" workbookViewId="0">
      <selection activeCell="F22" sqref="F2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66" t="s">
        <v>864</v>
      </c>
      <c r="B3" s="866"/>
      <c r="C3" s="866"/>
      <c r="D3" s="866"/>
    </row>
    <row r="4" spans="1:30" s="714" customFormat="1"/>
    <row r="5" spans="1:30" s="714" customFormat="1">
      <c r="D5" s="817"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0">
        <f>ROUNDUP(D70,3)*1.1</f>
        <v>5.0600000000000006E-2</v>
      </c>
      <c r="E28" s="810">
        <f t="shared" ref="E28:AD31" si="27">ROUNDUP(E70,3)*1.1</f>
        <v>4.8399999999999999E-2</v>
      </c>
      <c r="F28" s="810">
        <f t="shared" si="27"/>
        <v>5.0600000000000006E-2</v>
      </c>
      <c r="G28" s="810">
        <f t="shared" si="27"/>
        <v>4.5100000000000008E-2</v>
      </c>
      <c r="H28" s="810">
        <f t="shared" si="27"/>
        <v>6.2700000000000006E-2</v>
      </c>
      <c r="I28" s="810">
        <f t="shared" si="27"/>
        <v>5.7200000000000001E-2</v>
      </c>
      <c r="J28" s="810">
        <f t="shared" si="27"/>
        <v>4.4000000000000004E-2</v>
      </c>
      <c r="K28" s="810">
        <f t="shared" si="27"/>
        <v>5.3900000000000003E-2</v>
      </c>
      <c r="L28" s="810">
        <f t="shared" si="27"/>
        <v>4.4000000000000004E-2</v>
      </c>
      <c r="M28" s="810">
        <f t="shared" si="27"/>
        <v>4.8399999999999999E-2</v>
      </c>
      <c r="N28" s="810">
        <f t="shared" si="27"/>
        <v>4.2900000000000001E-2</v>
      </c>
      <c r="O28" s="810">
        <f t="shared" si="27"/>
        <v>5.3900000000000003E-2</v>
      </c>
      <c r="P28" s="810">
        <f t="shared" si="27"/>
        <v>4.9500000000000002E-2</v>
      </c>
      <c r="Q28" s="810">
        <f t="shared" si="27"/>
        <v>4.9500000000000002E-2</v>
      </c>
      <c r="R28" s="810">
        <f t="shared" si="27"/>
        <v>6.4900000000000013E-2</v>
      </c>
      <c r="S28" s="810">
        <f t="shared" si="27"/>
        <v>5.9400000000000001E-2</v>
      </c>
      <c r="T28" s="810">
        <f t="shared" si="27"/>
        <v>5.7200000000000001E-2</v>
      </c>
      <c r="U28" s="810">
        <f t="shared" si="27"/>
        <v>4.8399999999999999E-2</v>
      </c>
      <c r="V28" s="810">
        <f t="shared" si="27"/>
        <v>7.3700000000000015E-2</v>
      </c>
      <c r="W28" s="810">
        <f t="shared" si="27"/>
        <v>4.6200000000000005E-2</v>
      </c>
      <c r="X28" s="810">
        <f t="shared" si="27"/>
        <v>3.7400000000000003E-2</v>
      </c>
      <c r="Y28" s="810">
        <f t="shared" si="27"/>
        <v>3.6300000000000006E-2</v>
      </c>
      <c r="Z28" s="810">
        <f t="shared" si="27"/>
        <v>3.7400000000000003E-2</v>
      </c>
      <c r="AA28" s="810">
        <f t="shared" si="27"/>
        <v>4.4000000000000004E-2</v>
      </c>
      <c r="AB28" s="810">
        <f t="shared" si="27"/>
        <v>3.7400000000000003E-2</v>
      </c>
      <c r="AC28" s="810">
        <f t="shared" si="27"/>
        <v>4.6200000000000005E-2</v>
      </c>
      <c r="AD28" s="810">
        <f t="shared" si="27"/>
        <v>3.3000000000000008E-2</v>
      </c>
    </row>
    <row r="29" spans="1:30" s="714" customFormat="1">
      <c r="A29" s="480" t="str">
        <f>A71</f>
        <v>T-LGT-ICE_DST00</v>
      </c>
      <c r="B29" s="480" t="str">
        <f t="shared" ref="B29:C31" si="28">B71</f>
        <v>DEMO</v>
      </c>
      <c r="C29" s="480" t="str">
        <f t="shared" si="28"/>
        <v>tonne/vehicle</v>
      </c>
      <c r="D29" s="810">
        <f t="shared" ref="D29:S31" si="29">ROUNDUP(D71,3)*1.1</f>
        <v>5.0600000000000006E-2</v>
      </c>
      <c r="E29" s="810">
        <f t="shared" si="29"/>
        <v>4.8399999999999999E-2</v>
      </c>
      <c r="F29" s="810">
        <f t="shared" si="29"/>
        <v>5.0600000000000006E-2</v>
      </c>
      <c r="G29" s="810">
        <f t="shared" si="29"/>
        <v>4.5100000000000008E-2</v>
      </c>
      <c r="H29" s="810">
        <f t="shared" si="29"/>
        <v>6.2700000000000006E-2</v>
      </c>
      <c r="I29" s="810">
        <f t="shared" si="29"/>
        <v>5.7200000000000001E-2</v>
      </c>
      <c r="J29" s="810">
        <f t="shared" si="29"/>
        <v>4.4000000000000004E-2</v>
      </c>
      <c r="K29" s="810">
        <f t="shared" si="29"/>
        <v>5.3900000000000003E-2</v>
      </c>
      <c r="L29" s="810">
        <f t="shared" si="29"/>
        <v>4.4000000000000004E-2</v>
      </c>
      <c r="M29" s="810">
        <f t="shared" si="29"/>
        <v>4.8399999999999999E-2</v>
      </c>
      <c r="N29" s="810">
        <f t="shared" si="29"/>
        <v>4.2900000000000001E-2</v>
      </c>
      <c r="O29" s="810">
        <f t="shared" si="29"/>
        <v>5.3900000000000003E-2</v>
      </c>
      <c r="P29" s="810">
        <f t="shared" si="29"/>
        <v>4.9500000000000002E-2</v>
      </c>
      <c r="Q29" s="810">
        <f t="shared" si="29"/>
        <v>4.9500000000000002E-2</v>
      </c>
      <c r="R29" s="810">
        <f t="shared" si="29"/>
        <v>6.4900000000000013E-2</v>
      </c>
      <c r="S29" s="810">
        <f t="shared" si="29"/>
        <v>5.9400000000000001E-2</v>
      </c>
      <c r="T29" s="810">
        <f t="shared" si="27"/>
        <v>5.7200000000000001E-2</v>
      </c>
      <c r="U29" s="810">
        <f t="shared" si="27"/>
        <v>4.8399999999999999E-2</v>
      </c>
      <c r="V29" s="810">
        <f t="shared" si="27"/>
        <v>7.3700000000000015E-2</v>
      </c>
      <c r="W29" s="810">
        <f t="shared" si="27"/>
        <v>4.6200000000000005E-2</v>
      </c>
      <c r="X29" s="810">
        <f t="shared" si="27"/>
        <v>3.7400000000000003E-2</v>
      </c>
      <c r="Y29" s="810">
        <f t="shared" si="27"/>
        <v>3.6300000000000006E-2</v>
      </c>
      <c r="Z29" s="810">
        <f t="shared" si="27"/>
        <v>3.7400000000000003E-2</v>
      </c>
      <c r="AA29" s="810">
        <f t="shared" si="27"/>
        <v>4.4000000000000004E-2</v>
      </c>
      <c r="AB29" s="810">
        <f t="shared" si="27"/>
        <v>3.7400000000000003E-2</v>
      </c>
      <c r="AC29" s="810">
        <f t="shared" si="27"/>
        <v>4.6200000000000005E-2</v>
      </c>
      <c r="AD29" s="810">
        <f t="shared" si="27"/>
        <v>3.3000000000000008E-2</v>
      </c>
    </row>
    <row r="30" spans="1:30" s="714" customFormat="1">
      <c r="A30" s="480" t="str">
        <f>A72</f>
        <v>T-MGT-ICE_DST00</v>
      </c>
      <c r="B30" s="480" t="str">
        <f t="shared" si="28"/>
        <v>DEMO</v>
      </c>
      <c r="C30" s="480" t="str">
        <f t="shared" si="28"/>
        <v>tonne/vehicle</v>
      </c>
      <c r="D30" s="810">
        <f t="shared" si="29"/>
        <v>3.7664000000000004</v>
      </c>
      <c r="E30" s="810">
        <f t="shared" si="27"/>
        <v>3.8687</v>
      </c>
      <c r="F30" s="810">
        <f t="shared" si="27"/>
        <v>2.8028000000000004</v>
      </c>
      <c r="G30" s="810">
        <f t="shared" si="27"/>
        <v>3.4958</v>
      </c>
      <c r="H30" s="810">
        <f t="shared" si="27"/>
        <v>5.6188000000000011</v>
      </c>
      <c r="I30" s="810">
        <f t="shared" si="27"/>
        <v>4.0029000000000003</v>
      </c>
      <c r="J30" s="810">
        <f t="shared" si="27"/>
        <v>3.8632000000000004</v>
      </c>
      <c r="K30" s="810">
        <f t="shared" si="27"/>
        <v>2.5310999999999999</v>
      </c>
      <c r="L30" s="810">
        <f t="shared" si="27"/>
        <v>3.2824000000000004</v>
      </c>
      <c r="M30" s="810">
        <f t="shared" si="27"/>
        <v>5.5264000000000006</v>
      </c>
      <c r="N30" s="810">
        <f t="shared" si="27"/>
        <v>4.1943000000000001</v>
      </c>
      <c r="O30" s="810">
        <f t="shared" si="27"/>
        <v>3.9127000000000001</v>
      </c>
      <c r="P30" s="810">
        <f t="shared" si="27"/>
        <v>6.711100000000001</v>
      </c>
      <c r="Q30" s="810">
        <f t="shared" si="27"/>
        <v>6.6044000000000009</v>
      </c>
      <c r="R30" s="810">
        <f t="shared" si="27"/>
        <v>5.1964000000000006</v>
      </c>
      <c r="S30" s="810">
        <f t="shared" si="27"/>
        <v>6.8673000000000011</v>
      </c>
      <c r="T30" s="810">
        <f t="shared" si="27"/>
        <v>2.4628999999999999</v>
      </c>
      <c r="U30" s="810">
        <f t="shared" si="27"/>
        <v>4.0315000000000003</v>
      </c>
      <c r="V30" s="810">
        <f t="shared" si="27"/>
        <v>7.8936000000000011</v>
      </c>
      <c r="W30" s="810">
        <f t="shared" si="27"/>
        <v>4.3845999999999998</v>
      </c>
      <c r="X30" s="810">
        <f t="shared" si="27"/>
        <v>4.3857000000000008</v>
      </c>
      <c r="Y30" s="810">
        <f t="shared" si="27"/>
        <v>4.7520000000000007</v>
      </c>
      <c r="Z30" s="810">
        <f t="shared" si="27"/>
        <v>2.7423000000000002</v>
      </c>
      <c r="AA30" s="810">
        <f t="shared" si="27"/>
        <v>3.5882000000000005</v>
      </c>
      <c r="AB30" s="810">
        <f t="shared" si="27"/>
        <v>3.476</v>
      </c>
      <c r="AC30" s="810">
        <f t="shared" si="27"/>
        <v>5.4472000000000005</v>
      </c>
      <c r="AD30" s="810">
        <f t="shared" si="27"/>
        <v>2.101</v>
      </c>
    </row>
    <row r="31" spans="1:30" s="714" customFormat="1">
      <c r="A31" s="480" t="str">
        <f>A73</f>
        <v>T-HGT-ICE_DST00</v>
      </c>
      <c r="B31" s="480" t="str">
        <f t="shared" si="28"/>
        <v>DEMO</v>
      </c>
      <c r="C31" s="480" t="str">
        <f t="shared" si="28"/>
        <v>tonne/vehicle</v>
      </c>
      <c r="D31" s="810">
        <f t="shared" si="29"/>
        <v>9.7515000000000018</v>
      </c>
      <c r="E31" s="810">
        <f t="shared" si="27"/>
        <v>8.1653000000000002</v>
      </c>
      <c r="F31" s="810">
        <f t="shared" si="27"/>
        <v>12.860099999999999</v>
      </c>
      <c r="G31" s="810">
        <f t="shared" si="27"/>
        <v>7.495400000000001</v>
      </c>
      <c r="H31" s="810">
        <f t="shared" si="27"/>
        <v>6.9509000000000007</v>
      </c>
      <c r="I31" s="810">
        <f t="shared" si="27"/>
        <v>8.1873000000000005</v>
      </c>
      <c r="J31" s="810">
        <f t="shared" si="27"/>
        <v>6.8486000000000002</v>
      </c>
      <c r="K31" s="810">
        <f t="shared" si="27"/>
        <v>8.4128000000000007</v>
      </c>
      <c r="L31" s="810">
        <f t="shared" si="27"/>
        <v>5.6584000000000003</v>
      </c>
      <c r="M31" s="810">
        <f t="shared" si="27"/>
        <v>11.5258</v>
      </c>
      <c r="N31" s="810">
        <f t="shared" si="27"/>
        <v>13.943600000000002</v>
      </c>
      <c r="O31" s="810">
        <f t="shared" si="27"/>
        <v>5.781600000000001</v>
      </c>
      <c r="P31" s="810">
        <f t="shared" si="27"/>
        <v>14.165800000000001</v>
      </c>
      <c r="Q31" s="810">
        <f t="shared" si="27"/>
        <v>13.9392</v>
      </c>
      <c r="R31" s="810">
        <f t="shared" si="27"/>
        <v>11.516999999999999</v>
      </c>
      <c r="S31" s="810">
        <f t="shared" si="27"/>
        <v>16.391100000000002</v>
      </c>
      <c r="T31" s="810">
        <f t="shared" si="27"/>
        <v>8.8924000000000003</v>
      </c>
      <c r="U31" s="810">
        <f t="shared" si="27"/>
        <v>7.5592000000000015</v>
      </c>
      <c r="V31" s="810">
        <f t="shared" si="27"/>
        <v>18.415100000000002</v>
      </c>
      <c r="W31" s="810">
        <f t="shared" si="27"/>
        <v>12.674200000000001</v>
      </c>
      <c r="X31" s="810">
        <f t="shared" si="27"/>
        <v>11.107799999999999</v>
      </c>
      <c r="Y31" s="810">
        <f t="shared" si="27"/>
        <v>13.4024</v>
      </c>
      <c r="Z31" s="810">
        <f t="shared" si="27"/>
        <v>9.1146000000000011</v>
      </c>
      <c r="AA31" s="810">
        <f t="shared" si="27"/>
        <v>14.456200000000001</v>
      </c>
      <c r="AB31" s="810">
        <f t="shared" si="27"/>
        <v>6.1622000000000012</v>
      </c>
      <c r="AC31" s="810">
        <f t="shared" si="27"/>
        <v>11.0374</v>
      </c>
      <c r="AD31" s="810">
        <f t="shared" si="27"/>
        <v>2.4419999999999997</v>
      </c>
    </row>
    <row r="32" spans="1:30" s="714" customFormat="1">
      <c r="A32" s="496" t="str">
        <f t="shared" ref="A32:C32" si="30">A74</f>
        <v>T-GTR-ICE_DST00</v>
      </c>
      <c r="B32" s="496" t="str">
        <f t="shared" si="30"/>
        <v>DEMO</v>
      </c>
      <c r="C32" s="496" t="str">
        <f t="shared" si="30"/>
        <v>tonne/vehicle</v>
      </c>
      <c r="D32" s="727">
        <f>ROUNDUP(D74,2)*3</f>
        <v>494.52</v>
      </c>
      <c r="E32" s="727">
        <f t="shared" ref="E32:AD32" si="31">ROUNDUP(E74,2)*3</f>
        <v>494.52</v>
      </c>
      <c r="F32" s="727">
        <f t="shared" si="31"/>
        <v>494.52</v>
      </c>
      <c r="G32" s="727">
        <f t="shared" si="31"/>
        <v>494.52</v>
      </c>
      <c r="H32" s="727">
        <f t="shared" si="31"/>
        <v>494.52</v>
      </c>
      <c r="I32" s="727">
        <f t="shared" si="31"/>
        <v>494.52</v>
      </c>
      <c r="J32" s="727">
        <f t="shared" si="31"/>
        <v>494.52</v>
      </c>
      <c r="K32" s="727">
        <f t="shared" si="31"/>
        <v>494.52</v>
      </c>
      <c r="L32" s="727">
        <f t="shared" si="31"/>
        <v>494.52</v>
      </c>
      <c r="M32" s="727">
        <f t="shared" si="31"/>
        <v>494.52</v>
      </c>
      <c r="N32" s="727">
        <f t="shared" si="31"/>
        <v>494.52</v>
      </c>
      <c r="O32" s="727">
        <f t="shared" si="31"/>
        <v>494.52</v>
      </c>
      <c r="P32" s="727">
        <f t="shared" si="31"/>
        <v>494.52</v>
      </c>
      <c r="Q32" s="727">
        <f t="shared" si="31"/>
        <v>494.52</v>
      </c>
      <c r="R32" s="727">
        <f t="shared" si="31"/>
        <v>494.52</v>
      </c>
      <c r="S32" s="727">
        <f t="shared" si="31"/>
        <v>494.52</v>
      </c>
      <c r="T32" s="727">
        <f t="shared" si="31"/>
        <v>494.52</v>
      </c>
      <c r="U32" s="727">
        <f t="shared" si="31"/>
        <v>494.52</v>
      </c>
      <c r="V32" s="727">
        <f t="shared" si="31"/>
        <v>494.52</v>
      </c>
      <c r="W32" s="727">
        <f t="shared" si="31"/>
        <v>494.52</v>
      </c>
      <c r="X32" s="727">
        <f t="shared" si="31"/>
        <v>494.52</v>
      </c>
      <c r="Y32" s="727">
        <f t="shared" si="31"/>
        <v>494.52</v>
      </c>
      <c r="Z32" s="727">
        <f t="shared" si="31"/>
        <v>494.52</v>
      </c>
      <c r="AA32" s="727">
        <f t="shared" si="31"/>
        <v>494.52</v>
      </c>
      <c r="AB32" s="727">
        <f t="shared" si="31"/>
        <v>494.52</v>
      </c>
      <c r="AC32" s="727">
        <f t="shared" si="31"/>
        <v>494.52</v>
      </c>
      <c r="AD32" s="727">
        <f t="shared" si="31"/>
        <v>494.52</v>
      </c>
    </row>
    <row r="33" spans="1:35" s="714" customFormat="1"/>
    <row r="34" spans="1:35" s="714" customFormat="1">
      <c r="D34" s="829">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2">E52</f>
        <v>1.1000000000000001</v>
      </c>
      <c r="G52" s="478">
        <f t="shared" si="32"/>
        <v>1.1000000000000001</v>
      </c>
      <c r="H52" s="478">
        <f t="shared" si="32"/>
        <v>1.1000000000000001</v>
      </c>
      <c r="I52" s="478">
        <f t="shared" si="32"/>
        <v>1.1000000000000001</v>
      </c>
      <c r="J52" s="478">
        <f t="shared" si="32"/>
        <v>1.1000000000000001</v>
      </c>
      <c r="K52" s="478">
        <f t="shared" si="32"/>
        <v>1.1000000000000001</v>
      </c>
      <c r="L52" s="478">
        <f t="shared" si="32"/>
        <v>1.1000000000000001</v>
      </c>
      <c r="M52" s="478">
        <f t="shared" si="32"/>
        <v>1.1000000000000001</v>
      </c>
      <c r="N52" s="478">
        <f t="shared" si="32"/>
        <v>1.1000000000000001</v>
      </c>
      <c r="O52" s="478">
        <f t="shared" si="32"/>
        <v>1.1000000000000001</v>
      </c>
      <c r="P52" s="478">
        <f t="shared" si="32"/>
        <v>1.1000000000000001</v>
      </c>
      <c r="Q52" s="478">
        <f t="shared" si="32"/>
        <v>1.1000000000000001</v>
      </c>
      <c r="R52" s="478">
        <f t="shared" si="32"/>
        <v>1.1000000000000001</v>
      </c>
      <c r="S52" s="478">
        <f t="shared" si="32"/>
        <v>1.1000000000000001</v>
      </c>
      <c r="T52" s="478">
        <f t="shared" si="32"/>
        <v>1.1000000000000001</v>
      </c>
      <c r="U52" s="478">
        <f t="shared" si="32"/>
        <v>1.1000000000000001</v>
      </c>
      <c r="V52" s="478">
        <f t="shared" si="32"/>
        <v>1.1000000000000001</v>
      </c>
      <c r="W52" s="478">
        <f t="shared" si="32"/>
        <v>1.1000000000000001</v>
      </c>
      <c r="X52" s="478">
        <f t="shared" si="32"/>
        <v>1.1000000000000001</v>
      </c>
      <c r="Y52" s="478">
        <f t="shared" si="32"/>
        <v>1.1000000000000001</v>
      </c>
      <c r="Z52" s="478">
        <f t="shared" si="32"/>
        <v>1.1000000000000001</v>
      </c>
      <c r="AA52" s="478">
        <f t="shared" si="32"/>
        <v>1.1000000000000001</v>
      </c>
      <c r="AB52" s="478">
        <f t="shared" si="32"/>
        <v>1.1000000000000001</v>
      </c>
      <c r="AC52" s="478">
        <f t="shared" si="32"/>
        <v>1.1000000000000001</v>
      </c>
      <c r="AD52" s="478">
        <f t="shared" si="32"/>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3">E53</f>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F53" s="448"/>
      <c r="AG53" s="448"/>
      <c r="AH53" s="448"/>
      <c r="AI53" s="448"/>
    </row>
    <row r="54" spans="1:35">
      <c r="A54" s="480" t="str">
        <f>Commodities!K14</f>
        <v>T-CAR-ICE_DST00</v>
      </c>
      <c r="B54" s="480" t="s">
        <v>849</v>
      </c>
      <c r="C54" s="480" t="s">
        <v>732</v>
      </c>
      <c r="D54" s="478">
        <f>M95</f>
        <v>1.49201152283105</v>
      </c>
      <c r="E54" s="478">
        <f t="shared" ref="E54:E65" si="34">D54</f>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c r="AE54" s="448"/>
      <c r="AF54" s="448"/>
      <c r="AG54" s="448"/>
      <c r="AH54" s="448"/>
      <c r="AI54" s="448"/>
    </row>
    <row r="55" spans="1:35">
      <c r="A55" s="480" t="str">
        <f>Commodities!K15</f>
        <v>T-CAR-ICE_DF00</v>
      </c>
      <c r="B55" s="480" t="s">
        <v>849</v>
      </c>
      <c r="C55" s="480" t="s">
        <v>732</v>
      </c>
      <c r="D55" s="478">
        <f>M95</f>
        <v>1.49201152283105</v>
      </c>
      <c r="E55" s="478">
        <f t="shared" si="34"/>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c r="AE55" s="448"/>
      <c r="AG55" s="448"/>
      <c r="AH55" s="448"/>
      <c r="AI55" s="448"/>
    </row>
    <row r="56" spans="1:35">
      <c r="A56" s="480" t="str">
        <f>Commodities!K16</f>
        <v>T-CAR-ICE_E8500</v>
      </c>
      <c r="B56" s="480" t="s">
        <v>849</v>
      </c>
      <c r="C56" s="480" t="s">
        <v>732</v>
      </c>
      <c r="D56" s="478">
        <f>M95</f>
        <v>1.49201152283105</v>
      </c>
      <c r="E56" s="478">
        <f t="shared" si="34"/>
        <v>1.49201152283105</v>
      </c>
      <c r="F56" s="478">
        <f t="shared" si="33"/>
        <v>1.49201152283105</v>
      </c>
      <c r="G56" s="478">
        <f t="shared" si="33"/>
        <v>1.49201152283105</v>
      </c>
      <c r="H56" s="478">
        <f t="shared" si="33"/>
        <v>1.49201152283105</v>
      </c>
      <c r="I56" s="478">
        <f t="shared" si="33"/>
        <v>1.49201152283105</v>
      </c>
      <c r="J56" s="478">
        <f t="shared" si="33"/>
        <v>1.49201152283105</v>
      </c>
      <c r="K56" s="478">
        <f t="shared" si="33"/>
        <v>1.49201152283105</v>
      </c>
      <c r="L56" s="478">
        <f t="shared" si="33"/>
        <v>1.49201152283105</v>
      </c>
      <c r="M56" s="478">
        <f t="shared" si="33"/>
        <v>1.49201152283105</v>
      </c>
      <c r="N56" s="478">
        <f t="shared" si="33"/>
        <v>1.49201152283105</v>
      </c>
      <c r="O56" s="478">
        <f t="shared" si="33"/>
        <v>1.49201152283105</v>
      </c>
      <c r="P56" s="478">
        <f t="shared" si="33"/>
        <v>1.49201152283105</v>
      </c>
      <c r="Q56" s="478">
        <f t="shared" si="33"/>
        <v>1.49201152283105</v>
      </c>
      <c r="R56" s="478">
        <f t="shared" si="33"/>
        <v>1.49201152283105</v>
      </c>
      <c r="S56" s="478">
        <f t="shared" si="33"/>
        <v>1.49201152283105</v>
      </c>
      <c r="T56" s="478">
        <f t="shared" si="33"/>
        <v>1.49201152283105</v>
      </c>
      <c r="U56" s="478">
        <f t="shared" si="33"/>
        <v>1.49201152283105</v>
      </c>
      <c r="V56" s="478">
        <f t="shared" si="33"/>
        <v>1.49201152283105</v>
      </c>
      <c r="W56" s="478">
        <f t="shared" si="33"/>
        <v>1.49201152283105</v>
      </c>
      <c r="X56" s="478">
        <f t="shared" si="33"/>
        <v>1.49201152283105</v>
      </c>
      <c r="Y56" s="478">
        <f t="shared" si="33"/>
        <v>1.49201152283105</v>
      </c>
      <c r="Z56" s="478">
        <f t="shared" si="33"/>
        <v>1.49201152283105</v>
      </c>
      <c r="AA56" s="478">
        <f t="shared" si="33"/>
        <v>1.49201152283105</v>
      </c>
      <c r="AB56" s="478">
        <f t="shared" si="33"/>
        <v>1.49201152283105</v>
      </c>
      <c r="AC56" s="478">
        <f t="shared" si="33"/>
        <v>1.49201152283105</v>
      </c>
      <c r="AD56" s="478">
        <f t="shared" si="33"/>
        <v>1.49201152283105</v>
      </c>
    </row>
    <row r="57" spans="1:35">
      <c r="A57" s="480" t="str">
        <f>Commodities!K17</f>
        <v>T-CAR-HEV_GSL00</v>
      </c>
      <c r="B57" s="480" t="s">
        <v>849</v>
      </c>
      <c r="C57" s="480" t="s">
        <v>732</v>
      </c>
      <c r="D57" s="478">
        <f>M95</f>
        <v>1.49201152283105</v>
      </c>
      <c r="E57" s="478">
        <f>D57</f>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s="459" customFormat="1">
      <c r="A58" s="480" t="str">
        <f>Commodities!K18</f>
        <v>T-CAR-HEV_DST00</v>
      </c>
      <c r="B58" s="480" t="s">
        <v>849</v>
      </c>
      <c r="C58" s="480" t="s">
        <v>732</v>
      </c>
      <c r="D58" s="478">
        <f>M95</f>
        <v>1.49201152283105</v>
      </c>
      <c r="E58" s="478">
        <f>D58</f>
        <v>1.49201152283105</v>
      </c>
      <c r="F58" s="478">
        <f t="shared" ref="F58:AD58" si="35">E58</f>
        <v>1.49201152283105</v>
      </c>
      <c r="G58" s="478">
        <f t="shared" si="35"/>
        <v>1.49201152283105</v>
      </c>
      <c r="H58" s="478">
        <f t="shared" si="35"/>
        <v>1.49201152283105</v>
      </c>
      <c r="I58" s="478">
        <f t="shared" si="35"/>
        <v>1.49201152283105</v>
      </c>
      <c r="J58" s="478">
        <f t="shared" si="35"/>
        <v>1.49201152283105</v>
      </c>
      <c r="K58" s="478">
        <f t="shared" si="35"/>
        <v>1.49201152283105</v>
      </c>
      <c r="L58" s="478">
        <f t="shared" si="35"/>
        <v>1.49201152283105</v>
      </c>
      <c r="M58" s="478">
        <f t="shared" si="35"/>
        <v>1.49201152283105</v>
      </c>
      <c r="N58" s="478">
        <f t="shared" si="35"/>
        <v>1.49201152283105</v>
      </c>
      <c r="O58" s="478">
        <f t="shared" si="35"/>
        <v>1.49201152283105</v>
      </c>
      <c r="P58" s="478">
        <f t="shared" si="35"/>
        <v>1.49201152283105</v>
      </c>
      <c r="Q58" s="478">
        <f t="shared" si="35"/>
        <v>1.49201152283105</v>
      </c>
      <c r="R58" s="478">
        <f t="shared" si="35"/>
        <v>1.49201152283105</v>
      </c>
      <c r="S58" s="478">
        <f t="shared" si="35"/>
        <v>1.49201152283105</v>
      </c>
      <c r="T58" s="478">
        <f t="shared" si="35"/>
        <v>1.49201152283105</v>
      </c>
      <c r="U58" s="478">
        <f t="shared" si="35"/>
        <v>1.49201152283105</v>
      </c>
      <c r="V58" s="478">
        <f t="shared" si="35"/>
        <v>1.49201152283105</v>
      </c>
      <c r="W58" s="478">
        <f t="shared" si="35"/>
        <v>1.49201152283105</v>
      </c>
      <c r="X58" s="478">
        <f t="shared" si="35"/>
        <v>1.49201152283105</v>
      </c>
      <c r="Y58" s="478">
        <f t="shared" si="35"/>
        <v>1.49201152283105</v>
      </c>
      <c r="Z58" s="478">
        <f t="shared" si="35"/>
        <v>1.49201152283105</v>
      </c>
      <c r="AA58" s="478">
        <f t="shared" si="35"/>
        <v>1.49201152283105</v>
      </c>
      <c r="AB58" s="478">
        <f t="shared" si="35"/>
        <v>1.49201152283105</v>
      </c>
      <c r="AC58" s="478">
        <f t="shared" si="35"/>
        <v>1.49201152283105</v>
      </c>
      <c r="AD58" s="478">
        <f t="shared" si="35"/>
        <v>1.49201152283105</v>
      </c>
    </row>
    <row r="59" spans="1:35">
      <c r="A59" s="480" t="str">
        <f>Commodities!K19</f>
        <v>T-CAR-PHEV_GSL00</v>
      </c>
      <c r="B59" s="480" t="s">
        <v>849</v>
      </c>
      <c r="C59" s="480" t="s">
        <v>732</v>
      </c>
      <c r="D59" s="478">
        <f>M95</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Commodities!K20</f>
        <v>T-CAR-PHEV_DST00</v>
      </c>
      <c r="B60" s="480" t="s">
        <v>849</v>
      </c>
      <c r="C60" s="480" t="s">
        <v>732</v>
      </c>
      <c r="D60" s="478">
        <f>M95</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Commodities!K21</f>
        <v>T-CAR-BEV_ELC00</v>
      </c>
      <c r="B61" s="480" t="s">
        <v>849</v>
      </c>
      <c r="C61" s="480" t="s">
        <v>732</v>
      </c>
      <c r="D61" s="478">
        <f>M95</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Commodities!K23</f>
        <v>T-TAX-ICE_GSL00</v>
      </c>
      <c r="B62" s="480" t="s">
        <v>849</v>
      </c>
      <c r="C62" s="480" t="s">
        <v>732</v>
      </c>
      <c r="D62" s="478">
        <f>M95</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si="33"/>
        <v>1.49201152283105</v>
      </c>
      <c r="L62" s="478">
        <f t="shared" si="33"/>
        <v>1.49201152283105</v>
      </c>
      <c r="M62" s="478">
        <f t="shared" si="33"/>
        <v>1.49201152283105</v>
      </c>
      <c r="N62" s="478">
        <f t="shared" si="33"/>
        <v>1.49201152283105</v>
      </c>
      <c r="O62" s="478">
        <f t="shared" si="33"/>
        <v>1.49201152283105</v>
      </c>
      <c r="P62" s="478">
        <f t="shared" si="33"/>
        <v>1.49201152283105</v>
      </c>
      <c r="Q62" s="478">
        <f t="shared" si="33"/>
        <v>1.49201152283105</v>
      </c>
      <c r="R62" s="478">
        <f t="shared" si="33"/>
        <v>1.49201152283105</v>
      </c>
      <c r="S62" s="478">
        <f t="shared" si="33"/>
        <v>1.49201152283105</v>
      </c>
      <c r="T62" s="478">
        <f t="shared" si="33"/>
        <v>1.49201152283105</v>
      </c>
      <c r="U62" s="478">
        <f t="shared" si="33"/>
        <v>1.49201152283105</v>
      </c>
      <c r="V62" s="478">
        <f t="shared" si="33"/>
        <v>1.49201152283105</v>
      </c>
      <c r="W62" s="478">
        <f t="shared" si="33"/>
        <v>1.49201152283105</v>
      </c>
      <c r="X62" s="478">
        <f t="shared" si="33"/>
        <v>1.49201152283105</v>
      </c>
      <c r="Y62" s="478">
        <f t="shared" si="33"/>
        <v>1.49201152283105</v>
      </c>
      <c r="Z62" s="478">
        <f t="shared" si="33"/>
        <v>1.49201152283105</v>
      </c>
      <c r="AA62" s="478">
        <f t="shared" si="33"/>
        <v>1.49201152283105</v>
      </c>
      <c r="AB62" s="478">
        <f t="shared" si="33"/>
        <v>1.49201152283105</v>
      </c>
      <c r="AC62" s="478">
        <f t="shared" si="33"/>
        <v>1.49201152283105</v>
      </c>
      <c r="AD62" s="478">
        <f t="shared" si="33"/>
        <v>1.49201152283105</v>
      </c>
    </row>
    <row r="63" spans="1:35">
      <c r="A63" s="480" t="str">
        <f>Commodities!K24</f>
        <v>T-TAX-ICE_DST00</v>
      </c>
      <c r="B63" s="480" t="s">
        <v>849</v>
      </c>
      <c r="C63" s="480" t="s">
        <v>732</v>
      </c>
      <c r="D63" s="478">
        <f>M95</f>
        <v>1.49201152283105</v>
      </c>
      <c r="E63" s="478">
        <f t="shared" si="34"/>
        <v>1.49201152283105</v>
      </c>
      <c r="F63" s="478">
        <f t="shared" si="33"/>
        <v>1.49201152283105</v>
      </c>
      <c r="G63" s="478">
        <f t="shared" si="33"/>
        <v>1.49201152283105</v>
      </c>
      <c r="H63" s="478">
        <f t="shared" si="33"/>
        <v>1.49201152283105</v>
      </c>
      <c r="I63" s="478">
        <f t="shared" si="33"/>
        <v>1.49201152283105</v>
      </c>
      <c r="J63" s="478">
        <f t="shared" si="33"/>
        <v>1.49201152283105</v>
      </c>
      <c r="K63" s="478">
        <f t="shared" si="33"/>
        <v>1.49201152283105</v>
      </c>
      <c r="L63" s="478">
        <f t="shared" si="33"/>
        <v>1.49201152283105</v>
      </c>
      <c r="M63" s="478">
        <f t="shared" si="33"/>
        <v>1.49201152283105</v>
      </c>
      <c r="N63" s="478">
        <f t="shared" si="33"/>
        <v>1.49201152283105</v>
      </c>
      <c r="O63" s="478">
        <f t="shared" si="33"/>
        <v>1.49201152283105</v>
      </c>
      <c r="P63" s="478">
        <f t="shared" si="33"/>
        <v>1.49201152283105</v>
      </c>
      <c r="Q63" s="478">
        <f t="shared" si="33"/>
        <v>1.49201152283105</v>
      </c>
      <c r="R63" s="478">
        <f t="shared" si="33"/>
        <v>1.49201152283105</v>
      </c>
      <c r="S63" s="478">
        <f t="shared" si="33"/>
        <v>1.49201152283105</v>
      </c>
      <c r="T63" s="478">
        <f t="shared" si="33"/>
        <v>1.49201152283105</v>
      </c>
      <c r="U63" s="478">
        <f t="shared" si="33"/>
        <v>1.49201152283105</v>
      </c>
      <c r="V63" s="478">
        <f t="shared" si="33"/>
        <v>1.49201152283105</v>
      </c>
      <c r="W63" s="478">
        <f t="shared" si="33"/>
        <v>1.49201152283105</v>
      </c>
      <c r="X63" s="478">
        <f t="shared" si="33"/>
        <v>1.49201152283105</v>
      </c>
      <c r="Y63" s="478">
        <f t="shared" si="33"/>
        <v>1.49201152283105</v>
      </c>
      <c r="Z63" s="478">
        <f t="shared" si="33"/>
        <v>1.49201152283105</v>
      </c>
      <c r="AA63" s="478">
        <f t="shared" si="33"/>
        <v>1.49201152283105</v>
      </c>
      <c r="AB63" s="478">
        <f t="shared" si="33"/>
        <v>1.49201152283105</v>
      </c>
      <c r="AC63" s="478">
        <f t="shared" si="33"/>
        <v>1.49201152283105</v>
      </c>
      <c r="AD63" s="478">
        <f t="shared" si="33"/>
        <v>1.49201152283105</v>
      </c>
    </row>
    <row r="64" spans="1:35">
      <c r="A64" s="480" t="str">
        <f>Commodities!K25</f>
        <v>T-TAX-HEV_GSL00</v>
      </c>
      <c r="B64" s="480" t="s">
        <v>849</v>
      </c>
      <c r="C64" s="480" t="s">
        <v>732</v>
      </c>
      <c r="D64" s="478">
        <f>M95</f>
        <v>1.49201152283105</v>
      </c>
      <c r="E64" s="478">
        <f t="shared" si="34"/>
        <v>1.49201152283105</v>
      </c>
      <c r="F64" s="478">
        <f t="shared" si="33"/>
        <v>1.49201152283105</v>
      </c>
      <c r="G64" s="478">
        <f t="shared" si="33"/>
        <v>1.49201152283105</v>
      </c>
      <c r="H64" s="478">
        <f t="shared" si="33"/>
        <v>1.49201152283105</v>
      </c>
      <c r="I64" s="478">
        <f t="shared" si="33"/>
        <v>1.49201152283105</v>
      </c>
      <c r="J64" s="478">
        <f t="shared" si="33"/>
        <v>1.49201152283105</v>
      </c>
      <c r="K64" s="478">
        <f t="shared" ref="K64:K68" si="36">J64</f>
        <v>1.49201152283105</v>
      </c>
      <c r="L64" s="478">
        <f t="shared" ref="L64:L68" si="37">K64</f>
        <v>1.49201152283105</v>
      </c>
      <c r="M64" s="478">
        <f t="shared" ref="M64:M68" si="38">L64</f>
        <v>1.49201152283105</v>
      </c>
      <c r="N64" s="478">
        <f t="shared" ref="N64:N68" si="39">M64</f>
        <v>1.49201152283105</v>
      </c>
      <c r="O64" s="478">
        <f t="shared" ref="O64:O68" si="40">N64</f>
        <v>1.49201152283105</v>
      </c>
      <c r="P64" s="478">
        <f t="shared" ref="P64:P68" si="41">O64</f>
        <v>1.49201152283105</v>
      </c>
      <c r="Q64" s="478">
        <f t="shared" ref="Q64:Q68" si="42">P64</f>
        <v>1.49201152283105</v>
      </c>
      <c r="R64" s="478">
        <f t="shared" ref="R64:R68" si="43">Q64</f>
        <v>1.49201152283105</v>
      </c>
      <c r="S64" s="478">
        <f t="shared" ref="S64:S68" si="44">R64</f>
        <v>1.49201152283105</v>
      </c>
      <c r="T64" s="478">
        <f t="shared" ref="T64:T68" si="45">S64</f>
        <v>1.49201152283105</v>
      </c>
      <c r="U64" s="478">
        <f t="shared" ref="U64:U68" si="46">T64</f>
        <v>1.49201152283105</v>
      </c>
      <c r="V64" s="478">
        <f t="shared" ref="V64:V68" si="47">U64</f>
        <v>1.49201152283105</v>
      </c>
      <c r="W64" s="478">
        <f t="shared" ref="W64:W68" si="48">V64</f>
        <v>1.49201152283105</v>
      </c>
      <c r="X64" s="478">
        <f t="shared" ref="X64:X68" si="49">W64</f>
        <v>1.49201152283105</v>
      </c>
      <c r="Y64" s="478">
        <f t="shared" ref="Y64:Y68" si="50">X64</f>
        <v>1.49201152283105</v>
      </c>
      <c r="Z64" s="478">
        <f t="shared" ref="Z64:Z68" si="51">Y64</f>
        <v>1.49201152283105</v>
      </c>
      <c r="AA64" s="478">
        <f t="shared" ref="AA64:AA68" si="52">Z64</f>
        <v>1.49201152283105</v>
      </c>
      <c r="AB64" s="478">
        <f t="shared" ref="AB64:AB68" si="53">AA64</f>
        <v>1.49201152283105</v>
      </c>
      <c r="AC64" s="478">
        <f t="shared" ref="AC64:AC68" si="54">AB64</f>
        <v>1.49201152283105</v>
      </c>
      <c r="AD64" s="478">
        <f t="shared" ref="AD64:AD68" si="55">AC64</f>
        <v>1.49201152283105</v>
      </c>
    </row>
    <row r="65" spans="1:30">
      <c r="A65" s="480" t="str">
        <f>Commodities!K27</f>
        <v>T-BUS-ICE_DST00</v>
      </c>
      <c r="B65" s="480" t="s">
        <v>849</v>
      </c>
      <c r="C65" s="480" t="s">
        <v>732</v>
      </c>
      <c r="D65" s="479">
        <v>27.25</v>
      </c>
      <c r="E65" s="478">
        <f t="shared" si="34"/>
        <v>27.25</v>
      </c>
      <c r="F65" s="478">
        <f t="shared" ref="F65" si="56">E65</f>
        <v>27.25</v>
      </c>
      <c r="G65" s="478">
        <f t="shared" ref="G65" si="57">F65</f>
        <v>27.25</v>
      </c>
      <c r="H65" s="478">
        <f t="shared" ref="H65" si="58">G65</f>
        <v>27.25</v>
      </c>
      <c r="I65" s="478">
        <f t="shared" ref="I65:I68" si="59">H65</f>
        <v>27.25</v>
      </c>
      <c r="J65" s="478">
        <f t="shared" ref="J65:J68" si="60">I65</f>
        <v>27.25</v>
      </c>
      <c r="K65" s="478">
        <f t="shared" si="36"/>
        <v>27.25</v>
      </c>
      <c r="L65" s="478">
        <f t="shared" si="37"/>
        <v>27.25</v>
      </c>
      <c r="M65" s="478">
        <f t="shared" si="38"/>
        <v>27.25</v>
      </c>
      <c r="N65" s="478">
        <f t="shared" si="39"/>
        <v>27.25</v>
      </c>
      <c r="O65" s="478">
        <f t="shared" si="40"/>
        <v>27.25</v>
      </c>
      <c r="P65" s="478">
        <f t="shared" si="41"/>
        <v>27.25</v>
      </c>
      <c r="Q65" s="478">
        <f t="shared" si="42"/>
        <v>27.25</v>
      </c>
      <c r="R65" s="478">
        <f t="shared" si="43"/>
        <v>27.25</v>
      </c>
      <c r="S65" s="478">
        <f t="shared" si="44"/>
        <v>27.25</v>
      </c>
      <c r="T65" s="478">
        <f t="shared" si="45"/>
        <v>27.25</v>
      </c>
      <c r="U65" s="478">
        <f t="shared" si="46"/>
        <v>27.25</v>
      </c>
      <c r="V65" s="478">
        <f t="shared" si="47"/>
        <v>27.25</v>
      </c>
      <c r="W65" s="478">
        <f t="shared" si="48"/>
        <v>27.25</v>
      </c>
      <c r="X65" s="478">
        <f t="shared" si="49"/>
        <v>27.25</v>
      </c>
      <c r="Y65" s="478">
        <f t="shared" si="50"/>
        <v>27.25</v>
      </c>
      <c r="Z65" s="478">
        <f t="shared" si="51"/>
        <v>27.25</v>
      </c>
      <c r="AA65" s="478">
        <f t="shared" si="52"/>
        <v>27.25</v>
      </c>
      <c r="AB65" s="478">
        <f t="shared" si="53"/>
        <v>27.25</v>
      </c>
      <c r="AC65" s="478">
        <f t="shared" si="54"/>
        <v>27.25</v>
      </c>
      <c r="AD65" s="478">
        <f t="shared" si="55"/>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9"/>
        <v>0</v>
      </c>
      <c r="J66" s="724">
        <f t="shared" si="60"/>
        <v>0</v>
      </c>
      <c r="K66" s="724">
        <f t="shared" si="36"/>
        <v>0</v>
      </c>
      <c r="L66" s="724">
        <f t="shared" si="37"/>
        <v>0</v>
      </c>
      <c r="M66" s="724">
        <f t="shared" si="38"/>
        <v>0</v>
      </c>
      <c r="N66" s="724">
        <f t="shared" si="39"/>
        <v>0</v>
      </c>
      <c r="O66" s="724">
        <f t="shared" si="40"/>
        <v>0</v>
      </c>
      <c r="P66" s="724">
        <f t="shared" si="41"/>
        <v>0</v>
      </c>
      <c r="Q66" s="724">
        <f t="shared" si="42"/>
        <v>0</v>
      </c>
      <c r="R66" s="724">
        <f t="shared" si="43"/>
        <v>0</v>
      </c>
      <c r="S66" s="724">
        <f t="shared" si="44"/>
        <v>0</v>
      </c>
      <c r="T66" s="724">
        <f t="shared" si="45"/>
        <v>0</v>
      </c>
      <c r="U66" s="724">
        <f t="shared" si="46"/>
        <v>0</v>
      </c>
      <c r="V66" s="724">
        <f t="shared" si="47"/>
        <v>0</v>
      </c>
      <c r="W66" s="724">
        <f t="shared" si="48"/>
        <v>0</v>
      </c>
      <c r="X66" s="724">
        <f t="shared" si="49"/>
        <v>0</v>
      </c>
      <c r="Y66" s="724">
        <f t="shared" si="50"/>
        <v>0</v>
      </c>
      <c r="Z66" s="724">
        <f t="shared" si="51"/>
        <v>0</v>
      </c>
      <c r="AA66" s="724">
        <f t="shared" si="52"/>
        <v>0</v>
      </c>
      <c r="AB66" s="724">
        <f t="shared" si="53"/>
        <v>0</v>
      </c>
      <c r="AC66" s="724">
        <f t="shared" si="54"/>
        <v>0</v>
      </c>
      <c r="AD66" s="724">
        <f t="shared" si="55"/>
        <v>0</v>
      </c>
    </row>
    <row r="67" spans="1:30" s="459" customFormat="1">
      <c r="A67" s="480" t="str">
        <f>Commodities!K30</f>
        <v>T-HPT-BEV_ELC00</v>
      </c>
      <c r="B67" s="480" t="s">
        <v>849</v>
      </c>
      <c r="C67" s="480" t="s">
        <v>732</v>
      </c>
      <c r="D67" s="724">
        <f>D66</f>
        <v>78.019401157895544</v>
      </c>
      <c r="E67" s="724">
        <f>D67</f>
        <v>78.019401157895544</v>
      </c>
      <c r="F67" s="724">
        <f t="shared" ref="F67:H67" si="61">E67</f>
        <v>78.019401157895544</v>
      </c>
      <c r="G67" s="724">
        <f t="shared" si="61"/>
        <v>78.019401157895544</v>
      </c>
      <c r="H67" s="724">
        <f t="shared" si="61"/>
        <v>78.019401157895544</v>
      </c>
      <c r="I67" s="724">
        <f t="shared" si="59"/>
        <v>78.019401157895544</v>
      </c>
      <c r="J67" s="724">
        <f t="shared" si="60"/>
        <v>78.019401157895544</v>
      </c>
      <c r="K67" s="724">
        <f t="shared" si="36"/>
        <v>78.019401157895544</v>
      </c>
      <c r="L67" s="724">
        <f t="shared" si="37"/>
        <v>78.019401157895544</v>
      </c>
      <c r="M67" s="724">
        <f t="shared" si="38"/>
        <v>78.019401157895544</v>
      </c>
      <c r="N67" s="724">
        <f t="shared" si="39"/>
        <v>78.019401157895544</v>
      </c>
      <c r="O67" s="724">
        <f t="shared" si="40"/>
        <v>78.019401157895544</v>
      </c>
      <c r="P67" s="724">
        <f t="shared" si="41"/>
        <v>78.019401157895544</v>
      </c>
      <c r="Q67" s="724">
        <f t="shared" si="42"/>
        <v>78.019401157895544</v>
      </c>
      <c r="R67" s="724">
        <f t="shared" si="43"/>
        <v>78.019401157895544</v>
      </c>
      <c r="S67" s="724">
        <f t="shared" si="44"/>
        <v>78.019401157895544</v>
      </c>
      <c r="T67" s="724">
        <f t="shared" si="45"/>
        <v>78.019401157895544</v>
      </c>
      <c r="U67" s="724">
        <f t="shared" si="46"/>
        <v>78.019401157895544</v>
      </c>
      <c r="V67" s="724">
        <f t="shared" si="47"/>
        <v>78.019401157895544</v>
      </c>
      <c r="W67" s="724">
        <f t="shared" si="48"/>
        <v>78.019401157895544</v>
      </c>
      <c r="X67" s="724">
        <f t="shared" si="49"/>
        <v>78.019401157895544</v>
      </c>
      <c r="Y67" s="724">
        <f t="shared" si="50"/>
        <v>78.019401157895544</v>
      </c>
      <c r="Z67" s="724">
        <f t="shared" si="51"/>
        <v>78.019401157895544</v>
      </c>
      <c r="AA67" s="724">
        <f t="shared" si="52"/>
        <v>78.019401157895544</v>
      </c>
      <c r="AB67" s="724">
        <f t="shared" si="53"/>
        <v>78.019401157895544</v>
      </c>
      <c r="AC67" s="724">
        <f t="shared" si="54"/>
        <v>78.019401157895544</v>
      </c>
      <c r="AD67" s="724">
        <f t="shared" si="55"/>
        <v>78.019401157895544</v>
      </c>
    </row>
    <row r="68" spans="1:30" s="459" customFormat="1">
      <c r="A68" s="480" t="str">
        <f>Commodities!K31</f>
        <v>T-HPT-ICE_DST00</v>
      </c>
      <c r="B68" s="480" t="s">
        <v>849</v>
      </c>
      <c r="C68" s="480" t="s">
        <v>732</v>
      </c>
      <c r="D68" s="724">
        <v>120</v>
      </c>
      <c r="E68" s="724">
        <f>D68</f>
        <v>120</v>
      </c>
      <c r="F68" s="724">
        <f t="shared" ref="F68:H68" si="62">E68</f>
        <v>120</v>
      </c>
      <c r="G68" s="724">
        <f t="shared" si="62"/>
        <v>120</v>
      </c>
      <c r="H68" s="724">
        <f t="shared" si="62"/>
        <v>120</v>
      </c>
      <c r="I68" s="724">
        <f t="shared" si="59"/>
        <v>120</v>
      </c>
      <c r="J68" s="724">
        <f t="shared" si="60"/>
        <v>120</v>
      </c>
      <c r="K68" s="724">
        <f t="shared" si="36"/>
        <v>120</v>
      </c>
      <c r="L68" s="724">
        <f t="shared" si="37"/>
        <v>120</v>
      </c>
      <c r="M68" s="724">
        <f t="shared" si="38"/>
        <v>120</v>
      </c>
      <c r="N68" s="724">
        <f t="shared" si="39"/>
        <v>120</v>
      </c>
      <c r="O68" s="724">
        <f t="shared" si="40"/>
        <v>120</v>
      </c>
      <c r="P68" s="724">
        <f t="shared" si="41"/>
        <v>120</v>
      </c>
      <c r="Q68" s="724">
        <f t="shared" si="42"/>
        <v>120</v>
      </c>
      <c r="R68" s="724">
        <f t="shared" si="43"/>
        <v>120</v>
      </c>
      <c r="S68" s="724">
        <f t="shared" si="44"/>
        <v>120</v>
      </c>
      <c r="T68" s="724">
        <f t="shared" si="45"/>
        <v>120</v>
      </c>
      <c r="U68" s="724">
        <f t="shared" si="46"/>
        <v>120</v>
      </c>
      <c r="V68" s="724">
        <f t="shared" si="47"/>
        <v>120</v>
      </c>
      <c r="W68" s="724">
        <f t="shared" si="48"/>
        <v>120</v>
      </c>
      <c r="X68" s="724">
        <f t="shared" si="49"/>
        <v>120</v>
      </c>
      <c r="Y68" s="724">
        <f t="shared" si="50"/>
        <v>120</v>
      </c>
      <c r="Z68" s="724">
        <f t="shared" si="51"/>
        <v>120</v>
      </c>
      <c r="AA68" s="724">
        <f t="shared" si="52"/>
        <v>120</v>
      </c>
      <c r="AB68" s="724">
        <f t="shared" si="53"/>
        <v>120</v>
      </c>
      <c r="AC68" s="724">
        <f t="shared" si="54"/>
        <v>120</v>
      </c>
      <c r="AD68" s="724">
        <f t="shared" si="55"/>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3">D74</f>
        <v>164.83335026928157</v>
      </c>
      <c r="F74" s="727">
        <f t="shared" ref="F74:AD74" si="64">E74</f>
        <v>164.83335026928157</v>
      </c>
      <c r="G74" s="727">
        <f t="shared" si="64"/>
        <v>164.83335026928157</v>
      </c>
      <c r="H74" s="727">
        <f t="shared" si="64"/>
        <v>164.83335026928157</v>
      </c>
      <c r="I74" s="727">
        <f t="shared" si="64"/>
        <v>164.83335026928157</v>
      </c>
      <c r="J74" s="727">
        <f t="shared" si="64"/>
        <v>164.83335026928157</v>
      </c>
      <c r="K74" s="727">
        <f t="shared" si="64"/>
        <v>164.83335026928157</v>
      </c>
      <c r="L74" s="727">
        <f t="shared" si="64"/>
        <v>164.83335026928157</v>
      </c>
      <c r="M74" s="727">
        <f t="shared" si="64"/>
        <v>164.83335026928157</v>
      </c>
      <c r="N74" s="727">
        <f t="shared" si="64"/>
        <v>164.83335026928157</v>
      </c>
      <c r="O74" s="727">
        <f t="shared" si="64"/>
        <v>164.83335026928157</v>
      </c>
      <c r="P74" s="727">
        <f t="shared" si="64"/>
        <v>164.83335026928157</v>
      </c>
      <c r="Q74" s="727">
        <f t="shared" si="64"/>
        <v>164.83335026928157</v>
      </c>
      <c r="R74" s="727">
        <f t="shared" si="64"/>
        <v>164.83335026928157</v>
      </c>
      <c r="S74" s="727">
        <f t="shared" si="64"/>
        <v>164.83335026928157</v>
      </c>
      <c r="T74" s="727">
        <f t="shared" si="64"/>
        <v>164.83335026928157</v>
      </c>
      <c r="U74" s="727">
        <f t="shared" si="64"/>
        <v>164.83335026928157</v>
      </c>
      <c r="V74" s="727">
        <f t="shared" si="64"/>
        <v>164.83335026928157</v>
      </c>
      <c r="W74" s="727">
        <f t="shared" si="64"/>
        <v>164.83335026928157</v>
      </c>
      <c r="X74" s="727">
        <f t="shared" si="64"/>
        <v>164.83335026928157</v>
      </c>
      <c r="Y74" s="727">
        <f t="shared" si="64"/>
        <v>164.83335026928157</v>
      </c>
      <c r="Z74" s="727">
        <f t="shared" si="64"/>
        <v>164.83335026928157</v>
      </c>
      <c r="AA74" s="727">
        <f t="shared" si="64"/>
        <v>164.83335026928157</v>
      </c>
      <c r="AB74" s="727">
        <f t="shared" si="64"/>
        <v>164.83335026928157</v>
      </c>
      <c r="AC74" s="727">
        <f t="shared" si="64"/>
        <v>164.83335026928157</v>
      </c>
      <c r="AD74" s="727">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65" t="s">
        <v>9</v>
      </c>
      <c r="B96" s="444" t="s">
        <v>456</v>
      </c>
      <c r="C96" s="386">
        <v>1.24</v>
      </c>
      <c r="D96" s="386">
        <v>1.25</v>
      </c>
      <c r="E96" s="386">
        <v>1.26</v>
      </c>
      <c r="F96" s="386">
        <v>1.26</v>
      </c>
      <c r="G96" s="386">
        <v>1.33</v>
      </c>
      <c r="H96" s="386">
        <v>1.34</v>
      </c>
      <c r="I96" s="386">
        <v>1.38</v>
      </c>
      <c r="J96" s="386">
        <v>1.38</v>
      </c>
      <c r="K96" s="459"/>
      <c r="L96" s="459"/>
      <c r="M96" s="448"/>
    </row>
    <row r="97" spans="1:13">
      <c r="A97" s="865"/>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65" t="s">
        <v>10</v>
      </c>
      <c r="B98" s="444" t="s">
        <v>456</v>
      </c>
      <c r="C98" s="386">
        <v>1.21</v>
      </c>
      <c r="D98" s="386">
        <v>1.22</v>
      </c>
      <c r="E98" s="386">
        <v>1.23</v>
      </c>
      <c r="F98" s="386">
        <v>1.23</v>
      </c>
      <c r="G98" s="386">
        <v>1.2</v>
      </c>
      <c r="H98" s="386">
        <v>1.23</v>
      </c>
      <c r="I98" s="386">
        <v>1.22</v>
      </c>
      <c r="J98" s="386">
        <v>1.22</v>
      </c>
      <c r="K98" s="459"/>
      <c r="L98" s="459"/>
      <c r="M98" s="448"/>
    </row>
    <row r="99" spans="1:13">
      <c r="A99" s="865"/>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65" t="s">
        <v>11</v>
      </c>
      <c r="B100" s="444" t="s">
        <v>456</v>
      </c>
      <c r="C100" s="386">
        <v>1.64</v>
      </c>
      <c r="D100" s="386">
        <v>1.65</v>
      </c>
      <c r="E100" s="386">
        <v>1.66</v>
      </c>
      <c r="F100" s="386">
        <v>1.68</v>
      </c>
      <c r="G100" s="386">
        <v>1.7</v>
      </c>
      <c r="H100" s="386">
        <v>1.83</v>
      </c>
      <c r="I100" s="386">
        <v>1.85</v>
      </c>
      <c r="J100" s="386">
        <v>1.85</v>
      </c>
      <c r="K100" s="459"/>
      <c r="L100" s="459"/>
      <c r="M100" s="448"/>
    </row>
    <row r="101" spans="1:13">
      <c r="A101" s="865"/>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40"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D27" sqref="B23:D27"/>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45" t="s">
        <v>1116</v>
      </c>
      <c r="C133" s="714" t="s">
        <v>671</v>
      </c>
      <c r="D133" s="811">
        <v>18812</v>
      </c>
      <c r="E133" s="811">
        <v>18327</v>
      </c>
      <c r="F133" s="811">
        <v>20874</v>
      </c>
      <c r="G133" s="811">
        <v>19721</v>
      </c>
      <c r="H133" s="811">
        <v>17550</v>
      </c>
      <c r="I133" s="811">
        <v>18496</v>
      </c>
      <c r="J133" s="811">
        <v>18161</v>
      </c>
      <c r="K133" s="811">
        <v>19163</v>
      </c>
      <c r="L133" s="811">
        <v>19238</v>
      </c>
      <c r="M133" s="811">
        <v>18565</v>
      </c>
      <c r="N133" s="811">
        <v>19338</v>
      </c>
      <c r="O133" s="811">
        <v>18918</v>
      </c>
      <c r="P133" s="811">
        <v>17802</v>
      </c>
      <c r="Q133" s="811">
        <v>18458</v>
      </c>
      <c r="R133" s="811">
        <v>17796</v>
      </c>
      <c r="S133" s="811">
        <v>17679</v>
      </c>
      <c r="T133" s="811">
        <v>18705</v>
      </c>
      <c r="U133" s="811">
        <v>17793</v>
      </c>
      <c r="V133" s="811">
        <v>17605</v>
      </c>
      <c r="W133" s="811">
        <v>18640</v>
      </c>
      <c r="X133" s="811">
        <v>18071</v>
      </c>
      <c r="Y133" s="811">
        <v>17930</v>
      </c>
      <c r="Z133" s="811">
        <v>18533</v>
      </c>
      <c r="AA133" s="811">
        <v>17813</v>
      </c>
      <c r="AB133" s="811">
        <v>17732</v>
      </c>
      <c r="AC133" s="811">
        <v>17350</v>
      </c>
      <c r="AD133" s="811">
        <v>17979</v>
      </c>
    </row>
    <row r="134" spans="2:31">
      <c r="B134" s="845"/>
      <c r="C134" s="714" t="s">
        <v>672</v>
      </c>
      <c r="D134" s="811">
        <v>22777</v>
      </c>
      <c r="E134" s="811">
        <v>22972</v>
      </c>
      <c r="F134" s="811">
        <v>23876</v>
      </c>
      <c r="G134" s="811">
        <v>23187</v>
      </c>
      <c r="H134" s="811">
        <v>22452</v>
      </c>
      <c r="I134" s="811">
        <v>22787</v>
      </c>
      <c r="J134" s="811">
        <v>22549</v>
      </c>
      <c r="K134" s="811">
        <v>22783</v>
      </c>
      <c r="L134" s="811">
        <v>24675</v>
      </c>
      <c r="M134" s="811">
        <v>21712</v>
      </c>
      <c r="N134" s="811">
        <v>21983</v>
      </c>
      <c r="O134" s="811">
        <v>22263</v>
      </c>
      <c r="P134" s="811">
        <v>22000</v>
      </c>
      <c r="Q134" s="811">
        <v>22177</v>
      </c>
      <c r="R134" s="811">
        <v>21597</v>
      </c>
      <c r="S134" s="811">
        <v>22368</v>
      </c>
      <c r="T134" s="811">
        <v>23609</v>
      </c>
      <c r="U134" s="811">
        <v>22098</v>
      </c>
      <c r="V134" s="811">
        <v>20010</v>
      </c>
      <c r="W134" s="811">
        <v>22072</v>
      </c>
      <c r="X134" s="811">
        <v>22910</v>
      </c>
      <c r="Y134" s="811">
        <v>22731</v>
      </c>
      <c r="Z134" s="811">
        <v>22898</v>
      </c>
      <c r="AA134" s="811">
        <v>21767</v>
      </c>
      <c r="AB134" s="811">
        <v>24188</v>
      </c>
      <c r="AC134" s="811">
        <v>21368</v>
      </c>
      <c r="AD134" s="811">
        <v>23757</v>
      </c>
    </row>
    <row r="135" spans="2:31">
      <c r="B135" s="845" t="s">
        <v>1117</v>
      </c>
      <c r="C135" s="714" t="s">
        <v>673</v>
      </c>
      <c r="D135" s="811">
        <v>24886</v>
      </c>
      <c r="E135" s="811">
        <v>26210</v>
      </c>
      <c r="F135" s="811">
        <v>29256</v>
      </c>
      <c r="G135" s="811">
        <v>17558</v>
      </c>
      <c r="H135" s="811">
        <v>19522</v>
      </c>
      <c r="I135" s="811">
        <v>21770</v>
      </c>
      <c r="J135" s="811">
        <v>20540</v>
      </c>
      <c r="K135" s="811">
        <v>23423</v>
      </c>
      <c r="L135" s="811">
        <v>22646</v>
      </c>
      <c r="M135" s="811">
        <v>16971</v>
      </c>
      <c r="N135" s="811">
        <v>20521</v>
      </c>
      <c r="O135" s="811">
        <v>25577</v>
      </c>
      <c r="P135" s="811">
        <v>21935</v>
      </c>
      <c r="Q135" s="811">
        <v>21810</v>
      </c>
      <c r="R135" s="811">
        <v>27526</v>
      </c>
      <c r="S135" s="811">
        <v>20496</v>
      </c>
      <c r="T135" s="811">
        <v>25046</v>
      </c>
      <c r="U135" s="811">
        <v>24342</v>
      </c>
      <c r="V135" s="811">
        <v>23562</v>
      </c>
      <c r="W135" s="811">
        <v>25393</v>
      </c>
      <c r="X135" s="811">
        <v>27179</v>
      </c>
      <c r="Y135" s="811">
        <v>20837</v>
      </c>
      <c r="Z135" s="811">
        <v>29842</v>
      </c>
      <c r="AA135" s="811">
        <v>15596</v>
      </c>
      <c r="AB135" s="811">
        <v>25082</v>
      </c>
      <c r="AC135" s="811">
        <v>21056</v>
      </c>
      <c r="AD135" s="811">
        <v>31334</v>
      </c>
    </row>
    <row r="136" spans="2:31">
      <c r="B136" s="845"/>
      <c r="C136" s="714" t="s">
        <v>674</v>
      </c>
      <c r="D136" s="811">
        <v>33909</v>
      </c>
      <c r="E136" s="811">
        <v>36135</v>
      </c>
      <c r="F136" s="811">
        <v>37356</v>
      </c>
      <c r="G136" s="811">
        <v>32526</v>
      </c>
      <c r="H136" s="811">
        <v>30053</v>
      </c>
      <c r="I136" s="811">
        <v>30410</v>
      </c>
      <c r="J136" s="811">
        <v>28673</v>
      </c>
      <c r="K136" s="811">
        <v>35555</v>
      </c>
      <c r="L136" s="811">
        <v>33548</v>
      </c>
      <c r="M136" s="811">
        <v>32090</v>
      </c>
      <c r="N136" s="811">
        <v>33034</v>
      </c>
      <c r="O136" s="811">
        <v>39121</v>
      </c>
      <c r="P136" s="811">
        <v>30965</v>
      </c>
      <c r="Q136" s="811">
        <v>29562</v>
      </c>
      <c r="R136" s="811">
        <v>31318</v>
      </c>
      <c r="S136" s="811">
        <v>32713</v>
      </c>
      <c r="T136" s="811">
        <v>35585</v>
      </c>
      <c r="U136" s="811">
        <v>29017</v>
      </c>
      <c r="V136" s="811">
        <v>28410</v>
      </c>
      <c r="W136" s="811">
        <v>32278</v>
      </c>
      <c r="X136" s="811">
        <v>25860</v>
      </c>
      <c r="Y136" s="811">
        <v>33906</v>
      </c>
      <c r="Z136" s="811">
        <v>38159</v>
      </c>
      <c r="AA136" s="811">
        <v>29685</v>
      </c>
      <c r="AB136" s="811">
        <v>36598</v>
      </c>
      <c r="AC136" s="811">
        <v>25343</v>
      </c>
      <c r="AD136" s="811">
        <v>32265</v>
      </c>
    </row>
    <row r="137" spans="2:31">
      <c r="B137" s="845" t="s">
        <v>1118</v>
      </c>
      <c r="C137" s="1" t="s">
        <v>675</v>
      </c>
      <c r="D137" s="812">
        <v>43778</v>
      </c>
      <c r="E137" s="812">
        <v>33395</v>
      </c>
      <c r="F137" s="812">
        <v>43605</v>
      </c>
      <c r="G137" s="812">
        <v>50666</v>
      </c>
      <c r="H137" s="812">
        <v>53428</v>
      </c>
      <c r="I137" s="812">
        <v>41522</v>
      </c>
      <c r="J137" s="812">
        <v>38587</v>
      </c>
      <c r="K137" s="812">
        <v>45110</v>
      </c>
      <c r="L137" s="812">
        <v>50321</v>
      </c>
      <c r="M137" s="812">
        <v>37139</v>
      </c>
      <c r="N137" s="812">
        <v>39912</v>
      </c>
      <c r="O137" s="812">
        <v>47642</v>
      </c>
      <c r="P137" s="812">
        <v>36894</v>
      </c>
      <c r="Q137" s="812">
        <v>39750</v>
      </c>
      <c r="R137" s="812">
        <v>45961</v>
      </c>
      <c r="S137" s="812">
        <v>39555</v>
      </c>
      <c r="T137" s="812">
        <v>47304</v>
      </c>
      <c r="U137" s="812">
        <v>34552</v>
      </c>
      <c r="V137" s="812">
        <v>38682</v>
      </c>
      <c r="W137" s="812">
        <v>34222</v>
      </c>
      <c r="X137" s="812">
        <v>42807</v>
      </c>
      <c r="Y137" s="812">
        <v>29929</v>
      </c>
      <c r="Z137" s="812">
        <v>39795</v>
      </c>
      <c r="AA137" s="812">
        <v>37003</v>
      </c>
      <c r="AB137" s="812">
        <v>53670</v>
      </c>
      <c r="AC137" s="812">
        <v>35221</v>
      </c>
      <c r="AD137" s="812">
        <v>47146</v>
      </c>
    </row>
    <row r="138" spans="2:31">
      <c r="B138" s="867"/>
      <c r="C138" s="458" t="s">
        <v>676</v>
      </c>
      <c r="D138" s="813">
        <v>58054</v>
      </c>
      <c r="E138" s="813">
        <v>64370</v>
      </c>
      <c r="F138" s="813">
        <v>55611</v>
      </c>
      <c r="G138" s="813">
        <v>58768</v>
      </c>
      <c r="H138" s="813">
        <v>65766</v>
      </c>
      <c r="I138" s="813">
        <v>63432</v>
      </c>
      <c r="J138" s="813">
        <v>64009</v>
      </c>
      <c r="K138" s="813">
        <v>58399</v>
      </c>
      <c r="L138" s="813">
        <v>50380</v>
      </c>
      <c r="M138" s="813">
        <v>61272</v>
      </c>
      <c r="N138" s="813">
        <v>56742</v>
      </c>
      <c r="O138" s="813">
        <v>65903</v>
      </c>
      <c r="P138" s="813">
        <v>60412</v>
      </c>
      <c r="Q138" s="813">
        <v>57594</v>
      </c>
      <c r="R138" s="813">
        <v>56573</v>
      </c>
      <c r="S138" s="813">
        <v>56417</v>
      </c>
      <c r="T138" s="813">
        <v>61445</v>
      </c>
      <c r="U138" s="813">
        <v>56429</v>
      </c>
      <c r="V138" s="813">
        <v>61495</v>
      </c>
      <c r="W138" s="813">
        <v>50837</v>
      </c>
      <c r="X138" s="813">
        <v>62233</v>
      </c>
      <c r="Y138" s="813">
        <v>44392</v>
      </c>
      <c r="Z138" s="813">
        <v>57483</v>
      </c>
      <c r="AA138" s="813">
        <v>56557</v>
      </c>
      <c r="AB138" s="813">
        <v>69665</v>
      </c>
      <c r="AC138" s="813">
        <v>59429</v>
      </c>
      <c r="AD138" s="813">
        <v>66998</v>
      </c>
    </row>
    <row r="139" spans="2:31">
      <c r="B139" s="714" t="s">
        <v>678</v>
      </c>
      <c r="C139" s="803"/>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1114</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Commodities!B13</f>
        <v>TRACNG</v>
      </c>
      <c r="H4" s="729" t="str">
        <f>Commodities!B14</f>
        <v>TRABNG</v>
      </c>
      <c r="I4" s="729" t="str">
        <f>Commodities!B15</f>
        <v>TRAELC</v>
      </c>
      <c r="J4" s="729" t="str">
        <f>Commodities!B16</f>
        <v>TRALNG</v>
      </c>
      <c r="K4" s="729" t="str">
        <f>Commodities!B17</f>
        <v>TRAHYD</v>
      </c>
      <c r="L4" s="729" t="str">
        <f>Commodities!B18</f>
        <v>TRAKER</v>
      </c>
      <c r="M4" s="729" t="str">
        <f>Commodities!B22</f>
        <v>TRAE85</v>
      </c>
      <c r="N4" s="729" t="str">
        <f>Commodities!B23</f>
        <v>TRANGB</v>
      </c>
      <c r="O4" s="729" t="s">
        <v>96</v>
      </c>
    </row>
    <row r="5" spans="2:15">
      <c r="B5" s="29" t="str">
        <f>[1]Commodities!C33</f>
        <v>Carbon Dioxide - Combustion (TRA)</v>
      </c>
      <c r="C5" s="799">
        <v>69.3</v>
      </c>
      <c r="D5" s="800">
        <v>74.099999999999994</v>
      </c>
      <c r="E5" s="801"/>
      <c r="F5" s="801"/>
      <c r="G5" s="801">
        <v>56.1</v>
      </c>
      <c r="H5" s="801"/>
      <c r="I5" s="801"/>
      <c r="J5" s="801">
        <v>56.1</v>
      </c>
      <c r="K5" s="801"/>
      <c r="L5" s="801">
        <v>71.900000000000006</v>
      </c>
      <c r="M5" s="801"/>
      <c r="N5" s="801"/>
      <c r="O5" s="801" t="s">
        <v>1115</v>
      </c>
    </row>
    <row r="6" spans="2:15">
      <c r="B6" s="29" t="str">
        <f>[1]Commodities!C34</f>
        <v>Methane (TRA)</v>
      </c>
      <c r="C6" s="801"/>
      <c r="D6" s="801"/>
      <c r="E6" s="29"/>
      <c r="F6" s="29"/>
      <c r="G6" s="801"/>
      <c r="H6" s="801"/>
      <c r="I6" s="801"/>
      <c r="J6" s="801"/>
      <c r="K6" s="801"/>
      <c r="L6" s="801"/>
      <c r="M6" s="801"/>
      <c r="N6" s="801"/>
      <c r="O6" s="801" t="s">
        <v>1115</v>
      </c>
    </row>
    <row r="7" spans="2:15">
      <c r="B7" s="29" t="str">
        <f>[1]Commodities!C35</f>
        <v>Sulphur Oxides (TRA)</v>
      </c>
      <c r="C7" s="801"/>
      <c r="D7" s="801"/>
      <c r="E7" s="29"/>
      <c r="F7" s="29"/>
      <c r="G7" s="801"/>
      <c r="H7" s="801"/>
      <c r="I7" s="801"/>
      <c r="J7" s="801"/>
      <c r="K7" s="801"/>
      <c r="L7" s="801"/>
      <c r="M7" s="801"/>
      <c r="N7" s="801"/>
      <c r="O7" s="801" t="s">
        <v>1115</v>
      </c>
    </row>
    <row r="8" spans="2:15">
      <c r="B8" s="29" t="str">
        <f>[1]Commodities!C36</f>
        <v>Nitrogen Oxide (TRA)</v>
      </c>
      <c r="C8" s="801"/>
      <c r="D8" s="801"/>
      <c r="E8" s="29"/>
      <c r="F8" s="29"/>
      <c r="G8" s="801"/>
      <c r="H8" s="801"/>
      <c r="I8" s="801"/>
      <c r="J8" s="801"/>
      <c r="K8" s="801"/>
      <c r="L8" s="801"/>
      <c r="M8" s="801"/>
      <c r="N8" s="801"/>
      <c r="O8" s="801" t="s">
        <v>1115</v>
      </c>
    </row>
    <row r="9" spans="2:15">
      <c r="B9" s="56" t="s">
        <v>110</v>
      </c>
      <c r="C9" s="29"/>
      <c r="D9" s="29"/>
      <c r="E9" s="29"/>
      <c r="F9" s="29"/>
      <c r="G9" s="29"/>
      <c r="H9" s="29"/>
      <c r="I9" s="29"/>
      <c r="J9" s="29"/>
      <c r="K9" s="29"/>
      <c r="L9" s="29"/>
      <c r="M9" s="29"/>
      <c r="N9" s="29"/>
      <c r="O9" s="801" t="s">
        <v>1115</v>
      </c>
    </row>
    <row r="10" spans="2:15">
      <c r="B10" s="56" t="s">
        <v>111</v>
      </c>
      <c r="C10" s="29"/>
      <c r="D10" s="29"/>
      <c r="E10" s="29"/>
      <c r="F10" s="29"/>
      <c r="G10" s="29"/>
      <c r="H10" s="29"/>
      <c r="I10" s="29"/>
      <c r="J10" s="29"/>
      <c r="K10" s="29"/>
      <c r="L10" s="29"/>
      <c r="M10" s="29"/>
      <c r="N10" s="29"/>
      <c r="O10" s="801"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2021-01-12T12:07:18Z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79639256000518</vt:r8>
  </property>
</Properties>
</file>