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VEDA\VEDA_Models\~g2v_Irish-TIMES-model\tra-updates\"/>
    </mc:Choice>
  </mc:AlternateContent>
  <xr:revisionPtr revIDLastSave="0" documentId="13_ncr:1_{5BFC077F-A605-4514-B7FC-6156C04C2413}" xr6:coauthVersionLast="46" xr6:coauthVersionMax="46" xr10:uidLastSave="{00000000-0000-0000-0000-000000000000}"/>
  <bookViews>
    <workbookView xWindow="-108" yWindow="-108" windowWidth="23256" windowHeight="12576" firstSheet="3" activeTab="8"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E31" i="58"/>
  <c r="F31" i="58"/>
  <c r="G31" i="58"/>
  <c r="H31" i="58"/>
  <c r="I31" i="58"/>
  <c r="J31" i="58"/>
  <c r="K31" i="58"/>
  <c r="L31" i="58"/>
  <c r="M31" i="58"/>
  <c r="N31" i="58"/>
  <c r="O31" i="58"/>
  <c r="P31" i="58"/>
  <c r="Q31" i="58"/>
  <c r="R31" i="58"/>
  <c r="S31" i="58"/>
  <c r="T31" i="58"/>
  <c r="U31" i="58"/>
  <c r="V31" i="58"/>
  <c r="W31" i="58"/>
  <c r="X31" i="58"/>
  <c r="Y31" i="58"/>
  <c r="Z31" i="58"/>
  <c r="AA31" i="58"/>
  <c r="AB31" i="58"/>
  <c r="AC31" i="58"/>
  <c r="AD31" i="58"/>
  <c r="D29" i="58"/>
  <c r="D30" i="58"/>
  <c r="D31" i="58"/>
  <c r="D28" i="58"/>
  <c r="H637" i="43"/>
  <c r="D635" i="43"/>
  <c r="C635" i="43"/>
  <c r="D625" i="43"/>
  <c r="E625" i="43"/>
  <c r="F625" i="43"/>
  <c r="G625" i="43"/>
  <c r="H625" i="43"/>
  <c r="I625" i="43"/>
  <c r="J625" i="43"/>
  <c r="K625" i="43"/>
  <c r="L625" i="43"/>
  <c r="M625" i="43"/>
  <c r="N625" i="43"/>
  <c r="O625" i="43"/>
  <c r="P625" i="43"/>
  <c r="Q625" i="43"/>
  <c r="R625" i="43"/>
  <c r="S625" i="43"/>
  <c r="T625" i="43"/>
  <c r="U625" i="43"/>
  <c r="V625" i="43"/>
  <c r="W625" i="43"/>
  <c r="X625" i="43"/>
  <c r="Y625" i="43"/>
  <c r="Z625" i="43"/>
  <c r="AA625" i="43"/>
  <c r="AB625" i="43"/>
  <c r="AC625" i="43"/>
  <c r="D626" i="43"/>
  <c r="E626" i="43"/>
  <c r="F626" i="43"/>
  <c r="G626" i="43"/>
  <c r="H626" i="43"/>
  <c r="I626" i="43"/>
  <c r="J626" i="43"/>
  <c r="K626" i="43"/>
  <c r="L626" i="43"/>
  <c r="M626" i="43"/>
  <c r="N626" i="43"/>
  <c r="O626" i="43"/>
  <c r="P626" i="43"/>
  <c r="Q626" i="43"/>
  <c r="R626" i="43"/>
  <c r="S626" i="43"/>
  <c r="T626" i="43"/>
  <c r="U626" i="43"/>
  <c r="V626" i="43"/>
  <c r="W626" i="43"/>
  <c r="X626" i="43"/>
  <c r="Y626" i="43"/>
  <c r="Z626" i="43"/>
  <c r="AA626" i="43"/>
  <c r="AB626" i="43"/>
  <c r="AC626" i="43"/>
  <c r="D627" i="43"/>
  <c r="E627" i="43"/>
  <c r="F627" i="43"/>
  <c r="G627" i="43"/>
  <c r="H627" i="43"/>
  <c r="I627" i="43"/>
  <c r="J627" i="43"/>
  <c r="K627" i="43"/>
  <c r="L627" i="43"/>
  <c r="M627" i="43"/>
  <c r="N627" i="43"/>
  <c r="O627" i="43"/>
  <c r="P627" i="43"/>
  <c r="Q627" i="43"/>
  <c r="R627" i="43"/>
  <c r="S627" i="43"/>
  <c r="T627" i="43"/>
  <c r="U627" i="43"/>
  <c r="V627" i="43"/>
  <c r="W627" i="43"/>
  <c r="X627" i="43"/>
  <c r="Y627" i="43"/>
  <c r="Z627" i="43"/>
  <c r="AA627" i="43"/>
  <c r="AB627" i="43"/>
  <c r="AC627" i="43"/>
  <c r="D628" i="43"/>
  <c r="E628" i="43"/>
  <c r="F628" i="43"/>
  <c r="G628" i="43"/>
  <c r="H628" i="43"/>
  <c r="I628" i="43"/>
  <c r="J628" i="43"/>
  <c r="K628" i="43"/>
  <c r="L628" i="43"/>
  <c r="M628" i="43"/>
  <c r="N628" i="43"/>
  <c r="O628" i="43"/>
  <c r="P628" i="43"/>
  <c r="Q628" i="43"/>
  <c r="R628" i="43"/>
  <c r="S628" i="43"/>
  <c r="T628" i="43"/>
  <c r="U628" i="43"/>
  <c r="V628" i="43"/>
  <c r="W628" i="43"/>
  <c r="X628" i="43"/>
  <c r="Y628" i="43"/>
  <c r="Z628" i="43"/>
  <c r="AA628" i="43"/>
  <c r="AB628" i="43"/>
  <c r="AC628" i="43"/>
  <c r="C627" i="43"/>
  <c r="C626" i="43"/>
  <c r="C625" i="43"/>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D34" i="58"/>
  <c r="C453" i="43"/>
  <c r="C17" i="68"/>
  <c r="J18" i="68"/>
  <c r="K18" i="68"/>
  <c r="L18" i="68"/>
  <c r="M18" i="68"/>
  <c r="I18" i="68"/>
  <c r="E19" i="68"/>
  <c r="D18" i="68"/>
  <c r="D17" i="68"/>
  <c r="C14" i="68"/>
  <c r="D12" i="65"/>
  <c r="B11" i="65"/>
  <c r="M12" i="65"/>
  <c r="M13" i="65"/>
  <c r="AM55" i="56"/>
  <c r="C18" i="43"/>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C628" i="43" l="1"/>
  <c r="C462" i="43"/>
  <c r="B12" i="65"/>
  <c r="L12" i="65" s="1"/>
  <c r="K18" i="43"/>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D71" i="58" l="1"/>
  <c r="D70" i="58"/>
  <c r="E75" i="59"/>
  <c r="E77" i="59"/>
  <c r="E76" i="59"/>
  <c r="C76" i="59"/>
  <c r="A75" i="59"/>
  <c r="A128" i="59" s="1"/>
  <c r="C75" i="59"/>
  <c r="A76" i="59"/>
  <c r="A129" i="59" s="1"/>
  <c r="B33" i="59"/>
  <c r="C33" i="59"/>
  <c r="B34" i="59"/>
  <c r="C34" i="59"/>
  <c r="C455" i="43" l="1"/>
  <c r="C454" i="43"/>
  <c r="D446" i="43"/>
  <c r="C446" i="43"/>
  <c r="C463" i="43" l="1"/>
  <c r="D72" i="58" s="1"/>
  <c r="C464" i="43"/>
  <c r="D73" i="58" s="1"/>
  <c r="C456" i="43"/>
  <c r="N4" i="69"/>
  <c r="M4" i="69"/>
  <c r="L4" i="69"/>
  <c r="K4" i="69"/>
  <c r="J4" i="69"/>
  <c r="I4" i="69"/>
  <c r="H4" i="69"/>
  <c r="G4" i="69"/>
  <c r="F4" i="69"/>
  <c r="E4" i="69"/>
  <c r="D4" i="69"/>
  <c r="C4" i="69"/>
  <c r="B8" i="69"/>
  <c r="B7" i="69"/>
  <c r="B6" i="69"/>
  <c r="B5" i="69"/>
  <c r="C629" i="43" l="1"/>
  <c r="D13" i="65"/>
  <c r="B13" i="65" s="1"/>
  <c r="C638" i="43" l="1"/>
  <c r="C636" i="43"/>
  <c r="C637"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C639" i="43" l="1"/>
  <c r="B151" i="59"/>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F150" i="59" l="1"/>
  <c r="F151" i="59" s="1"/>
  <c r="AG55" i="68"/>
  <c r="AH55" i="68" s="1"/>
  <c r="AI55" i="68" s="1"/>
  <c r="AJ55" i="68" s="1"/>
  <c r="AK55" i="68" s="1"/>
  <c r="AL55" i="68" s="1"/>
  <c r="AM55" i="68" s="1"/>
  <c r="AN55" i="68" s="1"/>
  <c r="AO55" i="68" s="1"/>
  <c r="AP55" i="68" s="1"/>
  <c r="M5" i="68" s="1"/>
  <c r="L5" i="68"/>
  <c r="J8" i="68"/>
  <c r="L8" i="68"/>
  <c r="G150" i="59" l="1"/>
  <c r="H150" i="59"/>
  <c r="G151" i="59"/>
  <c r="M7" i="65"/>
  <c r="M8" i="65"/>
  <c r="M9" i="65"/>
  <c r="M10" i="65"/>
  <c r="M11" i="65"/>
  <c r="M14" i="65"/>
  <c r="M15" i="65"/>
  <c r="M16" i="65"/>
  <c r="M17" i="65"/>
  <c r="M18" i="65"/>
  <c r="M6" i="65"/>
  <c r="L13"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78" i="43"/>
  <c r="B679" i="43"/>
  <c r="B680" i="43"/>
  <c r="D680" i="43"/>
  <c r="C679" i="43"/>
  <c r="D679" i="43"/>
  <c r="E679" i="43"/>
  <c r="F679" i="43"/>
  <c r="G679" i="43"/>
  <c r="C680" i="43"/>
  <c r="E680" i="43"/>
  <c r="F680" i="43"/>
  <c r="G680" i="43"/>
  <c r="D678" i="43"/>
  <c r="E678" i="43"/>
  <c r="F678" i="43"/>
  <c r="G678" i="43"/>
  <c r="C678" i="43"/>
  <c r="C697" i="43"/>
  <c r="D697" i="43"/>
  <c r="E697" i="43"/>
  <c r="F697" i="43"/>
  <c r="G697" i="43"/>
  <c r="C698" i="43"/>
  <c r="D698" i="43"/>
  <c r="E698" i="43"/>
  <c r="F698" i="43"/>
  <c r="G698" i="43"/>
  <c r="C699" i="43"/>
  <c r="D699" i="43"/>
  <c r="E699" i="43"/>
  <c r="F699" i="43"/>
  <c r="G699" i="43"/>
  <c r="B698" i="43"/>
  <c r="B707" i="43" s="1"/>
  <c r="B699" i="43"/>
  <c r="B708" i="43" s="1"/>
  <c r="B697" i="43"/>
  <c r="B706" i="43" s="1"/>
  <c r="C662" i="43"/>
  <c r="C661" i="43"/>
  <c r="A662" i="43"/>
  <c r="A661" i="43"/>
  <c r="A649" i="43"/>
  <c r="A650" i="43"/>
  <c r="A648" i="43"/>
  <c r="C42" i="59"/>
  <c r="C43" i="59"/>
  <c r="B43" i="59"/>
  <c r="B42" i="59"/>
  <c r="J66" i="58" l="1"/>
  <c r="I121" i="61"/>
  <c r="AM70" i="59"/>
  <c r="AM84" i="59" s="1"/>
  <c r="J68" i="58"/>
  <c r="E67" i="58"/>
  <c r="E122" i="61" s="1"/>
  <c r="M20" i="61"/>
  <c r="N22" i="61"/>
  <c r="N91" i="61"/>
  <c r="N21" i="61" s="1"/>
  <c r="N97" i="61"/>
  <c r="N27" i="61" s="1"/>
  <c r="F681" i="43"/>
  <c r="X661" i="43" s="1"/>
  <c r="X11" i="43" s="1"/>
  <c r="J27" i="60"/>
  <c r="K24" i="60"/>
  <c r="J28" i="60"/>
  <c r="N90" i="61"/>
  <c r="O92" i="61"/>
  <c r="F708" i="43"/>
  <c r="C681" i="43"/>
  <c r="Q661" i="43" s="1"/>
  <c r="Q11" i="43" s="1"/>
  <c r="G708" i="43"/>
  <c r="C708" i="43"/>
  <c r="E681" i="43"/>
  <c r="R661" i="43" s="1"/>
  <c r="R11" i="43" s="1"/>
  <c r="D708" i="43"/>
  <c r="F706" i="43"/>
  <c r="D681" i="43"/>
  <c r="E661" i="43" s="1"/>
  <c r="E11" i="43" s="1"/>
  <c r="G706" i="43"/>
  <c r="C11" i="43"/>
  <c r="C12" i="43"/>
  <c r="E706" i="43"/>
  <c r="G681" i="43"/>
  <c r="P661" i="43" s="1"/>
  <c r="P11" i="43" s="1"/>
  <c r="C707" i="43"/>
  <c r="E708" i="43"/>
  <c r="G707" i="43"/>
  <c r="D706" i="43"/>
  <c r="F707" i="43"/>
  <c r="C706" i="43"/>
  <c r="E707" i="43"/>
  <c r="D70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09" i="43"/>
  <c r="X662" i="43" s="1"/>
  <c r="X12" i="43" s="1"/>
  <c r="E709" i="43"/>
  <c r="R662" i="43" s="1"/>
  <c r="R12" i="43" s="1"/>
  <c r="D709" i="43"/>
  <c r="E662" i="43" s="1"/>
  <c r="E12" i="43" s="1"/>
  <c r="G709" i="43"/>
  <c r="P662" i="43" s="1"/>
  <c r="P12" i="43" s="1"/>
  <c r="C709" i="43"/>
  <c r="Q66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49" i="43"/>
  <c r="C650" i="43"/>
  <c r="C648" i="43"/>
  <c r="B647" i="43"/>
  <c r="B66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04" i="43"/>
  <c r="Q426" i="43"/>
  <c r="Q452" i="43" s="1"/>
  <c r="Q404" i="43"/>
  <c r="X426" i="43"/>
  <c r="X452" i="43" s="1"/>
  <c r="X404" i="43"/>
  <c r="P426" i="43"/>
  <c r="P452" i="43" s="1"/>
  <c r="P404" i="43"/>
  <c r="H426" i="43"/>
  <c r="H452" i="43" s="1"/>
  <c r="H404" i="43"/>
  <c r="I426" i="43"/>
  <c r="I452" i="43" s="1"/>
  <c r="I404" i="43"/>
  <c r="W426" i="43"/>
  <c r="W452" i="43" s="1"/>
  <c r="W404" i="43"/>
  <c r="O426" i="43"/>
  <c r="O452" i="43" s="1"/>
  <c r="O404" i="43"/>
  <c r="G426" i="43"/>
  <c r="G452" i="43" s="1"/>
  <c r="G404" i="43"/>
  <c r="V426" i="43"/>
  <c r="V452" i="43" s="1"/>
  <c r="V404" i="43"/>
  <c r="N426" i="43"/>
  <c r="N452" i="43" s="1"/>
  <c r="N404" i="43"/>
  <c r="AC426" i="43"/>
  <c r="AC452" i="43" s="1"/>
  <c r="AC404" i="43"/>
  <c r="U426" i="43"/>
  <c r="U452" i="43" s="1"/>
  <c r="U404" i="43"/>
  <c r="M426" i="43"/>
  <c r="M452" i="43" s="1"/>
  <c r="M404" i="43"/>
  <c r="E426" i="43"/>
  <c r="E452" i="43" s="1"/>
  <c r="E404" i="43"/>
  <c r="AB426" i="43"/>
  <c r="AB452" i="43" s="1"/>
  <c r="AB404" i="43"/>
  <c r="T426" i="43"/>
  <c r="T452" i="43" s="1"/>
  <c r="T404" i="43"/>
  <c r="L426" i="43"/>
  <c r="L452" i="43" s="1"/>
  <c r="L404" i="43"/>
  <c r="D426" i="43"/>
  <c r="D452" i="43" s="1"/>
  <c r="D404" i="43"/>
  <c r="C426" i="43"/>
  <c r="C452" i="43" s="1"/>
  <c r="C404" i="43"/>
  <c r="AA426" i="43"/>
  <c r="AA452" i="43" s="1"/>
  <c r="AA404" i="43"/>
  <c r="S426" i="43"/>
  <c r="S452" i="43" s="1"/>
  <c r="S404" i="43"/>
  <c r="K426" i="43"/>
  <c r="K452" i="43" s="1"/>
  <c r="K404" i="43"/>
  <c r="F426" i="43"/>
  <c r="F452" i="43" s="1"/>
  <c r="F404" i="43"/>
  <c r="Z426" i="43"/>
  <c r="Z452" i="43" s="1"/>
  <c r="Z404" i="43"/>
  <c r="R426" i="43"/>
  <c r="R452" i="43" s="1"/>
  <c r="R404" i="43"/>
  <c r="J426" i="43"/>
  <c r="J452"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M461" i="43" l="1"/>
  <c r="M624" i="43"/>
  <c r="M634" i="43" s="1"/>
  <c r="Q461" i="43"/>
  <c r="Q624" i="43"/>
  <c r="Q634" i="43" s="1"/>
  <c r="R461" i="43"/>
  <c r="R624" i="43"/>
  <c r="R634" i="43" s="1"/>
  <c r="V461" i="43"/>
  <c r="V624" i="43"/>
  <c r="V634" i="43" s="1"/>
  <c r="Z461" i="43"/>
  <c r="Z624" i="43"/>
  <c r="Z634" i="43" s="1"/>
  <c r="AA461" i="43"/>
  <c r="AA624" i="43"/>
  <c r="AA634" i="43" s="1"/>
  <c r="T461" i="43"/>
  <c r="T624" i="43"/>
  <c r="T634" i="43" s="1"/>
  <c r="U461" i="43"/>
  <c r="U624" i="43"/>
  <c r="U634" i="43" s="1"/>
  <c r="G461" i="43"/>
  <c r="G624" i="43"/>
  <c r="G634" i="43" s="1"/>
  <c r="H461" i="43"/>
  <c r="H624" i="43"/>
  <c r="H634" i="43" s="1"/>
  <c r="Y461" i="43"/>
  <c r="Y624" i="43"/>
  <c r="Y634" i="43" s="1"/>
  <c r="L461" i="43"/>
  <c r="L624" i="43"/>
  <c r="L634" i="43" s="1"/>
  <c r="S461" i="43"/>
  <c r="S624" i="43"/>
  <c r="S634" i="43" s="1"/>
  <c r="I461" i="43"/>
  <c r="I624" i="43"/>
  <c r="I634" i="43" s="1"/>
  <c r="F461" i="43"/>
  <c r="F624" i="43"/>
  <c r="F634" i="43" s="1"/>
  <c r="C461" i="43"/>
  <c r="C624" i="43"/>
  <c r="C634" i="43" s="1"/>
  <c r="AB461" i="43"/>
  <c r="AB624" i="43"/>
  <c r="AB634" i="43" s="1"/>
  <c r="AC461" i="43"/>
  <c r="AC624" i="43"/>
  <c r="AC634" i="43" s="1"/>
  <c r="O461" i="43"/>
  <c r="O624" i="43"/>
  <c r="O634" i="43" s="1"/>
  <c r="P461" i="43"/>
  <c r="P624" i="43"/>
  <c r="P634" i="43" s="1"/>
  <c r="J461" i="43"/>
  <c r="J624" i="43"/>
  <c r="J634" i="43" s="1"/>
  <c r="K461" i="43"/>
  <c r="K624" i="43"/>
  <c r="K634" i="43" s="1"/>
  <c r="D461" i="43"/>
  <c r="D624" i="43"/>
  <c r="D634" i="43" s="1"/>
  <c r="E461" i="43"/>
  <c r="E624" i="43"/>
  <c r="E634" i="43" s="1"/>
  <c r="N461" i="43"/>
  <c r="N624" i="43"/>
  <c r="N634" i="43" s="1"/>
  <c r="W461" i="43"/>
  <c r="W624" i="43"/>
  <c r="W634" i="43" s="1"/>
  <c r="X461" i="43"/>
  <c r="X624" i="43"/>
  <c r="X634"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47" i="43" s="1"/>
  <c r="AB660" i="43" s="1"/>
  <c r="AC413" i="43"/>
  <c r="O413" i="43"/>
  <c r="P413" i="43"/>
  <c r="T504" i="43"/>
  <c r="T606" i="43" s="1"/>
  <c r="T616" i="43" s="1"/>
  <c r="K413" i="43"/>
  <c r="D413" i="43"/>
  <c r="E413" i="43"/>
  <c r="N413" i="43"/>
  <c r="W413" i="43"/>
  <c r="X413" i="43"/>
  <c r="U413" i="43"/>
  <c r="G413" i="43"/>
  <c r="R413" i="43"/>
  <c r="S413" i="43"/>
  <c r="L413" i="43"/>
  <c r="M504" i="43"/>
  <c r="M647" i="43" s="1"/>
  <c r="M660"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47" i="43" s="1"/>
  <c r="G660" i="43" s="1"/>
  <c r="O504" i="43"/>
  <c r="O606" i="43" s="1"/>
  <c r="O616" i="43" s="1"/>
  <c r="F504" i="43"/>
  <c r="F606" i="43" s="1"/>
  <c r="F616" i="43" s="1"/>
  <c r="AB413" i="43"/>
  <c r="E504" i="43"/>
  <c r="E606" i="43" s="1"/>
  <c r="E616" i="43" s="1"/>
  <c r="C504" i="43"/>
  <c r="C606" i="43" s="1"/>
  <c r="C616" i="43" s="1"/>
  <c r="P504" i="43"/>
  <c r="P647" i="43" s="1"/>
  <c r="P660" i="43" s="1"/>
  <c r="I504" i="43"/>
  <c r="I647" i="43" s="1"/>
  <c r="I660" i="43" s="1"/>
  <c r="M606" i="43"/>
  <c r="M616"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47" i="43"/>
  <c r="AA660" i="43" s="1"/>
  <c r="AL115" i="59"/>
  <c r="AL128" i="59" s="1"/>
  <c r="AL141" i="59" s="1"/>
  <c r="AL153" i="59" s="1"/>
  <c r="AL164" i="59" s="1"/>
  <c r="AY89" i="59"/>
  <c r="AY100" i="59" s="1"/>
  <c r="AR89" i="59"/>
  <c r="AR100" i="59" s="1"/>
  <c r="AQ115" i="59"/>
  <c r="AQ128" i="59" s="1"/>
  <c r="AQ141" i="59" s="1"/>
  <c r="AQ153" i="59" s="1"/>
  <c r="AQ164" i="59" s="1"/>
  <c r="H647" i="43"/>
  <c r="H660" i="43" s="1"/>
  <c r="T647" i="43"/>
  <c r="T660"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47" i="43"/>
  <c r="U66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47" i="43"/>
  <c r="Y660" i="43" s="1"/>
  <c r="Z647" i="43"/>
  <c r="Z660" i="43" s="1"/>
  <c r="G606" i="43"/>
  <c r="G616" i="43" s="1"/>
  <c r="AC647" i="43"/>
  <c r="AC660" i="43" s="1"/>
  <c r="O647" i="43"/>
  <c r="O660" i="43" s="1"/>
  <c r="P606" i="43"/>
  <c r="P616" i="43" s="1"/>
  <c r="F647" i="43"/>
  <c r="F660" i="43" s="1"/>
  <c r="E647" i="43"/>
  <c r="E660" i="43" s="1"/>
  <c r="I606" i="43"/>
  <c r="I616" i="43" s="1"/>
  <c r="C647" i="43"/>
  <c r="C660" i="43" s="1"/>
  <c r="X606" i="43"/>
  <c r="X616" i="43" s="1"/>
  <c r="X647" i="43"/>
  <c r="X660" i="43" s="1"/>
  <c r="V606" i="43"/>
  <c r="V616" i="43" s="1"/>
  <c r="V647" i="43"/>
  <c r="V660" i="43" s="1"/>
  <c r="W606" i="43"/>
  <c r="W616" i="43" s="1"/>
  <c r="W647" i="43"/>
  <c r="W660" i="43" s="1"/>
  <c r="L606" i="43"/>
  <c r="L616" i="43" s="1"/>
  <c r="L647" i="43"/>
  <c r="L660" i="43" s="1"/>
  <c r="N606" i="43"/>
  <c r="N616" i="43" s="1"/>
  <c r="N647" i="43"/>
  <c r="N660" i="43" s="1"/>
  <c r="D606" i="43"/>
  <c r="D616" i="43" s="1"/>
  <c r="D647" i="43"/>
  <c r="D660" i="43" s="1"/>
  <c r="S606" i="43"/>
  <c r="S616" i="43" s="1"/>
  <c r="S647" i="43"/>
  <c r="S660" i="43" s="1"/>
  <c r="R606" i="43"/>
  <c r="R616" i="43" s="1"/>
  <c r="R647" i="43"/>
  <c r="R660" i="43" s="1"/>
  <c r="K606" i="43"/>
  <c r="K616" i="43" s="1"/>
  <c r="K647" i="43"/>
  <c r="K660" i="43" s="1"/>
  <c r="J606" i="43"/>
  <c r="J616" i="43" s="1"/>
  <c r="J647" i="43"/>
  <c r="J660" i="43" s="1"/>
  <c r="Q606" i="43"/>
  <c r="Q616" i="43" s="1"/>
  <c r="Q647" i="43"/>
  <c r="Q66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M77" i="59" l="1"/>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09" i="43"/>
  <c r="D509" i="43"/>
  <c r="D453"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53" i="43"/>
  <c r="U455" i="43"/>
  <c r="U454" i="43"/>
  <c r="AA453" i="43"/>
  <c r="AA455" i="43"/>
  <c r="AA454" i="43"/>
  <c r="AB453" i="43"/>
  <c r="AB455" i="43"/>
  <c r="AB454" i="43"/>
  <c r="O455" i="43"/>
  <c r="O453" i="43"/>
  <c r="O454" i="43"/>
  <c r="Q454" i="43"/>
  <c r="Q453" i="43"/>
  <c r="Q455" i="43"/>
  <c r="R454" i="43"/>
  <c r="R453" i="43"/>
  <c r="R455" i="43"/>
  <c r="T453" i="43"/>
  <c r="T455" i="43"/>
  <c r="T454" i="43"/>
  <c r="AC453" i="43"/>
  <c r="AC455" i="43"/>
  <c r="AC454" i="43"/>
  <c r="V454" i="43"/>
  <c r="V453" i="43"/>
  <c r="V455" i="43"/>
  <c r="P453" i="43"/>
  <c r="P455" i="43"/>
  <c r="P454" i="43"/>
  <c r="G453" i="43"/>
  <c r="G454" i="43"/>
  <c r="G455" i="43"/>
  <c r="L453" i="43"/>
  <c r="L454" i="43"/>
  <c r="L455" i="43"/>
  <c r="J453" i="43"/>
  <c r="J455" i="43"/>
  <c r="J454" i="43"/>
  <c r="Z453" i="43"/>
  <c r="Z454" i="43"/>
  <c r="Z455" i="43"/>
  <c r="S453" i="43"/>
  <c r="S455" i="43"/>
  <c r="S454" i="43"/>
  <c r="X454" i="43"/>
  <c r="X455" i="43"/>
  <c r="X453" i="43"/>
  <c r="H453" i="43"/>
  <c r="H454" i="43"/>
  <c r="H455" i="43"/>
  <c r="M453" i="43"/>
  <c r="M455" i="43"/>
  <c r="M454" i="43"/>
  <c r="Y454" i="43"/>
  <c r="Y455" i="43"/>
  <c r="Y453" i="43"/>
  <c r="F454" i="43"/>
  <c r="F453" i="43"/>
  <c r="F455" i="43"/>
  <c r="K453" i="43"/>
  <c r="K454" i="43"/>
  <c r="K455" i="43"/>
  <c r="D454" i="43"/>
  <c r="D455" i="43"/>
  <c r="D462" i="43"/>
  <c r="I455" i="43"/>
  <c r="I453" i="43"/>
  <c r="I454" i="43"/>
  <c r="N455" i="43"/>
  <c r="N453" i="43"/>
  <c r="N454" i="43"/>
  <c r="W454" i="43"/>
  <c r="W453" i="43"/>
  <c r="W455" i="43"/>
  <c r="E453" i="43"/>
  <c r="E455" i="43"/>
  <c r="E454" i="43"/>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AB629" i="43" l="1"/>
  <c r="AB638" i="43" s="1"/>
  <c r="K464" i="43"/>
  <c r="L73" i="58" s="1"/>
  <c r="BT53" i="59" s="1"/>
  <c r="Y463" i="43"/>
  <c r="Z72" i="58" s="1"/>
  <c r="X464" i="43"/>
  <c r="Y73" i="58" s="1"/>
  <c r="CG53" i="59" s="1"/>
  <c r="J463" i="43"/>
  <c r="K72" i="58" s="1"/>
  <c r="G462" i="43"/>
  <c r="H71" i="58" s="1"/>
  <c r="AC464" i="43"/>
  <c r="AD73" i="58" s="1"/>
  <c r="CL53" i="59" s="1"/>
  <c r="Q464" i="43"/>
  <c r="R73" i="58" s="1"/>
  <c r="BZ53" i="59" s="1"/>
  <c r="K462" i="43"/>
  <c r="L70" i="58" s="1"/>
  <c r="S463" i="43"/>
  <c r="T72" i="58" s="1"/>
  <c r="Q463" i="43"/>
  <c r="R72" i="58" s="1"/>
  <c r="E463" i="43"/>
  <c r="F72" i="58" s="1"/>
  <c r="N464" i="43"/>
  <c r="O73" i="58" s="1"/>
  <c r="BW53" i="59" s="1"/>
  <c r="K463" i="43"/>
  <c r="L72" i="58" s="1"/>
  <c r="M463" i="43"/>
  <c r="N72" i="58" s="1"/>
  <c r="X463" i="43"/>
  <c r="Y72" i="58" s="1"/>
  <c r="J464" i="43"/>
  <c r="K73" i="58" s="1"/>
  <c r="BS53" i="59" s="1"/>
  <c r="P463" i="43"/>
  <c r="Q72" i="58" s="1"/>
  <c r="AC462" i="43"/>
  <c r="AD70" i="58" s="1"/>
  <c r="Q462" i="43"/>
  <c r="R70" i="58" s="1"/>
  <c r="AA463" i="43"/>
  <c r="AB72" i="58" s="1"/>
  <c r="P464" i="43"/>
  <c r="Q73" i="58" s="1"/>
  <c r="BY53" i="59" s="1"/>
  <c r="S464" i="43"/>
  <c r="T73" i="58" s="1"/>
  <c r="CB53" i="59" s="1"/>
  <c r="P462" i="43"/>
  <c r="Q70" i="58" s="1"/>
  <c r="T464" i="43"/>
  <c r="U73" i="58" s="1"/>
  <c r="CC53" i="59" s="1"/>
  <c r="AA462" i="43"/>
  <c r="AB70" i="58" s="1"/>
  <c r="L464" i="43"/>
  <c r="M73" i="58" s="1"/>
  <c r="BU53" i="59" s="1"/>
  <c r="W464" i="43"/>
  <c r="X73" i="58" s="1"/>
  <c r="X125" i="61" s="1"/>
  <c r="I464" i="43"/>
  <c r="J73" i="58" s="1"/>
  <c r="BR53" i="59" s="1"/>
  <c r="F462" i="43"/>
  <c r="G71" i="58" s="1"/>
  <c r="H464" i="43"/>
  <c r="I73" i="58" s="1"/>
  <c r="BQ53" i="59" s="1"/>
  <c r="S462" i="43"/>
  <c r="T70" i="58" s="1"/>
  <c r="L463" i="43"/>
  <c r="M72" i="58" s="1"/>
  <c r="T462" i="43"/>
  <c r="U70" i="58" s="1"/>
  <c r="O462" i="43"/>
  <c r="P71" i="58" s="1"/>
  <c r="U463" i="43"/>
  <c r="V72" i="58" s="1"/>
  <c r="F463" i="43"/>
  <c r="G72" i="58" s="1"/>
  <c r="H463" i="43"/>
  <c r="I72" i="58" s="1"/>
  <c r="Z464" i="43"/>
  <c r="AA73" i="58" s="1"/>
  <c r="CI53" i="59" s="1"/>
  <c r="L462" i="43"/>
  <c r="M71" i="58" s="1"/>
  <c r="V462" i="43"/>
  <c r="W71" i="58" s="1"/>
  <c r="R464" i="43"/>
  <c r="S73" i="58" s="1"/>
  <c r="CA53" i="59" s="1"/>
  <c r="O464" i="43"/>
  <c r="P73" i="58" s="1"/>
  <c r="BX53" i="59" s="1"/>
  <c r="U464" i="43"/>
  <c r="V73" i="58" s="1"/>
  <c r="CD53" i="59" s="1"/>
  <c r="E464" i="43"/>
  <c r="F73" i="58" s="1"/>
  <c r="W463" i="43"/>
  <c r="X72" i="58" s="1"/>
  <c r="W629" i="43"/>
  <c r="D464" i="43"/>
  <c r="E73" i="58" s="1"/>
  <c r="Y462" i="43"/>
  <c r="Z70" i="58" s="1"/>
  <c r="H462" i="43"/>
  <c r="I71" i="58" s="1"/>
  <c r="Z463" i="43"/>
  <c r="AA72" i="58" s="1"/>
  <c r="G464" i="43"/>
  <c r="H73" i="58" s="1"/>
  <c r="BP53" i="59" s="1"/>
  <c r="V463" i="43"/>
  <c r="W72" i="58" s="1"/>
  <c r="R462" i="43"/>
  <c r="S71" i="58" s="1"/>
  <c r="AB463" i="43"/>
  <c r="AC72" i="58" s="1"/>
  <c r="U462" i="43"/>
  <c r="V70" i="58" s="1"/>
  <c r="I463" i="43"/>
  <c r="J72" i="58" s="1"/>
  <c r="M464" i="43"/>
  <c r="N73" i="58" s="1"/>
  <c r="BV53" i="59" s="1"/>
  <c r="J462" i="43"/>
  <c r="K71" i="58" s="1"/>
  <c r="T463" i="43"/>
  <c r="U72" i="58" s="1"/>
  <c r="AA464" i="43"/>
  <c r="AB73" i="58" s="1"/>
  <c r="CJ53" i="59" s="1"/>
  <c r="N463" i="43"/>
  <c r="O72" i="58" s="1"/>
  <c r="D463" i="43"/>
  <c r="E72" i="58" s="1"/>
  <c r="Y464" i="43"/>
  <c r="Z73" i="58" s="1"/>
  <c r="CH53" i="59" s="1"/>
  <c r="X462" i="43"/>
  <c r="Y70" i="58" s="1"/>
  <c r="Z462" i="43"/>
  <c r="AA70" i="58" s="1"/>
  <c r="G463" i="43"/>
  <c r="H72" i="58" s="1"/>
  <c r="AC463" i="43"/>
  <c r="AD72" i="58" s="1"/>
  <c r="R463" i="43"/>
  <c r="S72" i="58" s="1"/>
  <c r="AB464" i="43"/>
  <c r="AC73" i="58" s="1"/>
  <c r="CK53" i="59" s="1"/>
  <c r="F344" i="43"/>
  <c r="F363" i="43" s="1"/>
  <c r="BL85" i="59"/>
  <c r="BL87" i="59" s="1"/>
  <c r="BL88" i="59" s="1"/>
  <c r="E456" i="43"/>
  <c r="E462" i="43"/>
  <c r="I456" i="43"/>
  <c r="I462" i="43"/>
  <c r="F456" i="43"/>
  <c r="F464" i="43"/>
  <c r="G73" i="58" s="1"/>
  <c r="M456" i="43"/>
  <c r="M462" i="43"/>
  <c r="T125" i="61"/>
  <c r="O456" i="43"/>
  <c r="O463" i="43"/>
  <c r="P72" i="58" s="1"/>
  <c r="V456" i="43"/>
  <c r="V464" i="43"/>
  <c r="W73" i="58" s="1"/>
  <c r="W456" i="43"/>
  <c r="W462" i="43"/>
  <c r="E70" i="58"/>
  <c r="E71" i="58"/>
  <c r="N456" i="43"/>
  <c r="N462" i="43"/>
  <c r="L125" i="61"/>
  <c r="AD125" i="61"/>
  <c r="AB456" i="43"/>
  <c r="AB462" i="43"/>
  <c r="O125" i="61"/>
  <c r="L71" i="58"/>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38" i="43" l="1"/>
  <c r="W635" i="43"/>
  <c r="K125" i="61"/>
  <c r="AB637" i="43"/>
  <c r="Z629" i="43"/>
  <c r="Z638" i="43" s="1"/>
  <c r="R629" i="43"/>
  <c r="R638" i="43" s="1"/>
  <c r="H629" i="43"/>
  <c r="H638" i="43" s="1"/>
  <c r="V629" i="43"/>
  <c r="V635" i="43" s="1"/>
  <c r="K629" i="43"/>
  <c r="K638" i="43" s="1"/>
  <c r="AB635" i="43"/>
  <c r="M629" i="43"/>
  <c r="M637" i="43" s="1"/>
  <c r="I125" i="61"/>
  <c r="X629" i="43"/>
  <c r="X638" i="43" s="1"/>
  <c r="Y629" i="43"/>
  <c r="Y638" i="43" s="1"/>
  <c r="U637" i="43"/>
  <c r="L629" i="43"/>
  <c r="L638" i="43" s="1"/>
  <c r="U636" i="43"/>
  <c r="S629" i="43"/>
  <c r="S638" i="43" s="1"/>
  <c r="W637" i="43"/>
  <c r="P629" i="43"/>
  <c r="P638" i="43" s="1"/>
  <c r="Q629" i="43"/>
  <c r="Q638" i="43" s="1"/>
  <c r="Q637" i="43"/>
  <c r="N629" i="43"/>
  <c r="N637" i="43" s="1"/>
  <c r="I629" i="43"/>
  <c r="T636" i="43"/>
  <c r="U629" i="43"/>
  <c r="U638" i="43" s="1"/>
  <c r="G637" i="43"/>
  <c r="D637" i="43"/>
  <c r="O637" i="43"/>
  <c r="O629" i="43"/>
  <c r="L637" i="43"/>
  <c r="S637" i="43"/>
  <c r="AC635" i="43"/>
  <c r="AC629" i="43"/>
  <c r="AC638" i="43" s="1"/>
  <c r="Q636" i="43"/>
  <c r="E629" i="43"/>
  <c r="BN53" i="59"/>
  <c r="D636" i="43"/>
  <c r="D629" i="43"/>
  <c r="J629" i="43"/>
  <c r="J638" i="43" s="1"/>
  <c r="AB636" i="43"/>
  <c r="W636" i="43"/>
  <c r="R637" i="43"/>
  <c r="H636" i="43"/>
  <c r="T629" i="43"/>
  <c r="T638" i="43" s="1"/>
  <c r="F635" i="43"/>
  <c r="F629" i="43"/>
  <c r="F636" i="43" s="1"/>
  <c r="AA629" i="43"/>
  <c r="AA638" i="43" s="1"/>
  <c r="P637" i="43"/>
  <c r="P636" i="43"/>
  <c r="S636" i="43"/>
  <c r="G635" i="43"/>
  <c r="G629" i="43"/>
  <c r="G638" i="43" s="1"/>
  <c r="N125" i="61"/>
  <c r="J125" i="61"/>
  <c r="U125" i="61"/>
  <c r="AB125" i="61"/>
  <c r="V125" i="61"/>
  <c r="R71" i="58"/>
  <c r="H70" i="58"/>
  <c r="S70" i="58"/>
  <c r="AB71" i="58"/>
  <c r="Z71" i="58"/>
  <c r="S125" i="61"/>
  <c r="T71" i="58"/>
  <c r="Q71" i="58"/>
  <c r="Y71" i="58"/>
  <c r="H125" i="61"/>
  <c r="Q125" i="61"/>
  <c r="I70" i="58"/>
  <c r="BQ52" i="59" s="1"/>
  <c r="BQ67" i="59" s="1"/>
  <c r="BQ69" i="59" s="1"/>
  <c r="W70" i="58"/>
  <c r="CF53" i="59"/>
  <c r="AD71" i="58"/>
  <c r="P70" i="58"/>
  <c r="M125" i="61"/>
  <c r="K70" i="58"/>
  <c r="AA71" i="58"/>
  <c r="M70" i="58"/>
  <c r="F125" i="61"/>
  <c r="G345" i="43"/>
  <c r="G377" i="43" s="1"/>
  <c r="V71" i="58"/>
  <c r="C152" i="43"/>
  <c r="E303" i="43" s="1"/>
  <c r="E300" i="43" s="1"/>
  <c r="AC125" i="61"/>
  <c r="P125" i="61"/>
  <c r="AA125" i="61"/>
  <c r="BM53" i="59"/>
  <c r="E125" i="61"/>
  <c r="Y125" i="61"/>
  <c r="R125" i="61"/>
  <c r="U71" i="58"/>
  <c r="G70" i="58"/>
  <c r="Z125" i="61"/>
  <c r="I124" i="61"/>
  <c r="E124" i="61"/>
  <c r="BM52" i="59"/>
  <c r="W125" i="61"/>
  <c r="CE53" i="59"/>
  <c r="N70" i="58"/>
  <c r="N71" i="58"/>
  <c r="L124" i="61"/>
  <c r="BT52" i="59"/>
  <c r="BT67" i="59" s="1"/>
  <c r="BT69" i="59" s="1"/>
  <c r="H124" i="61"/>
  <c r="BP52" i="59"/>
  <c r="BP67" i="59" s="1"/>
  <c r="BP69" i="59" s="1"/>
  <c r="W124" i="61"/>
  <c r="CE52" i="59"/>
  <c r="X71" i="58"/>
  <c r="X70" i="58"/>
  <c r="V124" i="61"/>
  <c r="CD52" i="59"/>
  <c r="CD67" i="59" s="1"/>
  <c r="CD69" i="59" s="1"/>
  <c r="Z124" i="61"/>
  <c r="CH52" i="59"/>
  <c r="CH67" i="59" s="1"/>
  <c r="T124" i="61"/>
  <c r="CB52" i="59"/>
  <c r="CB67" i="59" s="1"/>
  <c r="CB69" i="59" s="1"/>
  <c r="G125" i="61"/>
  <c r="BO53" i="59"/>
  <c r="AC70" i="58"/>
  <c r="AC71" i="58"/>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J70" i="58"/>
  <c r="J71" i="58"/>
  <c r="K124" i="61"/>
  <c r="BS52" i="59"/>
  <c r="BS67" i="59" s="1"/>
  <c r="BS69" i="59" s="1"/>
  <c r="AD124" i="61"/>
  <c r="CL52" i="59"/>
  <c r="CL67" i="59" s="1"/>
  <c r="Y124" i="61"/>
  <c r="CG52" i="59"/>
  <c r="CG67" i="59" s="1"/>
  <c r="F70" i="58"/>
  <c r="F71" i="58"/>
  <c r="O71" i="58"/>
  <c r="O70" i="58"/>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X636" i="43" l="1"/>
  <c r="W639" i="43"/>
  <c r="Y635" i="43"/>
  <c r="AB639" i="43"/>
  <c r="X635" i="43"/>
  <c r="R636" i="43"/>
  <c r="G636" i="43"/>
  <c r="G639" i="43" s="1"/>
  <c r="X637" i="43"/>
  <c r="X639" i="43" s="1"/>
  <c r="I638" i="43"/>
  <c r="I635" i="43"/>
  <c r="N638" i="43"/>
  <c r="N635" i="43"/>
  <c r="P635" i="43"/>
  <c r="P639" i="43" s="1"/>
  <c r="K635" i="43"/>
  <c r="V638" i="43"/>
  <c r="V637" i="43"/>
  <c r="N636" i="43"/>
  <c r="K637" i="43"/>
  <c r="AA635" i="43"/>
  <c r="Z636" i="43"/>
  <c r="E638" i="43"/>
  <c r="E635" i="43"/>
  <c r="V636" i="43"/>
  <c r="J637" i="43"/>
  <c r="E637" i="43"/>
  <c r="Z635" i="43"/>
  <c r="F638" i="43"/>
  <c r="F637" i="43"/>
  <c r="F639" i="43" s="1"/>
  <c r="Y636" i="43"/>
  <c r="U635" i="43"/>
  <c r="E636" i="43"/>
  <c r="S635" i="43"/>
  <c r="S639" i="43" s="1"/>
  <c r="I636" i="43"/>
  <c r="AA636" i="43"/>
  <c r="H635" i="43"/>
  <c r="AC637" i="43"/>
  <c r="O638" i="43"/>
  <c r="O636" i="43"/>
  <c r="U639" i="43"/>
  <c r="AA637" i="43"/>
  <c r="M638" i="43"/>
  <c r="M635" i="43"/>
  <c r="T637" i="43"/>
  <c r="V639" i="43"/>
  <c r="J635" i="43"/>
  <c r="O635" i="43"/>
  <c r="Y637" i="43"/>
  <c r="I637" i="43"/>
  <c r="K636" i="43"/>
  <c r="T635" i="43"/>
  <c r="T639" i="43" s="1"/>
  <c r="D638" i="43"/>
  <c r="D639" i="43" s="1"/>
  <c r="M636" i="43"/>
  <c r="Z637" i="43"/>
  <c r="AC636" i="43"/>
  <c r="Q635" i="43"/>
  <c r="Q639" i="43" s="1"/>
  <c r="L635" i="43"/>
  <c r="L639" i="43" s="1"/>
  <c r="J636" i="43"/>
  <c r="L636" i="43"/>
  <c r="R635"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639" i="43" l="1"/>
  <c r="K639" i="43"/>
  <c r="AA639" i="43"/>
  <c r="AC639" i="43"/>
  <c r="Y639" i="43"/>
  <c r="R639" i="43"/>
  <c r="N639" i="43"/>
  <c r="E639" i="43"/>
  <c r="J639" i="43"/>
  <c r="O639" i="43"/>
  <c r="Z639" i="43"/>
  <c r="M639" i="43"/>
  <c r="I639"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M346" i="43"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4" i="43"/>
  <c r="T363" i="43" s="1"/>
  <c r="S346" i="43"/>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R327" i="43" l="1"/>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W392" i="43"/>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48" i="43"/>
  <c r="Q8" i="43" s="1"/>
  <c r="Q650" i="43"/>
  <c r="Q10" i="43" s="1"/>
  <c r="Q649" i="43"/>
  <c r="Q9" i="43" s="1"/>
  <c r="AB648" i="43"/>
  <c r="AB8" i="43" s="1"/>
  <c r="AB650" i="43"/>
  <c r="AB10" i="43" s="1"/>
  <c r="AB649" i="43"/>
  <c r="AB9" i="43" s="1"/>
  <c r="W648" i="43"/>
  <c r="W8" i="43" s="1"/>
  <c r="W650" i="43"/>
  <c r="W10" i="43" s="1"/>
  <c r="W649" i="43"/>
  <c r="W9" i="43" s="1"/>
  <c r="D648" i="43"/>
  <c r="D8" i="43" s="1"/>
  <c r="D650" i="43"/>
  <c r="D10" i="43" s="1"/>
  <c r="D64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50" i="43"/>
  <c r="G10" i="43" s="1"/>
  <c r="I95" i="59"/>
  <c r="AL74" i="59" s="1"/>
  <c r="I96" i="59"/>
  <c r="AL75" i="59" s="1"/>
  <c r="G188" i="59"/>
  <c r="P96" i="59"/>
  <c r="AS75" i="59" s="1"/>
  <c r="P95" i="59"/>
  <c r="AS74" i="59" s="1"/>
  <c r="N188" i="59"/>
  <c r="E650" i="43"/>
  <c r="E10" i="43" s="1"/>
  <c r="E155" i="43"/>
  <c r="E396" i="43" s="1"/>
  <c r="X648" i="43"/>
  <c r="X8" i="43" s="1"/>
  <c r="X650" i="43"/>
  <c r="X10" i="43" s="1"/>
  <c r="X649" i="43"/>
  <c r="X9" i="43" s="1"/>
  <c r="T648" i="43"/>
  <c r="T8" i="43" s="1"/>
  <c r="T650" i="43"/>
  <c r="T10" i="43" s="1"/>
  <c r="T649" i="43"/>
  <c r="T9" i="43" s="1"/>
  <c r="AC649" i="43"/>
  <c r="AC9" i="43" s="1"/>
  <c r="AC650" i="43"/>
  <c r="AC10" i="43" s="1"/>
  <c r="AC648" i="43"/>
  <c r="AC8" i="43" s="1"/>
  <c r="U648" i="43"/>
  <c r="U8" i="43" s="1"/>
  <c r="U649" i="43"/>
  <c r="U9" i="43" s="1"/>
  <c r="U650" i="43"/>
  <c r="U10" i="43" s="1"/>
  <c r="M648" i="43"/>
  <c r="M8" i="43" s="1"/>
  <c r="M649" i="43"/>
  <c r="M9" i="43" s="1"/>
  <c r="M650" i="43"/>
  <c r="M10" i="43" s="1"/>
  <c r="F649" i="43"/>
  <c r="F9" i="43" s="1"/>
  <c r="F648" i="43"/>
  <c r="F8" i="43" s="1"/>
  <c r="F650" i="43"/>
  <c r="F10" i="43" s="1"/>
  <c r="Z648" i="43"/>
  <c r="Z8" i="43" s="1"/>
  <c r="Z650" i="43"/>
  <c r="Z10" i="43" s="1"/>
  <c r="Z649" i="43"/>
  <c r="Z9" i="43" s="1"/>
  <c r="G649" i="43"/>
  <c r="G9" i="43" s="1"/>
  <c r="G648" i="43"/>
  <c r="G8" i="43" s="1"/>
  <c r="E649" i="43"/>
  <c r="E9" i="43" s="1"/>
  <c r="E648" i="43"/>
  <c r="E8" i="43" s="1"/>
  <c r="Y648" i="43"/>
  <c r="Y8" i="43" s="1"/>
  <c r="Y649" i="43"/>
  <c r="Y9" i="43" s="1"/>
  <c r="Y650" i="43"/>
  <c r="Y10" i="43" s="1"/>
  <c r="AA648" i="43"/>
  <c r="AA8" i="43" s="1"/>
  <c r="AA649" i="43"/>
  <c r="AA9" i="43" s="1"/>
  <c r="AA650" i="43"/>
  <c r="AA10" i="43" s="1"/>
  <c r="O650" i="43"/>
  <c r="O10" i="43" s="1"/>
  <c r="O648" i="43"/>
  <c r="O8" i="43" s="1"/>
  <c r="O649" i="43"/>
  <c r="O9" i="43" s="1"/>
  <c r="N650" i="43"/>
  <c r="N10" i="43" s="1"/>
  <c r="N649" i="43"/>
  <c r="N9" i="43" s="1"/>
  <c r="N648" i="43"/>
  <c r="N8" i="43" s="1"/>
  <c r="V648" i="43"/>
  <c r="V8" i="43" s="1"/>
  <c r="V650" i="43"/>
  <c r="V10" i="43" s="1"/>
  <c r="V649" i="43"/>
  <c r="V9" i="43" s="1"/>
  <c r="S648" i="43"/>
  <c r="S8" i="43" s="1"/>
  <c r="S649" i="43"/>
  <c r="S9" i="43" s="1"/>
  <c r="S650" i="43"/>
  <c r="S10" i="43" s="1"/>
  <c r="R648" i="43"/>
  <c r="R8" i="43" s="1"/>
  <c r="R650" i="43"/>
  <c r="R10" i="43" s="1"/>
  <c r="R649" i="43"/>
  <c r="R9" i="43" s="1"/>
  <c r="I648" i="43"/>
  <c r="I8" i="43" s="1"/>
  <c r="I649" i="43"/>
  <c r="I9" i="43" s="1"/>
  <c r="I650" i="43"/>
  <c r="I10" i="43" s="1"/>
  <c r="L649" i="43"/>
  <c r="L9" i="43" s="1"/>
  <c r="L650" i="43"/>
  <c r="L10" i="43" s="1"/>
  <c r="L648" i="43"/>
  <c r="L8" i="43" s="1"/>
  <c r="H650" i="43"/>
  <c r="H10" i="43" s="1"/>
  <c r="H648" i="43"/>
  <c r="H8" i="43" s="1"/>
  <c r="H649" i="43"/>
  <c r="H9" i="43" s="1"/>
  <c r="K648" i="43"/>
  <c r="K8" i="43" s="1"/>
  <c r="K650" i="43"/>
  <c r="K10" i="43" s="1"/>
  <c r="K649" i="43"/>
  <c r="K9" i="43" s="1"/>
  <c r="P649" i="43"/>
  <c r="P9" i="43" s="1"/>
  <c r="P648" i="43"/>
  <c r="P8" i="43" s="1"/>
  <c r="P650" i="43"/>
  <c r="P10" i="43" s="1"/>
  <c r="J648" i="43"/>
  <c r="J8" i="43" s="1"/>
  <c r="J650" i="43"/>
  <c r="J10" i="43" s="1"/>
  <c r="J64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<sst xmlns="http://schemas.openxmlformats.org/spreadsheetml/2006/main" count="3370" uniqueCount="1154">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</sst>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s>
  <fonts count="7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75">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168" fontId="4" fillId="20" borderId="0" xfId="0" applyNumberFormat="1" applyFont="1" applyFill="1"/>
    <xf numFmtId="0" fontId="30" fillId="20" borderId="0" xfId="0" applyFont="1" applyFill="1"/>
    <xf numFmtId="168" fontId="30" fillId="20" borderId="0" xfId="0" applyNumberFormat="1" applyFont="1" applyFill="1"/>
    <xf numFmtId="168" fontId="30" fillId="20" borderId="0" xfId="0" applyNumberFormat="1" applyFont="1" applyFill="1" applyAlignment="1">
      <alignment wrapText="1"/>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31" t="s">
        <v>221</v>
      </c>
      <c r="B17" s="831"/>
      <c r="C17" s="831"/>
      <c r="D17" s="831"/>
      <c r="E17" s="831"/>
      <c r="F17" s="831"/>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32" t="s">
        <v>223</v>
      </c>
      <c r="C20" s="832"/>
      <c r="D20" s="832"/>
      <c r="E20" s="832"/>
      <c r="F20" s="832"/>
      <c r="G20" s="52"/>
      <c r="H20" s="52"/>
      <c r="I20" s="53"/>
      <c r="J20" s="53"/>
      <c r="K20" s="53"/>
      <c r="L20" s="53"/>
      <c r="M20" s="53"/>
      <c r="N20" s="53"/>
    </row>
    <row r="21" spans="1:14" ht="17.25" customHeight="1">
      <c r="A21" s="51" t="s">
        <v>224</v>
      </c>
      <c r="B21" s="833" t="s">
        <v>227</v>
      </c>
      <c r="C21" s="833"/>
      <c r="D21" s="833"/>
      <c r="E21" s="833"/>
      <c r="F21" s="833"/>
      <c r="G21" s="52"/>
      <c r="H21" s="52"/>
      <c r="I21" s="53"/>
      <c r="J21" s="53"/>
      <c r="K21" s="53"/>
      <c r="L21" s="53"/>
      <c r="M21" s="53"/>
      <c r="N21" s="53"/>
    </row>
    <row r="22" spans="1:14" ht="17.25" customHeight="1">
      <c r="A22" s="51" t="s">
        <v>225</v>
      </c>
      <c r="B22" s="833" t="s">
        <v>226</v>
      </c>
      <c r="C22" s="833"/>
      <c r="D22" s="833"/>
      <c r="E22" s="833"/>
      <c r="F22" s="833"/>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8"/>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8"/>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85" zoomScaleNormal="85" workbookViewId="0">
      <selection activeCell="C13" sqref="C13"/>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1" t="s">
        <v>76</v>
      </c>
      <c r="E2" s="621"/>
      <c r="G2" s="621"/>
      <c r="J2" s="615" t="s">
        <v>60</v>
      </c>
      <c r="K2" s="615"/>
      <c r="L2" s="26"/>
      <c r="M2" s="26"/>
      <c r="N2" s="26"/>
      <c r="O2" s="26"/>
      <c r="P2" s="26"/>
      <c r="Q2" s="26"/>
      <c r="R2" s="26"/>
    </row>
    <row r="3" spans="2:18">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8"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8" ht="15" thickBot="1">
      <c r="B5" s="625" t="s">
        <v>830</v>
      </c>
      <c r="C5" s="626"/>
      <c r="D5" s="626"/>
      <c r="E5" s="626"/>
      <c r="F5" s="626" t="s">
        <v>876</v>
      </c>
      <c r="G5" s="626" t="s">
        <v>840</v>
      </c>
      <c r="H5" s="626" t="s">
        <v>88</v>
      </c>
      <c r="J5" s="620" t="s">
        <v>27</v>
      </c>
      <c r="K5" s="627"/>
      <c r="L5" s="627"/>
      <c r="M5" s="627"/>
      <c r="N5" s="627"/>
      <c r="O5" s="627"/>
      <c r="P5" s="627"/>
      <c r="Q5" s="627"/>
      <c r="R5" s="627"/>
    </row>
    <row r="6" spans="2:18"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8"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8"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8"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8"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8"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8" s="662" customFormat="1" ht="13.2">
      <c r="B12" s="821" t="str">
        <f>"FT-"&amp;D12</f>
        <v>FT-TRABJK</v>
      </c>
      <c r="C12" s="822" t="s">
        <v>1149</v>
      </c>
      <c r="D12" s="821" t="str">
        <f>Commodities!B12</f>
        <v>TRABJK</v>
      </c>
      <c r="E12" s="662">
        <v>1</v>
      </c>
      <c r="F12" s="662">
        <v>50</v>
      </c>
      <c r="G12" s="662">
        <v>0.01</v>
      </c>
      <c r="L12" s="823" t="str">
        <f t="shared" si="0"/>
        <v>FT-TRABJK</v>
      </c>
      <c r="M12" s="824" t="str">
        <f>"TRA "&amp;Commodities!C12</f>
        <v>TRA Bio Jet Kerosene (TRA)</v>
      </c>
      <c r="N12" s="823" t="s">
        <v>88</v>
      </c>
      <c r="O12" s="823" t="s">
        <v>870</v>
      </c>
    </row>
    <row r="13" spans="2:18"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8"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8"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8"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5"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4"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34" t="s">
        <v>592</v>
      </c>
      <c r="L4" s="834"/>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1015</v>
      </c>
      <c r="D6" s="56" t="s">
        <v>88</v>
      </c>
      <c r="E6" s="56"/>
      <c r="F6" s="56"/>
      <c r="G6" s="56"/>
      <c r="H6" s="56"/>
      <c r="K6" s="427" t="s">
        <v>21</v>
      </c>
      <c r="L6" s="519"/>
    </row>
    <row r="7" spans="1:13" s="24" customFormat="1">
      <c r="A7" s="56"/>
      <c r="B7" s="766" t="s">
        <v>478</v>
      </c>
      <c r="C7" s="766" t="s">
        <v>1016</v>
      </c>
      <c r="D7" s="56" t="s">
        <v>88</v>
      </c>
      <c r="E7" s="56"/>
      <c r="F7" s="56"/>
      <c r="G7" s="56"/>
      <c r="H7" s="56"/>
      <c r="K7" s="768" t="s">
        <v>665</v>
      </c>
      <c r="L7" s="768"/>
      <c r="M7"/>
    </row>
    <row r="8" spans="1:13" s="24" customFormat="1">
      <c r="A8"/>
      <c r="B8" s="766" t="s">
        <v>83</v>
      </c>
      <c r="C8" s="766" t="s">
        <v>1017</v>
      </c>
      <c r="D8" s="56" t="s">
        <v>88</v>
      </c>
      <c r="E8" s="56"/>
      <c r="F8" s="56"/>
      <c r="G8" s="56"/>
      <c r="H8" s="56"/>
      <c r="K8" s="769" t="s">
        <v>1035</v>
      </c>
      <c r="L8" s="769" t="s">
        <v>1036</v>
      </c>
      <c r="M8"/>
    </row>
    <row r="9" spans="1:13" s="93" customFormat="1">
      <c r="A9" s="56"/>
      <c r="B9" s="766" t="s">
        <v>86</v>
      </c>
      <c r="C9" s="766" t="s">
        <v>1018</v>
      </c>
      <c r="D9" s="56" t="s">
        <v>88</v>
      </c>
      <c r="E9" s="56"/>
      <c r="F9" s="56"/>
      <c r="G9" s="56"/>
      <c r="H9" s="56"/>
      <c r="K9" s="769" t="s">
        <v>1037</v>
      </c>
      <c r="L9" s="769" t="s">
        <v>1038</v>
      </c>
    </row>
    <row r="10" spans="1:13">
      <c r="A10" s="56"/>
      <c r="B10" s="766" t="s">
        <v>214</v>
      </c>
      <c r="C10" s="766" t="s">
        <v>1019</v>
      </c>
      <c r="D10" s="56" t="s">
        <v>88</v>
      </c>
      <c r="E10" s="56"/>
      <c r="F10" s="56"/>
      <c r="G10" s="56"/>
      <c r="H10" s="56"/>
      <c r="K10" s="768" t="s">
        <v>537</v>
      </c>
      <c r="L10" s="768"/>
    </row>
    <row r="11" spans="1:13" s="24" customFormat="1">
      <c r="A11" s="56"/>
      <c r="B11" s="766" t="s">
        <v>215</v>
      </c>
      <c r="C11" s="766" t="s">
        <v>1020</v>
      </c>
      <c r="D11" s="56" t="s">
        <v>88</v>
      </c>
      <c r="E11" s="56"/>
      <c r="F11" s="56"/>
      <c r="G11" s="56"/>
      <c r="H11" s="56"/>
      <c r="K11" s="769" t="s">
        <v>1039</v>
      </c>
      <c r="L11" s="769" t="s">
        <v>1040</v>
      </c>
    </row>
    <row r="12" spans="1:13" s="42" customFormat="1">
      <c r="B12" s="819" t="s">
        <v>1148</v>
      </c>
      <c r="C12" s="819" t="s">
        <v>1143</v>
      </c>
      <c r="D12" s="820" t="s">
        <v>88</v>
      </c>
      <c r="K12" s="768" t="s">
        <v>321</v>
      </c>
      <c r="L12" s="768"/>
    </row>
    <row r="13" spans="1:13" s="93" customFormat="1">
      <c r="A13" s="56"/>
      <c r="B13" s="766" t="s">
        <v>475</v>
      </c>
      <c r="C13" s="766" t="s">
        <v>1021</v>
      </c>
      <c r="D13" s="56" t="s">
        <v>88</v>
      </c>
      <c r="E13" s="56"/>
      <c r="F13" s="56"/>
      <c r="G13" s="56"/>
      <c r="H13" s="56"/>
      <c r="I13" s="42"/>
      <c r="K13" s="769" t="s">
        <v>1041</v>
      </c>
      <c r="L13" s="769" t="s">
        <v>1042</v>
      </c>
    </row>
    <row r="14" spans="1:13" s="42" customFormat="1">
      <c r="A14" s="56"/>
      <c r="B14" s="766" t="s">
        <v>477</v>
      </c>
      <c r="C14" s="766" t="s">
        <v>1022</v>
      </c>
      <c r="D14" s="56" t="s">
        <v>88</v>
      </c>
      <c r="E14" s="56"/>
      <c r="F14" s="56"/>
      <c r="G14" s="56"/>
      <c r="H14" s="56"/>
      <c r="I14" s="93"/>
      <c r="K14" s="769" t="s">
        <v>1043</v>
      </c>
      <c r="L14" s="769" t="s">
        <v>1044</v>
      </c>
    </row>
    <row r="15" spans="1:13" s="42" customFormat="1">
      <c r="A15" s="636"/>
      <c r="B15" s="766" t="s">
        <v>87</v>
      </c>
      <c r="C15" s="766" t="s">
        <v>1023</v>
      </c>
      <c r="D15" s="636" t="s">
        <v>88</v>
      </c>
      <c r="E15" s="56"/>
      <c r="F15" s="56" t="s">
        <v>90</v>
      </c>
      <c r="G15" s="636"/>
      <c r="H15" s="636" t="s">
        <v>89</v>
      </c>
      <c r="K15" s="769" t="s">
        <v>1045</v>
      </c>
      <c r="L15" s="769" t="s">
        <v>1046</v>
      </c>
    </row>
    <row r="16" spans="1:13" s="24" customFormat="1">
      <c r="A16" s="42"/>
      <c r="B16" s="766" t="s">
        <v>855</v>
      </c>
      <c r="C16" s="766" t="s">
        <v>1024</v>
      </c>
      <c r="D16" s="636" t="s">
        <v>88</v>
      </c>
      <c r="E16" s="56"/>
      <c r="F16" s="56"/>
      <c r="G16" s="42"/>
      <c r="H16" s="42"/>
      <c r="I16" s="42"/>
      <c r="K16" s="769" t="s">
        <v>1047</v>
      </c>
      <c r="L16" s="769" t="s">
        <v>1048</v>
      </c>
    </row>
    <row r="17" spans="1:12" s="24" customFormat="1">
      <c r="B17" s="766" t="s">
        <v>1025</v>
      </c>
      <c r="C17" s="766" t="s">
        <v>1026</v>
      </c>
      <c r="D17" s="636" t="s">
        <v>88</v>
      </c>
      <c r="E17" s="56"/>
      <c r="F17" s="56"/>
      <c r="K17" s="769" t="s">
        <v>1049</v>
      </c>
      <c r="L17" s="769" t="s">
        <v>1050</v>
      </c>
    </row>
    <row r="18" spans="1:12" s="24" customFormat="1">
      <c r="A18" s="714"/>
      <c r="B18" s="766" t="s">
        <v>94</v>
      </c>
      <c r="C18" s="766" t="s">
        <v>1027</v>
      </c>
      <c r="D18" s="714" t="s">
        <v>88</v>
      </c>
      <c r="E18" s="714"/>
      <c r="F18" s="714"/>
      <c r="G18" s="714"/>
      <c r="H18" s="714"/>
      <c r="K18" s="769" t="s">
        <v>1051</v>
      </c>
      <c r="L18" s="769" t="s">
        <v>1052</v>
      </c>
    </row>
    <row r="19" spans="1:12" s="93" customFormat="1">
      <c r="A19" s="714"/>
      <c r="B19" s="766" t="s">
        <v>1028</v>
      </c>
      <c r="C19" s="766" t="s">
        <v>1029</v>
      </c>
      <c r="D19" s="745" t="s">
        <v>88</v>
      </c>
      <c r="E19" s="714"/>
      <c r="F19" s="714"/>
      <c r="G19" s="714"/>
      <c r="H19" s="714"/>
      <c r="I19" s="56"/>
      <c r="K19" s="769" t="s">
        <v>1053</v>
      </c>
      <c r="L19" s="769" t="s">
        <v>1054</v>
      </c>
    </row>
    <row r="20" spans="1:12" s="93" customFormat="1">
      <c r="B20" s="766" t="s">
        <v>1030</v>
      </c>
      <c r="C20" s="766" t="s">
        <v>1031</v>
      </c>
      <c r="D20" s="745" t="s">
        <v>88</v>
      </c>
      <c r="I20" s="56"/>
      <c r="K20" s="769" t="s">
        <v>1055</v>
      </c>
      <c r="L20" s="769" t="s">
        <v>1056</v>
      </c>
    </row>
    <row r="21" spans="1:12" s="93" customFormat="1">
      <c r="B21" s="819" t="s">
        <v>1144</v>
      </c>
      <c r="C21" s="819" t="s">
        <v>1145</v>
      </c>
      <c r="D21" s="745" t="s">
        <v>88</v>
      </c>
      <c r="I21" s="56"/>
      <c r="K21" s="769" t="s">
        <v>1057</v>
      </c>
      <c r="L21" s="769" t="s">
        <v>1058</v>
      </c>
    </row>
    <row r="22" spans="1:12">
      <c r="A22" s="1"/>
      <c r="B22" s="766" t="s">
        <v>997</v>
      </c>
      <c r="C22" s="766" t="s">
        <v>1032</v>
      </c>
      <c r="D22" s="1" t="s">
        <v>88</v>
      </c>
      <c r="E22" s="1"/>
      <c r="F22" s="1"/>
      <c r="G22" s="1"/>
      <c r="H22" s="1"/>
      <c r="I22" s="56"/>
      <c r="K22" s="768" t="s">
        <v>589</v>
      </c>
      <c r="L22" s="768"/>
    </row>
    <row r="23" spans="1:12" s="42" customFormat="1">
      <c r="A23" s="458"/>
      <c r="B23" s="767" t="s">
        <v>1033</v>
      </c>
      <c r="C23" s="767" t="s">
        <v>1034</v>
      </c>
      <c r="D23" s="458" t="s">
        <v>88</v>
      </c>
      <c r="E23" s="458"/>
      <c r="F23" s="458"/>
      <c r="G23" s="458"/>
      <c r="H23" s="458"/>
      <c r="I23"/>
      <c r="K23" s="769" t="s">
        <v>1059</v>
      </c>
      <c r="L23" s="769" t="s">
        <v>1060</v>
      </c>
    </row>
    <row r="24" spans="1:12">
      <c r="A24" s="56" t="s">
        <v>91</v>
      </c>
      <c r="B24" s="56" t="s">
        <v>963</v>
      </c>
      <c r="C24" s="26" t="s">
        <v>968</v>
      </c>
      <c r="D24" s="394" t="s">
        <v>867</v>
      </c>
      <c r="E24" s="56"/>
      <c r="F24" s="56"/>
      <c r="G24" s="56"/>
      <c r="H24" s="56"/>
      <c r="I24" s="42"/>
      <c r="K24" s="769" t="s">
        <v>1061</v>
      </c>
      <c r="L24" s="769" t="s">
        <v>1062</v>
      </c>
    </row>
    <row r="25" spans="1:12" s="24" customFormat="1">
      <c r="A25" s="56"/>
      <c r="B25" s="56" t="s">
        <v>964</v>
      </c>
      <c r="C25" s="26" t="s">
        <v>966</v>
      </c>
      <c r="D25" s="394" t="s">
        <v>867</v>
      </c>
      <c r="E25" s="56"/>
      <c r="F25" s="56"/>
      <c r="G25" s="56"/>
      <c r="H25" s="56"/>
      <c r="I25"/>
      <c r="K25" s="769" t="s">
        <v>1063</v>
      </c>
      <c r="L25" s="769" t="s">
        <v>1064</v>
      </c>
    </row>
    <row r="26" spans="1:12" s="24" customFormat="1">
      <c r="A26" s="56"/>
      <c r="B26" s="56" t="s">
        <v>965</v>
      </c>
      <c r="C26" s="26" t="s">
        <v>967</v>
      </c>
      <c r="D26" s="459" t="s">
        <v>867</v>
      </c>
      <c r="E26" s="56"/>
      <c r="F26" s="56"/>
      <c r="G26" s="56"/>
      <c r="H26" s="56"/>
      <c r="K26" s="768" t="s">
        <v>590</v>
      </c>
      <c r="L26" s="768"/>
    </row>
    <row r="27" spans="1:12" s="24" customFormat="1">
      <c r="A27" s="394"/>
      <c r="B27" s="56" t="s">
        <v>1140</v>
      </c>
      <c r="C27" s="56" t="s">
        <v>847</v>
      </c>
      <c r="D27" s="459" t="s">
        <v>980</v>
      </c>
      <c r="E27" s="56"/>
      <c r="F27" s="56"/>
      <c r="G27" s="56"/>
      <c r="H27" s="56"/>
      <c r="K27" s="769" t="s">
        <v>1065</v>
      </c>
      <c r="L27" s="769" t="s">
        <v>1066</v>
      </c>
    </row>
    <row r="28" spans="1:12" s="24" customFormat="1">
      <c r="A28" s="394"/>
      <c r="B28" s="56" t="s">
        <v>743</v>
      </c>
      <c r="C28" s="56" t="s">
        <v>846</v>
      </c>
      <c r="D28" s="394" t="s">
        <v>88</v>
      </c>
      <c r="E28" s="56"/>
      <c r="F28" s="56"/>
      <c r="G28" s="56"/>
      <c r="H28" s="56"/>
      <c r="K28" s="768" t="s">
        <v>24</v>
      </c>
      <c r="L28" s="768"/>
    </row>
    <row r="29" spans="1:12" s="24" customFormat="1">
      <c r="A29" s="459"/>
      <c r="B29" s="459" t="s">
        <v>212</v>
      </c>
      <c r="C29" s="459" t="s">
        <v>845</v>
      </c>
      <c r="D29" s="459" t="s">
        <v>88</v>
      </c>
      <c r="E29" s="56"/>
      <c r="F29" s="56"/>
      <c r="G29" s="56"/>
      <c r="H29" s="56"/>
      <c r="K29" s="769" t="s">
        <v>1141</v>
      </c>
      <c r="L29" s="769" t="s">
        <v>1067</v>
      </c>
    </row>
    <row r="30" spans="1:12" s="24" customFormat="1">
      <c r="A30" s="394"/>
      <c r="B30" s="394" t="s">
        <v>213</v>
      </c>
      <c r="C30" s="394" t="s">
        <v>844</v>
      </c>
      <c r="D30" s="394" t="s">
        <v>88</v>
      </c>
      <c r="E30" s="56"/>
      <c r="F30" s="56"/>
      <c r="G30" s="56"/>
      <c r="H30" s="56"/>
      <c r="J30" s="442"/>
      <c r="K30" s="769" t="s">
        <v>1142</v>
      </c>
      <c r="L30" s="769" t="s">
        <v>1068</v>
      </c>
    </row>
    <row r="31" spans="1:12" s="24" customFormat="1" ht="15" thickBot="1">
      <c r="A31" s="394"/>
      <c r="B31" s="394" t="s">
        <v>751</v>
      </c>
      <c r="C31" s="394" t="s">
        <v>843</v>
      </c>
      <c r="D31" s="394" t="s">
        <v>88</v>
      </c>
      <c r="E31" s="56"/>
      <c r="F31" s="56"/>
      <c r="G31" s="56"/>
      <c r="H31" s="56"/>
      <c r="J31" s="442"/>
      <c r="K31" s="769" t="s">
        <v>1069</v>
      </c>
      <c r="L31" s="769" t="s">
        <v>1070</v>
      </c>
    </row>
    <row r="32" spans="1:12" s="24" customFormat="1" ht="15" thickBot="1">
      <c r="A32" s="393"/>
      <c r="B32" s="393" t="s">
        <v>752</v>
      </c>
      <c r="C32" s="393" t="s">
        <v>842</v>
      </c>
      <c r="D32" s="393" t="s">
        <v>88</v>
      </c>
      <c r="E32" s="428"/>
      <c r="F32" s="428"/>
      <c r="G32" s="428"/>
      <c r="H32" s="428"/>
      <c r="J32" s="442"/>
      <c r="K32" s="770" t="s">
        <v>669</v>
      </c>
      <c r="L32" s="770"/>
    </row>
    <row r="33" spans="1:14" s="24" customFormat="1">
      <c r="A33" s="394" t="s">
        <v>102</v>
      </c>
      <c r="B33" s="29" t="s">
        <v>97</v>
      </c>
      <c r="C33" s="56" t="s">
        <v>228</v>
      </c>
      <c r="D33" s="394" t="s">
        <v>106</v>
      </c>
      <c r="E33" s="56"/>
      <c r="F33" s="56"/>
      <c r="G33" s="56"/>
      <c r="H33" s="56"/>
      <c r="J33" s="442"/>
      <c r="K33" s="768" t="s">
        <v>711</v>
      </c>
      <c r="L33" s="768"/>
    </row>
    <row r="34" spans="1:14" s="24" customFormat="1">
      <c r="A34" s="394"/>
      <c r="B34" s="29" t="s">
        <v>98</v>
      </c>
      <c r="C34" s="56" t="s">
        <v>103</v>
      </c>
      <c r="D34" s="394" t="s">
        <v>106</v>
      </c>
      <c r="E34" s="56"/>
      <c r="F34" s="56"/>
      <c r="G34" s="56"/>
      <c r="H34" s="56"/>
      <c r="J34" s="442"/>
      <c r="K34" s="769" t="s">
        <v>1071</v>
      </c>
      <c r="L34" s="769" t="s">
        <v>1072</v>
      </c>
    </row>
    <row r="35" spans="1:14">
      <c r="A35" s="394"/>
      <c r="B35" s="29" t="s">
        <v>99</v>
      </c>
      <c r="C35" s="56" t="s">
        <v>104</v>
      </c>
      <c r="D35" s="394" t="s">
        <v>106</v>
      </c>
      <c r="E35" s="56"/>
      <c r="F35" s="56"/>
      <c r="G35" s="56"/>
      <c r="H35" s="56"/>
      <c r="I35" s="24"/>
      <c r="J35" s="442"/>
      <c r="K35" s="769" t="s">
        <v>1129</v>
      </c>
      <c r="L35" s="769" t="s">
        <v>1128</v>
      </c>
    </row>
    <row r="36" spans="1:14" s="24" customFormat="1">
      <c r="A36" s="394"/>
      <c r="B36" s="29" t="s">
        <v>100</v>
      </c>
      <c r="C36" s="56" t="s">
        <v>105</v>
      </c>
      <c r="D36" s="394" t="s">
        <v>106</v>
      </c>
      <c r="E36" s="56"/>
      <c r="F36" s="56"/>
      <c r="G36" s="56"/>
      <c r="H36" s="56"/>
      <c r="I36"/>
      <c r="J36" s="442"/>
      <c r="K36" s="769" t="s">
        <v>1130</v>
      </c>
      <c r="L36" s="769" t="s">
        <v>1131</v>
      </c>
    </row>
    <row r="37" spans="1:14" s="24" customFormat="1">
      <c r="A37" s="394"/>
      <c r="B37" s="56" t="s">
        <v>110</v>
      </c>
      <c r="C37" s="56" t="s">
        <v>217</v>
      </c>
      <c r="D37" s="394" t="s">
        <v>106</v>
      </c>
      <c r="E37" s="56"/>
      <c r="F37" s="56"/>
      <c r="G37" s="56"/>
      <c r="H37" s="56"/>
      <c r="J37" s="442"/>
      <c r="K37" s="769" t="s">
        <v>1073</v>
      </c>
      <c r="L37" s="769" t="s">
        <v>1074</v>
      </c>
    </row>
    <row r="38" spans="1:14" ht="15" thickBot="1">
      <c r="A38" s="429"/>
      <c r="B38" s="430" t="s">
        <v>111</v>
      </c>
      <c r="C38" s="430" t="s">
        <v>218</v>
      </c>
      <c r="D38" s="429" t="s">
        <v>106</v>
      </c>
      <c r="E38" s="430"/>
      <c r="F38" s="430"/>
      <c r="G38" s="430"/>
      <c r="H38" s="430"/>
      <c r="K38" s="769" t="s">
        <v>1075</v>
      </c>
      <c r="L38" s="769" t="s">
        <v>1076</v>
      </c>
    </row>
    <row r="39" spans="1:14" ht="15" thickBot="1">
      <c r="A39" s="1"/>
      <c r="B39" s="636"/>
      <c r="C39" s="636"/>
      <c r="D39" s="1"/>
      <c r="E39" s="636"/>
      <c r="F39" s="636"/>
      <c r="G39" s="636"/>
      <c r="H39" s="636"/>
      <c r="K39" s="770" t="s">
        <v>1077</v>
      </c>
      <c r="L39" s="770"/>
    </row>
    <row r="40" spans="1:14">
      <c r="A40" s="572" t="s">
        <v>745</v>
      </c>
      <c r="G40" s="56"/>
      <c r="H40" s="56"/>
      <c r="K40" s="769" t="s">
        <v>1078</v>
      </c>
      <c r="L40" s="769" t="s">
        <v>1079</v>
      </c>
    </row>
    <row r="41" spans="1:14">
      <c r="A41" s="572" t="s">
        <v>746</v>
      </c>
      <c r="G41" s="459"/>
      <c r="H41" s="459"/>
      <c r="K41" s="769" t="s">
        <v>1080</v>
      </c>
      <c r="L41" s="769" t="s">
        <v>1081</v>
      </c>
    </row>
    <row r="42" spans="1:14" ht="15" thickBot="1">
      <c r="A42" s="572" t="s">
        <v>744</v>
      </c>
      <c r="G42" s="459"/>
      <c r="H42" s="459"/>
      <c r="K42" s="769" t="s">
        <v>1082</v>
      </c>
      <c r="L42" s="769" t="s">
        <v>1083</v>
      </c>
    </row>
    <row r="43" spans="1:14" ht="15" thickBot="1">
      <c r="A43" s="572" t="s">
        <v>747</v>
      </c>
      <c r="G43" s="459"/>
      <c r="H43" s="459"/>
      <c r="K43" s="770" t="s">
        <v>95</v>
      </c>
      <c r="L43" s="770"/>
    </row>
    <row r="44" spans="1:14">
      <c r="K44" s="769" t="s">
        <v>1084</v>
      </c>
      <c r="L44" s="769" t="s">
        <v>1085</v>
      </c>
      <c r="M44" s="459"/>
      <c r="N44" s="459"/>
    </row>
    <row r="45" spans="1:14" s="459" customFormat="1" ht="15" thickBot="1">
      <c r="K45" s="771" t="s">
        <v>1086</v>
      </c>
      <c r="L45" s="771"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zoomScale="70" zoomScaleNormal="70" workbookViewId="0">
      <selection activeCell="D18" sqref="D18"/>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863</v>
      </c>
      <c r="H4" s="729" t="s">
        <v>1088</v>
      </c>
      <c r="I4" s="729" t="s">
        <v>1008</v>
      </c>
      <c r="J4" s="729" t="s">
        <v>1009</v>
      </c>
      <c r="K4" s="729" t="s">
        <v>1010</v>
      </c>
      <c r="L4" s="729" t="s">
        <v>1011</v>
      </c>
      <c r="M4" s="729"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30">
        <f>1-J55</f>
        <v>0.9548414346182118</v>
      </c>
      <c r="J5" s="730">
        <f>1-L55</f>
        <v>0.95</v>
      </c>
      <c r="K5" s="730">
        <f>1-V55</f>
        <v>0.9</v>
      </c>
      <c r="L5" s="730">
        <f>1-AF55</f>
        <v>0.9</v>
      </c>
      <c r="M5" s="730">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1" t="str">
        <f>P6</f>
        <v>TRADST_BLD</v>
      </c>
      <c r="D8" s="731" t="str">
        <f>Commodities!B9</f>
        <v>TRADST</v>
      </c>
      <c r="E8" s="731"/>
      <c r="F8" s="56" t="s">
        <v>1013</v>
      </c>
      <c r="G8" s="731">
        <v>1</v>
      </c>
      <c r="H8" s="731">
        <v>5</v>
      </c>
      <c r="I8" s="732">
        <f>1-J56</f>
        <v>0.95912212653292017</v>
      </c>
      <c r="J8" s="732">
        <f>1-L56</f>
        <v>0.94884746867213698</v>
      </c>
      <c r="K8" s="732">
        <f>1-V56</f>
        <v>0.9</v>
      </c>
      <c r="L8" s="732">
        <f>1-AG56</f>
        <v>0.9</v>
      </c>
      <c r="M8" s="732">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1013</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1013</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Commodities!B13</f>
        <v>TRACNG</v>
      </c>
      <c r="E14" s="731"/>
      <c r="F14" s="56" t="s">
        <v>1013</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Commodities!B14</f>
        <v>TRABNG</v>
      </c>
      <c r="E15" s="56"/>
      <c r="F15" s="56" t="s">
        <v>1013</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1" t="str">
        <f>P9</f>
        <v>TRABJK_BLD</v>
      </c>
      <c r="D17" s="731" t="str">
        <f>Commodities!B18</f>
        <v>TRAKER</v>
      </c>
      <c r="E17" s="731"/>
      <c r="F17" s="56" t="s">
        <v>1013</v>
      </c>
      <c r="G17" s="731">
        <v>1</v>
      </c>
      <c r="H17" s="731">
        <v>5</v>
      </c>
      <c r="I17" s="733">
        <v>1</v>
      </c>
      <c r="J17" s="733">
        <v>0.99</v>
      </c>
      <c r="K17" s="733">
        <v>0.5</v>
      </c>
      <c r="L17" s="733">
        <v>0.3</v>
      </c>
      <c r="M17" s="733">
        <v>0.1</v>
      </c>
    </row>
    <row r="18" spans="1:19" s="714" customFormat="1">
      <c r="C18" s="56"/>
      <c r="D18" s="56" t="str">
        <f>Commodities!B12</f>
        <v>TRABJK</v>
      </c>
      <c r="E18" s="56"/>
      <c r="F18" s="56" t="s">
        <v>1013</v>
      </c>
      <c r="G18" s="56"/>
      <c r="H18" s="56">
        <v>5</v>
      </c>
      <c r="I18" s="764">
        <f>1-I17</f>
        <v>0</v>
      </c>
      <c r="J18" s="764">
        <f t="shared" ref="J18:M18" si="13">1-J17</f>
        <v>1.0000000000000009E-2</v>
      </c>
      <c r="K18" s="764">
        <f t="shared" si="13"/>
        <v>0.5</v>
      </c>
      <c r="L18" s="764">
        <f t="shared" si="13"/>
        <v>0.7</v>
      </c>
      <c r="M18" s="764">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4" t="s">
        <v>480</v>
      </c>
      <c r="B23" s="735"/>
      <c r="L23"/>
      <c r="M23" s="714"/>
      <c r="O23" s="714"/>
      <c r="P23" s="714"/>
      <c r="Q23" s="714"/>
      <c r="R23" s="714"/>
      <c r="S23" s="714"/>
    </row>
    <row r="24" spans="1:19">
      <c r="A24" s="736" t="s">
        <v>481</v>
      </c>
      <c r="B24" s="737" t="s">
        <v>482</v>
      </c>
      <c r="L24"/>
      <c r="M24" s="714"/>
      <c r="O24" s="714"/>
      <c r="P24" s="714"/>
      <c r="Q24" s="714"/>
      <c r="R24" s="714"/>
      <c r="S24" s="714"/>
    </row>
    <row r="25" spans="1:19">
      <c r="A25" s="738" t="s">
        <v>20</v>
      </c>
      <c r="B25" s="739">
        <v>1041376950</v>
      </c>
      <c r="L25"/>
      <c r="M25" s="714"/>
      <c r="O25" s="714"/>
      <c r="P25" s="714"/>
      <c r="Q25" s="714"/>
      <c r="R25" s="714"/>
      <c r="S25" s="714"/>
    </row>
    <row r="26" spans="1:19">
      <c r="A26" s="740" t="s">
        <v>483</v>
      </c>
      <c r="B26" s="739">
        <v>53868503</v>
      </c>
    </row>
    <row r="27" spans="1:19">
      <c r="A27" s="740" t="s">
        <v>19</v>
      </c>
      <c r="B27" s="741">
        <v>3392228806</v>
      </c>
    </row>
    <row r="28" spans="1:19">
      <c r="A28" s="740" t="s">
        <v>484</v>
      </c>
      <c r="B28" s="741">
        <v>162101602</v>
      </c>
    </row>
    <row r="29" spans="1:19">
      <c r="A29" s="742" t="s">
        <v>485</v>
      </c>
      <c r="B29" s="743"/>
    </row>
    <row r="30" spans="1:19">
      <c r="A30" s="743"/>
      <c r="B30" s="743"/>
    </row>
    <row r="31" spans="1:19">
      <c r="A31" s="743"/>
      <c r="B31" s="743"/>
    </row>
    <row r="32" spans="1:19">
      <c r="A32" s="734" t="s">
        <v>486</v>
      </c>
      <c r="B32" s="735"/>
    </row>
    <row r="33" spans="1:2">
      <c r="A33" s="736" t="s">
        <v>481</v>
      </c>
      <c r="B33" s="737" t="s">
        <v>486</v>
      </c>
    </row>
    <row r="34" spans="1:2">
      <c r="A34" s="738" t="s">
        <v>20</v>
      </c>
      <c r="B34" s="739">
        <v>35</v>
      </c>
    </row>
    <row r="35" spans="1:2">
      <c r="A35" s="740" t="s">
        <v>483</v>
      </c>
      <c r="B35" s="739">
        <v>32</v>
      </c>
    </row>
    <row r="36" spans="1:2">
      <c r="A36" s="740" t="s">
        <v>19</v>
      </c>
      <c r="B36" s="741">
        <v>37</v>
      </c>
    </row>
    <row r="37" spans="1:2">
      <c r="A37" s="740" t="s">
        <v>484</v>
      </c>
      <c r="B37" s="741">
        <v>33</v>
      </c>
    </row>
    <row r="38" spans="1:2">
      <c r="A38" s="743"/>
      <c r="B38" s="743"/>
    </row>
    <row r="39" spans="1:2">
      <c r="A39" s="743"/>
      <c r="B39" s="743"/>
    </row>
    <row r="40" spans="1:2">
      <c r="A40" s="734" t="s">
        <v>487</v>
      </c>
      <c r="B40" s="735"/>
    </row>
    <row r="41" spans="1:2">
      <c r="A41" s="736" t="s">
        <v>481</v>
      </c>
      <c r="B41" s="737" t="s">
        <v>488</v>
      </c>
    </row>
    <row r="42" spans="1:2">
      <c r="A42" s="738" t="s">
        <v>20</v>
      </c>
      <c r="B42" s="744">
        <f>(B25*B34)/((B25*B34)+(B26*B35))</f>
        <v>0.9548414346182118</v>
      </c>
    </row>
    <row r="43" spans="1:2">
      <c r="A43" s="740" t="s">
        <v>483</v>
      </c>
      <c r="B43" s="744">
        <f>(B26*B35)/((B25*B34)+(B26*B35))</f>
        <v>4.5158565381788147E-2</v>
      </c>
    </row>
    <row r="44" spans="1:2">
      <c r="A44" s="740" t="s">
        <v>19</v>
      </c>
      <c r="B44" s="744">
        <f>(B27*B36)/((B27*B36)+(B28*B37))</f>
        <v>0.95912212653292017</v>
      </c>
    </row>
    <row r="45" spans="1:2">
      <c r="A45" s="740" t="s">
        <v>484</v>
      </c>
      <c r="B45" s="744">
        <f>(B28*B37)/((B27*B36)+(B28*B37))</f>
        <v>4.087787346707978E-2</v>
      </c>
    </row>
    <row r="49" spans="1:42" ht="15" thickBot="1">
      <c r="A49" s="714" t="s">
        <v>1003</v>
      </c>
    </row>
    <row r="50" spans="1:42">
      <c r="A50" s="750" t="s">
        <v>998</v>
      </c>
      <c r="B50" s="751">
        <v>2010</v>
      </c>
      <c r="C50" s="751">
        <v>2011</v>
      </c>
      <c r="D50" s="751">
        <v>2012</v>
      </c>
      <c r="E50" s="751">
        <v>2013</v>
      </c>
      <c r="F50" s="751">
        <v>2014</v>
      </c>
      <c r="G50" s="751">
        <v>2015</v>
      </c>
      <c r="H50" s="751">
        <v>2016</v>
      </c>
      <c r="I50" s="751">
        <v>2017</v>
      </c>
      <c r="J50" s="751">
        <v>2018</v>
      </c>
      <c r="K50" s="751">
        <v>2019</v>
      </c>
      <c r="L50" s="751">
        <v>2020</v>
      </c>
      <c r="M50" s="751">
        <v>2021</v>
      </c>
      <c r="N50" s="751">
        <v>2022</v>
      </c>
      <c r="O50" s="751">
        <v>2023</v>
      </c>
      <c r="P50" s="751">
        <v>2024</v>
      </c>
      <c r="Q50" s="751">
        <v>2025</v>
      </c>
      <c r="R50" s="751">
        <v>2026</v>
      </c>
      <c r="S50" s="751">
        <v>2027</v>
      </c>
      <c r="T50" s="751">
        <v>2028</v>
      </c>
      <c r="U50" s="751">
        <v>2029</v>
      </c>
      <c r="V50" s="751">
        <v>2030</v>
      </c>
      <c r="W50" s="751">
        <v>2031</v>
      </c>
      <c r="X50" s="751">
        <v>2032</v>
      </c>
      <c r="Y50" s="751">
        <v>2033</v>
      </c>
      <c r="Z50" s="751">
        <v>2034</v>
      </c>
      <c r="AA50" s="751">
        <v>2035</v>
      </c>
      <c r="AB50" s="751">
        <v>2036</v>
      </c>
      <c r="AC50" s="751">
        <v>2037</v>
      </c>
      <c r="AD50" s="751">
        <v>2038</v>
      </c>
      <c r="AE50" s="751">
        <v>2039</v>
      </c>
      <c r="AF50" s="751">
        <v>2040</v>
      </c>
      <c r="AG50" s="751">
        <v>2041</v>
      </c>
      <c r="AH50" s="751">
        <v>2042</v>
      </c>
      <c r="AI50" s="751">
        <v>2043</v>
      </c>
      <c r="AJ50" s="751">
        <v>2044</v>
      </c>
      <c r="AK50" s="751">
        <v>2045</v>
      </c>
      <c r="AL50" s="751">
        <v>2046</v>
      </c>
      <c r="AM50" s="751">
        <v>2047</v>
      </c>
      <c r="AN50" s="751">
        <v>2048</v>
      </c>
      <c r="AO50" s="751">
        <v>2049</v>
      </c>
      <c r="AP50" s="755">
        <v>2050</v>
      </c>
    </row>
    <row r="51" spans="1:42">
      <c r="A51" s="746" t="s">
        <v>18</v>
      </c>
      <c r="B51" s="756">
        <v>1919438353</v>
      </c>
      <c r="C51" s="756">
        <v>1770757195</v>
      </c>
      <c r="D51" s="756">
        <v>1624514247</v>
      </c>
      <c r="E51" s="756">
        <v>1517484617</v>
      </c>
      <c r="F51" s="757">
        <v>1437055035</v>
      </c>
      <c r="G51" s="757">
        <v>1362450472</v>
      </c>
      <c r="H51" s="757">
        <v>1272730975</v>
      </c>
      <c r="I51" s="757">
        <v>1146348261</v>
      </c>
      <c r="J51" s="757">
        <v>1041376950</v>
      </c>
      <c r="K51" s="757">
        <v>989982198</v>
      </c>
      <c r="L51" s="758" t="s">
        <v>17</v>
      </c>
      <c r="M51" s="758" t="s">
        <v>17</v>
      </c>
      <c r="N51" s="758" t="s">
        <v>17</v>
      </c>
      <c r="O51" s="758" t="s">
        <v>17</v>
      </c>
      <c r="P51" s="758" t="s">
        <v>17</v>
      </c>
      <c r="Q51" s="758" t="s">
        <v>17</v>
      </c>
      <c r="R51" s="758" t="s">
        <v>17</v>
      </c>
      <c r="S51" s="758" t="s">
        <v>17</v>
      </c>
      <c r="T51" s="758" t="s">
        <v>17</v>
      </c>
      <c r="U51" s="758" t="s">
        <v>17</v>
      </c>
      <c r="V51" s="758" t="s">
        <v>17</v>
      </c>
      <c r="W51" s="758" t="s">
        <v>17</v>
      </c>
      <c r="X51" s="758" t="s">
        <v>17</v>
      </c>
      <c r="Y51" s="758" t="s">
        <v>17</v>
      </c>
      <c r="Z51" s="758" t="s">
        <v>17</v>
      </c>
      <c r="AA51" s="758" t="s">
        <v>17</v>
      </c>
      <c r="AB51" s="758" t="s">
        <v>17</v>
      </c>
      <c r="AC51" s="758" t="s">
        <v>17</v>
      </c>
      <c r="AD51" s="758" t="s">
        <v>17</v>
      </c>
      <c r="AE51" s="758" t="s">
        <v>17</v>
      </c>
      <c r="AF51" s="758" t="s">
        <v>17</v>
      </c>
      <c r="AG51" s="758" t="s">
        <v>17</v>
      </c>
      <c r="AH51" s="758" t="s">
        <v>17</v>
      </c>
      <c r="AI51" s="758" t="s">
        <v>17</v>
      </c>
      <c r="AJ51" s="758" t="s">
        <v>17</v>
      </c>
      <c r="AK51" s="758" t="s">
        <v>17</v>
      </c>
      <c r="AL51" s="758" t="s">
        <v>17</v>
      </c>
      <c r="AM51" s="758" t="s">
        <v>17</v>
      </c>
      <c r="AN51" s="758" t="s">
        <v>17</v>
      </c>
      <c r="AO51" s="758" t="s">
        <v>17</v>
      </c>
      <c r="AP51" s="747" t="s">
        <v>17</v>
      </c>
    </row>
    <row r="52" spans="1:42">
      <c r="A52" s="746" t="s">
        <v>999</v>
      </c>
      <c r="B52" s="756">
        <v>32285257</v>
      </c>
      <c r="C52" s="756">
        <v>57428620</v>
      </c>
      <c r="D52" s="756">
        <v>55648948</v>
      </c>
      <c r="E52" s="756">
        <v>56388985</v>
      </c>
      <c r="F52" s="757">
        <v>52569970</v>
      </c>
      <c r="G52" s="757">
        <v>58834520</v>
      </c>
      <c r="H52" s="757">
        <v>63084385</v>
      </c>
      <c r="I52" s="757">
        <v>58476031</v>
      </c>
      <c r="J52" s="757">
        <v>53868503</v>
      </c>
      <c r="K52" s="757">
        <v>51730645</v>
      </c>
      <c r="L52" s="758"/>
      <c r="M52" s="758"/>
      <c r="N52" s="758"/>
      <c r="O52" s="758"/>
      <c r="P52" s="758"/>
      <c r="Q52" s="758"/>
      <c r="R52" s="758"/>
      <c r="S52" s="758"/>
      <c r="T52" s="758"/>
      <c r="U52" s="758"/>
      <c r="V52" s="758"/>
      <c r="W52" s="758"/>
      <c r="X52" s="758"/>
      <c r="Y52" s="758"/>
      <c r="Z52" s="758"/>
      <c r="AA52" s="758"/>
      <c r="AB52" s="758"/>
      <c r="AC52" s="758"/>
      <c r="AD52" s="758"/>
      <c r="AE52" s="758"/>
      <c r="AF52" s="758"/>
      <c r="AG52" s="758"/>
      <c r="AH52" s="758"/>
      <c r="AI52" s="758"/>
      <c r="AJ52" s="758"/>
      <c r="AK52" s="758"/>
      <c r="AL52" s="758"/>
      <c r="AM52" s="758"/>
      <c r="AN52" s="758"/>
      <c r="AO52" s="758"/>
      <c r="AP52" s="747"/>
    </row>
    <row r="53" spans="1:42">
      <c r="A53" s="746" t="s">
        <v>19</v>
      </c>
      <c r="B53" s="756">
        <v>2487370477</v>
      </c>
      <c r="C53" s="756">
        <v>2454495889</v>
      </c>
      <c r="D53" s="756">
        <v>2441127259</v>
      </c>
      <c r="E53" s="756">
        <v>2548493422</v>
      </c>
      <c r="F53" s="757">
        <v>2706015956</v>
      </c>
      <c r="G53" s="757">
        <v>2952899074</v>
      </c>
      <c r="H53" s="757">
        <v>3187676279</v>
      </c>
      <c r="I53" s="757">
        <v>3242587996</v>
      </c>
      <c r="J53" s="757">
        <v>3392228806</v>
      </c>
      <c r="K53" s="757">
        <v>3419565001</v>
      </c>
      <c r="L53" s="758" t="s">
        <v>17</v>
      </c>
      <c r="M53" s="758" t="s">
        <v>17</v>
      </c>
      <c r="N53" s="758" t="s">
        <v>17</v>
      </c>
      <c r="O53" s="758" t="s">
        <v>17</v>
      </c>
      <c r="P53" s="758" t="s">
        <v>17</v>
      </c>
      <c r="Q53" s="758" t="s">
        <v>17</v>
      </c>
      <c r="R53" s="758" t="s">
        <v>17</v>
      </c>
      <c r="S53" s="758" t="s">
        <v>17</v>
      </c>
      <c r="T53" s="758" t="s">
        <v>17</v>
      </c>
      <c r="U53" s="758" t="s">
        <v>17</v>
      </c>
      <c r="V53" s="758" t="s">
        <v>17</v>
      </c>
      <c r="W53" s="758" t="s">
        <v>17</v>
      </c>
      <c r="X53" s="758" t="s">
        <v>17</v>
      </c>
      <c r="Y53" s="758" t="s">
        <v>17</v>
      </c>
      <c r="Z53" s="758" t="s">
        <v>17</v>
      </c>
      <c r="AA53" s="758" t="s">
        <v>17</v>
      </c>
      <c r="AB53" s="758" t="s">
        <v>17</v>
      </c>
      <c r="AC53" s="758" t="s">
        <v>17</v>
      </c>
      <c r="AD53" s="758" t="s">
        <v>17</v>
      </c>
      <c r="AE53" s="758" t="s">
        <v>17</v>
      </c>
      <c r="AF53" s="758" t="s">
        <v>17</v>
      </c>
      <c r="AG53" s="758" t="s">
        <v>17</v>
      </c>
      <c r="AH53" s="758" t="s">
        <v>17</v>
      </c>
      <c r="AI53" s="758" t="s">
        <v>17</v>
      </c>
      <c r="AJ53" s="758" t="s">
        <v>17</v>
      </c>
      <c r="AK53" s="758" t="s">
        <v>17</v>
      </c>
      <c r="AL53" s="758" t="s">
        <v>17</v>
      </c>
      <c r="AM53" s="758" t="s">
        <v>17</v>
      </c>
      <c r="AN53" s="758" t="s">
        <v>17</v>
      </c>
      <c r="AO53" s="758" t="s">
        <v>17</v>
      </c>
      <c r="AP53" s="747" t="s">
        <v>17</v>
      </c>
    </row>
    <row r="54" spans="1:42">
      <c r="A54" s="746" t="s">
        <v>1000</v>
      </c>
      <c r="B54" s="756">
        <v>64523884</v>
      </c>
      <c r="C54" s="756">
        <v>86912448</v>
      </c>
      <c r="D54" s="756">
        <v>70292126</v>
      </c>
      <c r="E54" s="756">
        <v>93969733</v>
      </c>
      <c r="F54" s="757">
        <v>114350795</v>
      </c>
      <c r="G54" s="757">
        <v>124868316</v>
      </c>
      <c r="H54" s="757">
        <v>109734839</v>
      </c>
      <c r="I54" s="757">
        <v>167296383</v>
      </c>
      <c r="J54" s="757">
        <v>162101602</v>
      </c>
      <c r="K54" s="757">
        <v>206694716</v>
      </c>
      <c r="L54" s="758" t="s">
        <v>17</v>
      </c>
      <c r="M54" s="758" t="s">
        <v>17</v>
      </c>
      <c r="N54" s="758" t="s">
        <v>17</v>
      </c>
      <c r="O54" s="758" t="s">
        <v>17</v>
      </c>
      <c r="P54" s="758" t="s">
        <v>17</v>
      </c>
      <c r="Q54" s="758" t="s">
        <v>17</v>
      </c>
      <c r="R54" s="758" t="s">
        <v>17</v>
      </c>
      <c r="S54" s="758" t="s">
        <v>17</v>
      </c>
      <c r="T54" s="758" t="s">
        <v>17</v>
      </c>
      <c r="U54" s="758" t="s">
        <v>17</v>
      </c>
      <c r="V54" s="758" t="s">
        <v>17</v>
      </c>
      <c r="W54" s="758" t="s">
        <v>17</v>
      </c>
      <c r="X54" s="758" t="s">
        <v>17</v>
      </c>
      <c r="Y54" s="758" t="s">
        <v>17</v>
      </c>
      <c r="Z54" s="758" t="s">
        <v>17</v>
      </c>
      <c r="AA54" s="758" t="s">
        <v>17</v>
      </c>
      <c r="AB54" s="758" t="s">
        <v>17</v>
      </c>
      <c r="AC54" s="758" t="s">
        <v>17</v>
      </c>
      <c r="AD54" s="758" t="s">
        <v>17</v>
      </c>
      <c r="AE54" s="758" t="s">
        <v>17</v>
      </c>
      <c r="AF54" s="758" t="s">
        <v>17</v>
      </c>
      <c r="AG54" s="758" t="s">
        <v>17</v>
      </c>
      <c r="AH54" s="758" t="s">
        <v>17</v>
      </c>
      <c r="AI54" s="758" t="s">
        <v>17</v>
      </c>
      <c r="AJ54" s="758" t="s">
        <v>17</v>
      </c>
      <c r="AK54" s="758" t="s">
        <v>17</v>
      </c>
      <c r="AL54" s="758" t="s">
        <v>17</v>
      </c>
      <c r="AM54" s="758" t="s">
        <v>17</v>
      </c>
      <c r="AN54" s="758" t="s">
        <v>17</v>
      </c>
      <c r="AO54" s="758" t="s">
        <v>17</v>
      </c>
      <c r="AP54" s="747" t="s">
        <v>17</v>
      </c>
    </row>
    <row r="55" spans="1:42">
      <c r="A55" s="746"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2">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3">
        <f>AO55</f>
        <v>0.1</v>
      </c>
    </row>
    <row r="56" spans="1:42" ht="15" thickBot="1">
      <c r="A56" s="748" t="s">
        <v>1002</v>
      </c>
      <c r="B56" s="749">
        <f>(B54*$B$37)/((B53*$B$36)+(B54*$B$37))</f>
        <v>2.2613031440494664E-2</v>
      </c>
      <c r="C56" s="749">
        <f>(C54*$B$37)/((C53*$B$36)+(C54*$B$37))</f>
        <v>3.0614584580015675E-2</v>
      </c>
      <c r="D56" s="749">
        <f t="shared" ref="D56:K56" si="18">(D54*$B$37)/((D53*$B$36)+(D54*$B$37))</f>
        <v>2.5038929047601442E-2</v>
      </c>
      <c r="E56" s="749">
        <f t="shared" si="18"/>
        <v>3.1839344737629331E-2</v>
      </c>
      <c r="F56" s="749">
        <f t="shared" si="18"/>
        <v>3.6320649339008006E-2</v>
      </c>
      <c r="G56" s="749">
        <f t="shared" si="18"/>
        <v>3.6344417166647852E-2</v>
      </c>
      <c r="H56" s="749">
        <f t="shared" si="18"/>
        <v>2.9788521237398415E-2</v>
      </c>
      <c r="I56" s="749">
        <f t="shared" si="18"/>
        <v>4.3991498039437318E-2</v>
      </c>
      <c r="J56" s="749">
        <f t="shared" si="18"/>
        <v>4.087787346707978E-2</v>
      </c>
      <c r="K56" s="749">
        <f t="shared" si="18"/>
        <v>5.1152531327863002E-2</v>
      </c>
      <c r="L56" s="749">
        <f>K56</f>
        <v>5.1152531327863002E-2</v>
      </c>
      <c r="M56" s="749">
        <f>L56+(($V$56-$L$56)/10)</f>
        <v>5.6037278195076701E-2</v>
      </c>
      <c r="N56" s="749">
        <f t="shared" ref="N56:U56" si="19">M56+(($V$56-$L$56)/10)</f>
        <v>6.09220250622904E-2</v>
      </c>
      <c r="O56" s="749">
        <f t="shared" si="19"/>
        <v>6.5806771929504099E-2</v>
      </c>
      <c r="P56" s="749">
        <f t="shared" si="19"/>
        <v>7.0691518796717798E-2</v>
      </c>
      <c r="Q56" s="749">
        <f t="shared" si="19"/>
        <v>7.5576265663931497E-2</v>
      </c>
      <c r="R56" s="749">
        <f t="shared" si="19"/>
        <v>8.0461012531145196E-2</v>
      </c>
      <c r="S56" s="749">
        <f t="shared" si="19"/>
        <v>8.5345759398358895E-2</v>
      </c>
      <c r="T56" s="749">
        <f t="shared" si="19"/>
        <v>9.0230506265572594E-2</v>
      </c>
      <c r="U56" s="749">
        <f t="shared" si="19"/>
        <v>9.5115253132786293E-2</v>
      </c>
      <c r="V56" s="759">
        <v>0.1</v>
      </c>
      <c r="W56" s="749">
        <f t="shared" ref="W56:AP56" si="20">V56</f>
        <v>0.1</v>
      </c>
      <c r="X56" s="749">
        <f t="shared" si="20"/>
        <v>0.1</v>
      </c>
      <c r="Y56" s="749">
        <f t="shared" si="20"/>
        <v>0.1</v>
      </c>
      <c r="Z56" s="749">
        <f t="shared" si="20"/>
        <v>0.1</v>
      </c>
      <c r="AA56" s="749">
        <f t="shared" si="20"/>
        <v>0.1</v>
      </c>
      <c r="AB56" s="749">
        <f t="shared" si="20"/>
        <v>0.1</v>
      </c>
      <c r="AC56" s="749">
        <f t="shared" si="20"/>
        <v>0.1</v>
      </c>
      <c r="AD56" s="749">
        <f t="shared" si="20"/>
        <v>0.1</v>
      </c>
      <c r="AE56" s="749">
        <f t="shared" si="20"/>
        <v>0.1</v>
      </c>
      <c r="AF56" s="749">
        <f t="shared" si="20"/>
        <v>0.1</v>
      </c>
      <c r="AG56" s="749">
        <f t="shared" si="20"/>
        <v>0.1</v>
      </c>
      <c r="AH56" s="749">
        <f t="shared" si="20"/>
        <v>0.1</v>
      </c>
      <c r="AI56" s="749">
        <f t="shared" si="20"/>
        <v>0.1</v>
      </c>
      <c r="AJ56" s="749">
        <f t="shared" si="20"/>
        <v>0.1</v>
      </c>
      <c r="AK56" s="749">
        <f t="shared" si="20"/>
        <v>0.1</v>
      </c>
      <c r="AL56" s="749">
        <f t="shared" si="20"/>
        <v>0.1</v>
      </c>
      <c r="AM56" s="749">
        <f t="shared" si="20"/>
        <v>0.1</v>
      </c>
      <c r="AN56" s="749">
        <f t="shared" si="20"/>
        <v>0.1</v>
      </c>
      <c r="AO56" s="749">
        <f t="shared" si="20"/>
        <v>0.1</v>
      </c>
      <c r="AP56" s="754">
        <f t="shared" si="20"/>
        <v>0.1</v>
      </c>
    </row>
    <row r="57" spans="1:42">
      <c r="A57" s="742"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abSelected="1" topLeftCell="A88" zoomScale="55" zoomScaleNormal="55" workbookViewId="0">
      <selection activeCell="C134" sqref="C134"/>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1099</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1104</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7">
        <f t="shared" ref="F74:F77" si="71">D189/1000</f>
        <v>0.01</v>
      </c>
      <c r="G74" s="807">
        <f t="shared" ref="G74:G77" si="72">E189/1000</f>
        <v>0.27800000000000002</v>
      </c>
      <c r="H74" s="807">
        <f t="shared" ref="H74:H77" si="73">F189/1000</f>
        <v>4.9000000000000002E-2</v>
      </c>
      <c r="I74" s="807">
        <f t="shared" ref="I74:I77" si="74">G189/1000</f>
        <v>1.4999999999999999E-2</v>
      </c>
      <c r="J74" s="807">
        <f t="shared" ref="J74:J77" si="75">H189/1000</f>
        <v>2.1000000000000001E-2</v>
      </c>
      <c r="K74" s="807">
        <f t="shared" ref="K74:K77" si="76">I189/1000</f>
        <v>8.0000000000000002E-3</v>
      </c>
      <c r="L74" s="807">
        <f t="shared" ref="L74:L77" si="77">J189/1000</f>
        <v>1.4999999999999999E-2</v>
      </c>
      <c r="M74" s="807">
        <f t="shared" ref="M74:M77" si="78">K189/1000</f>
        <v>2.1000000000000001E-2</v>
      </c>
      <c r="N74" s="807">
        <f t="shared" ref="N74:N77" si="79">L189/1000</f>
        <v>0.01</v>
      </c>
      <c r="O74" s="807">
        <f t="shared" ref="O74:O77" si="80">M189/1000</f>
        <v>1.4E-2</v>
      </c>
      <c r="P74" s="807">
        <f t="shared" ref="P74:P77" si="81">N189/1000</f>
        <v>2.8000000000000001E-2</v>
      </c>
      <c r="Q74" s="807">
        <f t="shared" ref="Q74:Q77" si="82">O189/1000</f>
        <v>4.5999999999999999E-2</v>
      </c>
      <c r="R74" s="807">
        <f t="shared" ref="R74:R77" si="83">P189/1000</f>
        <v>1.6E-2</v>
      </c>
      <c r="S74" s="807">
        <f t="shared" ref="S74:S77" si="84">Q189/1000</f>
        <v>0.13100000000000001</v>
      </c>
      <c r="T74" s="807">
        <f t="shared" ref="T74:T77" si="85">R189/1000</f>
        <v>2.1000000000000001E-2</v>
      </c>
      <c r="U74" s="807">
        <f t="shared" ref="U74:U77" si="86">S189/1000</f>
        <v>1.4E-2</v>
      </c>
      <c r="V74" s="807">
        <f t="shared" ref="V74:V77" si="87">T189/1000</f>
        <v>2.7E-2</v>
      </c>
      <c r="W74" s="807">
        <f t="shared" ref="W74:W77" si="88">U189/1000</f>
        <v>0.03</v>
      </c>
      <c r="X74" s="807">
        <f t="shared" ref="X74:X77" si="89">V189/1000</f>
        <v>4.3999999999999997E-2</v>
      </c>
      <c r="Y74" s="807">
        <f t="shared" ref="Y74:Y77" si="90">W189/1000</f>
        <v>2E-3</v>
      </c>
      <c r="Z74" s="807">
        <f t="shared" ref="Z74:Z77" si="91">X189/1000</f>
        <v>1.9E-2</v>
      </c>
      <c r="AA74" s="807">
        <f t="shared" ref="AA74:AA77" si="92">Y189/1000</f>
        <v>1.4E-2</v>
      </c>
      <c r="AB74" s="807">
        <f t="shared" ref="AB74:AB77" si="93">Z189/1000</f>
        <v>8.9999999999999993E-3</v>
      </c>
      <c r="AC74" s="807">
        <f t="shared" ref="AC74:AC77" si="94">AA189/1000</f>
        <v>7.0000000000000001E-3</v>
      </c>
      <c r="AD74" s="807">
        <f t="shared" ref="AD74:AD77" si="95">AB189/1000</f>
        <v>2.9000000000000001E-2</v>
      </c>
      <c r="AE74" s="807">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7">
        <f t="shared" si="71"/>
        <v>5.2619999999999996</v>
      </c>
      <c r="G75" s="807">
        <f t="shared" si="72"/>
        <v>67.396000000000001</v>
      </c>
      <c r="H75" s="807">
        <f t="shared" si="73"/>
        <v>14.377000000000001</v>
      </c>
      <c r="I75" s="807">
        <f t="shared" si="74"/>
        <v>7.2439999999999998</v>
      </c>
      <c r="J75" s="807">
        <f t="shared" si="75"/>
        <v>5.3410000000000002</v>
      </c>
      <c r="K75" s="807">
        <f t="shared" si="76"/>
        <v>3.5209999999999999</v>
      </c>
      <c r="L75" s="807">
        <f t="shared" si="77"/>
        <v>7.1390000000000002</v>
      </c>
      <c r="M75" s="807">
        <f t="shared" si="78"/>
        <v>12.86</v>
      </c>
      <c r="N75" s="807">
        <f t="shared" si="79"/>
        <v>6.0270000000000001</v>
      </c>
      <c r="O75" s="807">
        <f t="shared" si="80"/>
        <v>7.5810000000000004</v>
      </c>
      <c r="P75" s="807">
        <f t="shared" si="81"/>
        <v>12.180999999999999</v>
      </c>
      <c r="Q75" s="807">
        <f t="shared" si="82"/>
        <v>8.7870000000000008</v>
      </c>
      <c r="R75" s="807">
        <f t="shared" si="83"/>
        <v>8.8019999999999996</v>
      </c>
      <c r="S75" s="807">
        <f t="shared" si="84"/>
        <v>37.667000000000002</v>
      </c>
      <c r="T75" s="807">
        <f t="shared" si="85"/>
        <v>11.12</v>
      </c>
      <c r="U75" s="807">
        <f t="shared" si="86"/>
        <v>11.993</v>
      </c>
      <c r="V75" s="807">
        <f t="shared" si="87"/>
        <v>12.476000000000001</v>
      </c>
      <c r="W75" s="807">
        <f t="shared" si="88"/>
        <v>7.5670000000000002</v>
      </c>
      <c r="X75" s="807">
        <f t="shared" si="89"/>
        <v>18.739999999999998</v>
      </c>
      <c r="Y75" s="807">
        <f t="shared" si="90"/>
        <v>3.1930000000000001</v>
      </c>
      <c r="Z75" s="807">
        <f t="shared" si="91"/>
        <v>12.510999999999999</v>
      </c>
      <c r="AA75" s="807">
        <f t="shared" si="92"/>
        <v>5.8959999999999999</v>
      </c>
      <c r="AB75" s="807">
        <f t="shared" si="93"/>
        <v>5.6</v>
      </c>
      <c r="AC75" s="807">
        <f t="shared" si="94"/>
        <v>7.37</v>
      </c>
      <c r="AD75" s="807">
        <f t="shared" si="95"/>
        <v>13.568</v>
      </c>
      <c r="AE75" s="807">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1104</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7">
        <f t="shared" si="71"/>
        <v>0.14699999999999999</v>
      </c>
      <c r="G76" s="807">
        <f t="shared" si="72"/>
        <v>2.9660000000000002</v>
      </c>
      <c r="H76" s="807">
        <f t="shared" si="73"/>
        <v>0.55300000000000005</v>
      </c>
      <c r="I76" s="807">
        <f t="shared" si="74"/>
        <v>0.249</v>
      </c>
      <c r="J76" s="807">
        <f t="shared" si="75"/>
        <v>0.217</v>
      </c>
      <c r="K76" s="807">
        <f t="shared" si="76"/>
        <v>0.13400000000000001</v>
      </c>
      <c r="L76" s="807">
        <f t="shared" si="77"/>
        <v>0.372</v>
      </c>
      <c r="M76" s="807">
        <f t="shared" si="78"/>
        <v>0.47899999999999998</v>
      </c>
      <c r="N76" s="807">
        <f t="shared" si="79"/>
        <v>0.16600000000000001</v>
      </c>
      <c r="O76" s="807">
        <f t="shared" si="80"/>
        <v>0.19800000000000001</v>
      </c>
      <c r="P76" s="807">
        <f t="shared" si="81"/>
        <v>0.38900000000000001</v>
      </c>
      <c r="Q76" s="807">
        <f t="shared" si="82"/>
        <v>0.20699999999999999</v>
      </c>
      <c r="R76" s="807">
        <f t="shared" si="83"/>
        <v>0.22</v>
      </c>
      <c r="S76" s="807">
        <f t="shared" si="84"/>
        <v>1.167</v>
      </c>
      <c r="T76" s="807">
        <f t="shared" si="85"/>
        <v>0.26200000000000001</v>
      </c>
      <c r="U76" s="807">
        <f t="shared" si="86"/>
        <v>0.7</v>
      </c>
      <c r="V76" s="807">
        <f t="shared" si="87"/>
        <v>0.40899999999999997</v>
      </c>
      <c r="W76" s="807">
        <f t="shared" si="88"/>
        <v>0.20699999999999999</v>
      </c>
      <c r="X76" s="807">
        <f t="shared" si="89"/>
        <v>0.54700000000000004</v>
      </c>
      <c r="Y76" s="807">
        <f t="shared" si="90"/>
        <v>7.3999999999999996E-2</v>
      </c>
      <c r="Z76" s="807">
        <f t="shared" si="91"/>
        <v>0.26100000000000001</v>
      </c>
      <c r="AA76" s="807">
        <f t="shared" si="92"/>
        <v>0.14799999999999999</v>
      </c>
      <c r="AB76" s="807">
        <f t="shared" si="93"/>
        <v>0.20499999999999999</v>
      </c>
      <c r="AC76" s="807">
        <f t="shared" si="94"/>
        <v>0.184</v>
      </c>
      <c r="AD76" s="807">
        <f t="shared" si="95"/>
        <v>0.318</v>
      </c>
      <c r="AE76" s="807">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7">
        <f t="shared" si="71"/>
        <v>0.39</v>
      </c>
      <c r="G77" s="807">
        <f t="shared" si="72"/>
        <v>3.883</v>
      </c>
      <c r="H77" s="807">
        <f t="shared" si="73"/>
        <v>1.1120000000000001</v>
      </c>
      <c r="I77" s="807">
        <f t="shared" si="74"/>
        <v>0.71299999999999997</v>
      </c>
      <c r="J77" s="807">
        <f t="shared" si="75"/>
        <v>0.45500000000000002</v>
      </c>
      <c r="K77" s="807">
        <f t="shared" si="76"/>
        <v>0.27600000000000002</v>
      </c>
      <c r="L77" s="807">
        <f t="shared" si="77"/>
        <v>0.61699999999999999</v>
      </c>
      <c r="M77" s="807">
        <f t="shared" si="78"/>
        <v>1.4239999999999999</v>
      </c>
      <c r="N77" s="807">
        <f t="shared" si="79"/>
        <v>0.32300000000000001</v>
      </c>
      <c r="O77" s="807">
        <f t="shared" si="80"/>
        <v>0.316</v>
      </c>
      <c r="P77" s="807">
        <f t="shared" si="81"/>
        <v>1.39</v>
      </c>
      <c r="Q77" s="807">
        <f t="shared" si="82"/>
        <v>0.39600000000000002</v>
      </c>
      <c r="R77" s="807">
        <f t="shared" si="83"/>
        <v>0.39700000000000002</v>
      </c>
      <c r="S77" s="807">
        <f t="shared" si="84"/>
        <v>2.5579999999999998</v>
      </c>
      <c r="T77" s="807">
        <f t="shared" si="85"/>
        <v>0.51600000000000001</v>
      </c>
      <c r="U77" s="807">
        <f t="shared" si="86"/>
        <v>0.94099999999999995</v>
      </c>
      <c r="V77" s="807">
        <f t="shared" si="87"/>
        <v>1.05</v>
      </c>
      <c r="W77" s="807">
        <f t="shared" si="88"/>
        <v>0.35799999999999998</v>
      </c>
      <c r="X77" s="807">
        <f t="shared" si="89"/>
        <v>1.026</v>
      </c>
      <c r="Y77" s="807">
        <f t="shared" si="90"/>
        <v>0.13500000000000001</v>
      </c>
      <c r="Z77" s="807">
        <f t="shared" si="91"/>
        <v>0.56999999999999995</v>
      </c>
      <c r="AA77" s="807">
        <f t="shared" si="92"/>
        <v>0.32600000000000001</v>
      </c>
      <c r="AB77" s="807">
        <f t="shared" si="93"/>
        <v>0.23200000000000001</v>
      </c>
      <c r="AC77" s="807">
        <f t="shared" si="94"/>
        <v>0.48799999999999999</v>
      </c>
      <c r="AD77" s="807">
        <f t="shared" si="95"/>
        <v>0.72</v>
      </c>
      <c r="AE77" s="807">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1104</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1097</v>
      </c>
    </row>
    <row r="100" spans="1:61" s="459" customFormat="1" ht="15" thickBot="1">
      <c r="A100" s="41" t="s">
        <v>70</v>
      </c>
      <c r="B100" s="670" t="s">
        <v>171</v>
      </c>
      <c r="C100" s="871"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6.2">
      <c r="A101" s="455" t="s">
        <v>666</v>
      </c>
      <c r="B101" s="573"/>
      <c r="C101" s="870" t="s">
        <v>1153</v>
      </c>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C102" s="868">
        <v>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C103" s="868">
        <v>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C104" s="869"/>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C105" s="873">
        <v>0.3422293899248452</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C106" s="869"/>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C107" s="873">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C108" s="873">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C109" s="873">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c r="C110" s="873">
        <v>1.0145072391774981</v>
      </c>
    </row>
    <row r="111" spans="1:61" s="459" customFormat="1">
      <c r="A111" s="127" t="str">
        <f t="shared" si="142"/>
        <v>T-CAR-HEV_GSL00</v>
      </c>
      <c r="B111" s="671">
        <v>15</v>
      </c>
      <c r="C111" s="873">
        <v>1.0145072391774981</v>
      </c>
    </row>
    <row r="112" spans="1:61" s="459" customFormat="1">
      <c r="A112" s="127" t="str">
        <f t="shared" si="142"/>
        <v>T-CAR-HEV_DST00</v>
      </c>
      <c r="B112" s="671">
        <v>15</v>
      </c>
      <c r="C112" s="873">
        <v>1.0145072391774981</v>
      </c>
    </row>
    <row r="113" spans="1:60" s="459" customFormat="1">
      <c r="A113" s="127" t="str">
        <f t="shared" si="142"/>
        <v>T-CAR-PHEV_GSL00</v>
      </c>
      <c r="B113" s="671">
        <v>15</v>
      </c>
      <c r="C113" s="873">
        <v>1.0145072391774981</v>
      </c>
    </row>
    <row r="114" spans="1:60" s="459" customFormat="1">
      <c r="A114" s="127" t="str">
        <f t="shared" si="142"/>
        <v>T-CAR-PHEV_DST00</v>
      </c>
      <c r="B114" s="671">
        <v>15</v>
      </c>
      <c r="C114" s="873">
        <v>1.0145072391774981</v>
      </c>
      <c r="AG114" s="714" t="s">
        <v>1092</v>
      </c>
    </row>
    <row r="115" spans="1:60" s="459" customFormat="1">
      <c r="A115" s="127" t="str">
        <f t="shared" si="142"/>
        <v>T-CAR-BEV_ELC00</v>
      </c>
      <c r="B115" s="671">
        <v>15</v>
      </c>
      <c r="C115" s="873">
        <v>1.0145072391774981</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C116" s="869"/>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C117" s="873">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C118" s="873">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C119" s="873">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C120" s="869"/>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C121" s="873">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C122" s="869"/>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T-LPT-BEV_ELC00</v>
      </c>
      <c r="B123" s="491">
        <v>30</v>
      </c>
      <c r="C123" s="873">
        <v>11.579167779363422</v>
      </c>
    </row>
    <row r="124" spans="1:60" s="459" customFormat="1">
      <c r="A124" s="127" t="str">
        <f t="shared" si="142"/>
        <v>T-HPT-BEV_ELC00</v>
      </c>
      <c r="B124" s="491">
        <v>30</v>
      </c>
      <c r="C124" s="873">
        <v>46.776118711690231</v>
      </c>
    </row>
    <row r="125" spans="1:60" s="459" customFormat="1">
      <c r="A125" s="127" t="str">
        <f t="shared" si="142"/>
        <v>T-HPT-ICE_DST00</v>
      </c>
      <c r="B125" s="491">
        <v>30</v>
      </c>
      <c r="C125" s="873">
        <v>49.463575487765617</v>
      </c>
    </row>
    <row r="126" spans="1:60" s="459" customFormat="1" ht="15.6">
      <c r="A126" s="455" t="str">
        <f t="shared" si="142"/>
        <v>*Goods vehicle</v>
      </c>
      <c r="B126" s="638"/>
      <c r="C126" s="869"/>
      <c r="AF126"/>
    </row>
    <row r="127" spans="1:60" s="459" customFormat="1">
      <c r="A127" s="127" t="str">
        <f t="shared" si="142"/>
        <v>T-LGT-ICE_GSL00</v>
      </c>
      <c r="B127" s="491">
        <v>20</v>
      </c>
      <c r="C127" s="874">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C128" s="874">
        <v>0.50484614131470373</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C129" s="874">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C130" s="874">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C131" s="872">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Commodities!B13</f>
        <v>TRACNG</v>
      </c>
      <c r="C149" s="28" t="s">
        <v>1014</v>
      </c>
      <c r="D149" s="760">
        <f>'EB2018'!Z55/'EB2018'!AM55</f>
        <v>4.2308762790135457E-2</v>
      </c>
      <c r="E149" s="761">
        <f>D149</f>
        <v>4.2308762790135457E-2</v>
      </c>
      <c r="F149" s="761">
        <f t="shared" ref="F149:AD149" si="152">E149</f>
        <v>4.2308762790135457E-2</v>
      </c>
      <c r="G149" s="761">
        <f t="shared" si="152"/>
        <v>4.2308762790135457E-2</v>
      </c>
      <c r="H149" s="761">
        <f t="shared" si="152"/>
        <v>4.2308762790135457E-2</v>
      </c>
      <c r="I149" s="761">
        <f t="shared" si="152"/>
        <v>4.2308762790135457E-2</v>
      </c>
      <c r="J149" s="761">
        <f t="shared" si="152"/>
        <v>4.2308762790135457E-2</v>
      </c>
      <c r="K149" s="761">
        <f t="shared" si="152"/>
        <v>4.2308762790135457E-2</v>
      </c>
      <c r="L149" s="761">
        <f t="shared" si="152"/>
        <v>4.2308762790135457E-2</v>
      </c>
      <c r="M149" s="761">
        <f t="shared" si="152"/>
        <v>4.2308762790135457E-2</v>
      </c>
      <c r="N149" s="761">
        <f t="shared" si="152"/>
        <v>4.2308762790135457E-2</v>
      </c>
      <c r="O149" s="761">
        <f t="shared" si="152"/>
        <v>4.2308762790135457E-2</v>
      </c>
      <c r="P149" s="761">
        <f t="shared" si="152"/>
        <v>4.2308762790135457E-2</v>
      </c>
      <c r="Q149" s="761">
        <f t="shared" si="152"/>
        <v>4.2308762790135457E-2</v>
      </c>
      <c r="R149" s="761">
        <f t="shared" si="152"/>
        <v>4.2308762790135457E-2</v>
      </c>
      <c r="S149" s="761">
        <f t="shared" si="152"/>
        <v>4.2308762790135457E-2</v>
      </c>
      <c r="T149" s="761">
        <f t="shared" si="152"/>
        <v>4.2308762790135457E-2</v>
      </c>
      <c r="U149" s="761">
        <f t="shared" si="152"/>
        <v>4.2308762790135457E-2</v>
      </c>
      <c r="V149" s="761">
        <f t="shared" si="152"/>
        <v>4.2308762790135457E-2</v>
      </c>
      <c r="W149" s="761">
        <f t="shared" si="152"/>
        <v>4.2308762790135457E-2</v>
      </c>
      <c r="X149" s="761">
        <f t="shared" si="152"/>
        <v>4.2308762790135457E-2</v>
      </c>
      <c r="Y149" s="761">
        <f t="shared" si="152"/>
        <v>4.2308762790135457E-2</v>
      </c>
      <c r="Z149" s="761">
        <f t="shared" si="152"/>
        <v>4.2308762790135457E-2</v>
      </c>
      <c r="AA149" s="761">
        <f t="shared" si="152"/>
        <v>4.2308762790135457E-2</v>
      </c>
      <c r="AB149" s="761">
        <f t="shared" si="152"/>
        <v>4.2308762790135457E-2</v>
      </c>
      <c r="AC149" s="761">
        <f t="shared" si="152"/>
        <v>4.2308762790135457E-2</v>
      </c>
      <c r="AD149" s="761">
        <f t="shared" si="152"/>
        <v>4.2308762790135457E-2</v>
      </c>
      <c r="AF149"/>
    </row>
    <row r="150" spans="1:60" s="459" customFormat="1">
      <c r="A150" s="103" t="str">
        <f>Commodities!K42</f>
        <v>T-OTH_CON00</v>
      </c>
      <c r="B150" s="1" t="str">
        <f>Commodities!B20</f>
        <v>TRADSB</v>
      </c>
      <c r="C150" s="709" t="s">
        <v>1013</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Commodities!B19</f>
        <v>TRAGSE</v>
      </c>
      <c r="C151" s="129" t="s">
        <v>1014</v>
      </c>
      <c r="D151" s="798">
        <f>1-D150-D149</f>
        <v>0.29817283121360821</v>
      </c>
      <c r="E151" s="798">
        <f t="shared" ref="E151:AD151" si="154">1-E150-E149</f>
        <v>0.29817283121360821</v>
      </c>
      <c r="F151" s="798">
        <f t="shared" si="154"/>
        <v>0.29817283121360821</v>
      </c>
      <c r="G151" s="798">
        <f t="shared" si="154"/>
        <v>0.29817283121360821</v>
      </c>
      <c r="H151" s="798">
        <f t="shared" si="154"/>
        <v>0.29817283121360821</v>
      </c>
      <c r="I151" s="798">
        <f t="shared" si="154"/>
        <v>0.29817283121360821</v>
      </c>
      <c r="J151" s="798">
        <f t="shared" si="154"/>
        <v>0.29817283121360821</v>
      </c>
      <c r="K151" s="798">
        <f t="shared" si="154"/>
        <v>0.29817283121360821</v>
      </c>
      <c r="L151" s="798">
        <f t="shared" si="154"/>
        <v>0.29817283121360821</v>
      </c>
      <c r="M151" s="798">
        <f t="shared" si="154"/>
        <v>0.29817283121360821</v>
      </c>
      <c r="N151" s="798">
        <f t="shared" si="154"/>
        <v>0.29817283121360821</v>
      </c>
      <c r="O151" s="798">
        <f t="shared" si="154"/>
        <v>0.29817283121360821</v>
      </c>
      <c r="P151" s="798">
        <f t="shared" si="154"/>
        <v>0.29817283121360821</v>
      </c>
      <c r="Q151" s="798">
        <f t="shared" si="154"/>
        <v>0.29817283121360821</v>
      </c>
      <c r="R151" s="798">
        <f t="shared" si="154"/>
        <v>0.29817283121360821</v>
      </c>
      <c r="S151" s="798">
        <f t="shared" si="154"/>
        <v>0.29817283121360821</v>
      </c>
      <c r="T151" s="798">
        <f t="shared" si="154"/>
        <v>0.29817283121360821</v>
      </c>
      <c r="U151" s="798">
        <f t="shared" si="154"/>
        <v>0.29817283121360821</v>
      </c>
      <c r="V151" s="798">
        <f t="shared" si="154"/>
        <v>0.29817283121360821</v>
      </c>
      <c r="W151" s="798">
        <f t="shared" si="154"/>
        <v>0.29817283121360821</v>
      </c>
      <c r="X151" s="798">
        <f t="shared" si="154"/>
        <v>0.29817283121360821</v>
      </c>
      <c r="Y151" s="798">
        <f t="shared" si="154"/>
        <v>0.29817283121360821</v>
      </c>
      <c r="Z151" s="798">
        <f t="shared" si="154"/>
        <v>0.29817283121360821</v>
      </c>
      <c r="AA151" s="798">
        <f t="shared" si="154"/>
        <v>0.29817283121360821</v>
      </c>
      <c r="AB151" s="798">
        <f t="shared" si="154"/>
        <v>0.29817283121360821</v>
      </c>
      <c r="AC151" s="798">
        <f t="shared" si="154"/>
        <v>0.29817283121360821</v>
      </c>
      <c r="AD151" s="798">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1013</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1014</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1013</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1014</v>
      </c>
      <c r="D163" s="797">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35" t="s">
        <v>505</v>
      </c>
      <c r="B231" s="835"/>
      <c r="C231" s="835"/>
      <c r="D231" s="835"/>
      <c r="E231" s="835"/>
      <c r="F231" s="836"/>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35" t="s">
        <v>506</v>
      </c>
      <c r="B234" s="835"/>
      <c r="C234" s="835"/>
      <c r="D234" s="835"/>
      <c r="E234" s="835"/>
      <c r="F234" s="836"/>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41" t="s">
        <v>116</v>
      </c>
      <c r="B264" s="842" t="s">
        <v>117</v>
      </c>
      <c r="C264" s="562" t="s">
        <v>118</v>
      </c>
      <c r="D264" s="562" t="s">
        <v>119</v>
      </c>
      <c r="E264" s="562" t="s">
        <v>120</v>
      </c>
      <c r="F264" s="562" t="s">
        <v>121</v>
      </c>
      <c r="AF264" s="451"/>
    </row>
    <row r="265" spans="1:32" ht="52.8">
      <c r="A265" s="841"/>
      <c r="B265" s="842"/>
      <c r="C265" s="563" t="s">
        <v>122</v>
      </c>
      <c r="D265" s="563">
        <v>28</v>
      </c>
      <c r="E265" s="563">
        <v>190</v>
      </c>
      <c r="F265" s="563" t="s">
        <v>123</v>
      </c>
      <c r="AF265" s="451"/>
    </row>
    <row r="266" spans="1:32" ht="26.4">
      <c r="A266" s="841"/>
      <c r="B266" s="842"/>
      <c r="C266" s="564" t="s">
        <v>124</v>
      </c>
      <c r="D266" s="564">
        <v>25</v>
      </c>
      <c r="E266" s="564">
        <v>262</v>
      </c>
      <c r="F266" s="564" t="s">
        <v>125</v>
      </c>
      <c r="AF266" s="451"/>
    </row>
    <row r="267" spans="1:32">
      <c r="A267" s="841"/>
      <c r="B267" s="842"/>
      <c r="C267" s="563" t="s">
        <v>126</v>
      </c>
      <c r="D267" s="563">
        <v>10</v>
      </c>
      <c r="E267" s="563">
        <v>304</v>
      </c>
      <c r="F267" s="563">
        <v>2008</v>
      </c>
    </row>
    <row r="268" spans="1:32" ht="26.4">
      <c r="A268" s="841"/>
      <c r="B268" s="843" t="s">
        <v>127</v>
      </c>
      <c r="C268" s="564" t="s">
        <v>128</v>
      </c>
      <c r="D268" s="564">
        <v>5</v>
      </c>
      <c r="E268" s="564" t="s">
        <v>129</v>
      </c>
      <c r="F268" s="564" t="s">
        <v>130</v>
      </c>
    </row>
    <row r="269" spans="1:32" ht="26.4">
      <c r="A269" s="841"/>
      <c r="B269" s="843"/>
      <c r="C269" s="563" t="s">
        <v>131</v>
      </c>
      <c r="D269" s="563">
        <v>5</v>
      </c>
      <c r="E269" s="563">
        <v>28</v>
      </c>
      <c r="F269" s="563" t="s">
        <v>130</v>
      </c>
    </row>
    <row r="270" spans="1:32" ht="26.4">
      <c r="A270" s="841"/>
      <c r="B270" s="843"/>
      <c r="C270" s="564" t="s">
        <v>132</v>
      </c>
      <c r="D270" s="564">
        <v>5</v>
      </c>
      <c r="E270" s="564">
        <v>44</v>
      </c>
      <c r="F270" s="564" t="s">
        <v>130</v>
      </c>
    </row>
    <row r="271" spans="1:32" ht="26.4">
      <c r="A271" s="841"/>
      <c r="B271" s="843"/>
      <c r="C271" s="563" t="s">
        <v>133</v>
      </c>
      <c r="D271" s="563">
        <v>16</v>
      </c>
      <c r="E271" s="563">
        <v>69</v>
      </c>
      <c r="F271" s="563" t="s">
        <v>130</v>
      </c>
    </row>
    <row r="272" spans="1:32" ht="26.4">
      <c r="A272" s="841"/>
      <c r="B272" s="843"/>
      <c r="C272" s="564" t="s">
        <v>134</v>
      </c>
      <c r="D272" s="564">
        <v>5</v>
      </c>
      <c r="E272" s="564">
        <v>69</v>
      </c>
      <c r="F272" s="564" t="s">
        <v>130</v>
      </c>
    </row>
    <row r="273" spans="1:32" ht="26.4">
      <c r="A273" s="844" t="s">
        <v>135</v>
      </c>
      <c r="B273" s="565" t="s">
        <v>136</v>
      </c>
      <c r="C273" s="563" t="s">
        <v>124</v>
      </c>
      <c r="D273" s="563">
        <v>29</v>
      </c>
      <c r="E273" s="563">
        <v>185</v>
      </c>
      <c r="F273" s="563" t="s">
        <v>139</v>
      </c>
    </row>
    <row r="274" spans="1:32">
      <c r="A274" s="844"/>
      <c r="B274" s="565" t="s">
        <v>137</v>
      </c>
      <c r="C274" s="564" t="s">
        <v>140</v>
      </c>
      <c r="D274" s="564">
        <v>8</v>
      </c>
      <c r="E274" s="564">
        <v>85</v>
      </c>
      <c r="F274" s="564">
        <v>2000</v>
      </c>
    </row>
    <row r="275" spans="1:32">
      <c r="A275" s="844"/>
      <c r="B275" s="565" t="s">
        <v>138</v>
      </c>
      <c r="C275" s="563" t="s">
        <v>140</v>
      </c>
      <c r="D275" s="563">
        <v>8</v>
      </c>
      <c r="E275" s="563">
        <v>130</v>
      </c>
      <c r="F275" s="563">
        <v>1993</v>
      </c>
      <c r="AF275" s="459"/>
    </row>
    <row r="276" spans="1:32" ht="26.4">
      <c r="A276" s="844" t="s">
        <v>40</v>
      </c>
      <c r="B276" s="842" t="s">
        <v>141</v>
      </c>
      <c r="C276" s="564" t="s">
        <v>143</v>
      </c>
      <c r="D276" s="564">
        <v>8</v>
      </c>
      <c r="E276" s="564">
        <v>160</v>
      </c>
      <c r="F276" s="564" t="s">
        <v>144</v>
      </c>
    </row>
    <row r="277" spans="1:32">
      <c r="A277" s="844"/>
      <c r="B277" s="842"/>
      <c r="C277" s="563" t="s">
        <v>145</v>
      </c>
      <c r="D277" s="563">
        <v>3</v>
      </c>
      <c r="E277" s="563">
        <v>160</v>
      </c>
      <c r="F277" s="563">
        <v>2001</v>
      </c>
    </row>
    <row r="278" spans="1:32">
      <c r="A278" s="844"/>
      <c r="B278" s="842"/>
      <c r="C278" s="564" t="s">
        <v>146</v>
      </c>
      <c r="D278" s="564">
        <v>4</v>
      </c>
      <c r="E278" s="564">
        <v>160</v>
      </c>
      <c r="F278" s="564">
        <v>2000</v>
      </c>
    </row>
    <row r="279" spans="1:32">
      <c r="A279" s="844"/>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40" t="s">
        <v>719</v>
      </c>
      <c r="B286" s="840"/>
      <c r="C286" s="840"/>
      <c r="D286" s="840"/>
      <c r="AF286" s="451"/>
    </row>
    <row r="287" spans="1:32" ht="15" thickBot="1">
      <c r="A287" s="838" t="s">
        <v>163</v>
      </c>
      <c r="B287" s="839"/>
      <c r="C287" s="839"/>
      <c r="D287" s="839"/>
      <c r="E287" s="839"/>
      <c r="F287" s="839"/>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37" t="s">
        <v>725</v>
      </c>
      <c r="B295" s="837"/>
      <c r="C295" s="837" t="s">
        <v>726</v>
      </c>
      <c r="D295" s="837"/>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49"/>
  <sheetViews>
    <sheetView topLeftCell="A619" zoomScale="85" zoomScaleNormal="85" workbookViewId="0">
      <selection activeCell="A634" sqref="A634:AC63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C648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C649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C650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C661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C662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4"/>
      <c r="B18" s="814" t="s">
        <v>980</v>
      </c>
      <c r="C18" s="815">
        <f>G564/1000000</f>
        <v>8.8551000000000005E-2</v>
      </c>
      <c r="D18" s="814">
        <v>0</v>
      </c>
      <c r="E18" s="815">
        <f>C18*Stock!B304</f>
        <v>2.8462821428571431E-2</v>
      </c>
      <c r="F18" s="816">
        <v>0</v>
      </c>
      <c r="G18" s="816">
        <v>0</v>
      </c>
      <c r="H18" s="816">
        <v>0</v>
      </c>
      <c r="I18" s="816">
        <v>0</v>
      </c>
      <c r="J18" s="816">
        <v>0</v>
      </c>
      <c r="K18" s="815">
        <f>C18*Stock!D304</f>
        <v>9.4876071428571431E-3</v>
      </c>
      <c r="L18" s="816">
        <v>0</v>
      </c>
      <c r="M18" s="816">
        <v>0</v>
      </c>
      <c r="N18" s="816">
        <v>0</v>
      </c>
      <c r="O18" s="816">
        <v>0</v>
      </c>
      <c r="P18" s="816">
        <v>0</v>
      </c>
      <c r="Q18" s="816">
        <v>0</v>
      </c>
      <c r="R18" s="816">
        <v>0</v>
      </c>
      <c r="S18" s="816">
        <v>0</v>
      </c>
      <c r="T18" s="816">
        <v>0</v>
      </c>
      <c r="U18" s="815">
        <f>C18*Stock!C304</f>
        <v>1.5812678571428571E-2</v>
      </c>
      <c r="V18" s="816">
        <v>0</v>
      </c>
      <c r="W18" s="816">
        <v>0</v>
      </c>
      <c r="X18" s="815">
        <f>C18*Stock!A304</f>
        <v>3.4787892857142858E-2</v>
      </c>
      <c r="Y18" s="816">
        <v>0</v>
      </c>
      <c r="Z18" s="816">
        <v>0</v>
      </c>
      <c r="AA18" s="816">
        <v>0</v>
      </c>
      <c r="AB18" s="816">
        <v>0</v>
      </c>
      <c r="AC18" s="816">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57" t="s">
        <v>783</v>
      </c>
      <c r="C73" s="857"/>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64">
        <f>'EB2018'!AM48</f>
        <v>2058.4846677479868</v>
      </c>
      <c r="D75" s="861">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64"/>
      <c r="D76" s="862"/>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64"/>
      <c r="D77" s="862"/>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64"/>
      <c r="D78" s="862"/>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64"/>
      <c r="D79" s="862"/>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64"/>
      <c r="D80" s="862"/>
      <c r="E80" s="9"/>
      <c r="F80" s="9"/>
      <c r="G80" s="9"/>
      <c r="H80" s="9"/>
      <c r="I80" s="9"/>
      <c r="J80" s="9"/>
      <c r="K80" s="9"/>
    </row>
    <row r="81" spans="1:17" s="459" customFormat="1">
      <c r="A81" s="594" t="str">
        <f>Commodities!K19</f>
        <v>T-CAR-PHEV_GSL00</v>
      </c>
      <c r="B81" s="605">
        <f>Stock!E60*AF!D13/Efficiency!D14/0.041868</f>
        <v>1.3184587114421897</v>
      </c>
      <c r="C81" s="864"/>
      <c r="D81" s="862"/>
      <c r="E81" s="9"/>
      <c r="F81" s="9"/>
      <c r="G81" s="9"/>
      <c r="H81" s="9"/>
      <c r="I81" s="9"/>
      <c r="J81" s="9"/>
      <c r="K81" s="9"/>
    </row>
    <row r="82" spans="1:17" s="459" customFormat="1">
      <c r="A82" s="594" t="str">
        <f>Commodities!K20</f>
        <v>T-CAR-PHEV_DST00</v>
      </c>
      <c r="B82" s="605">
        <f>Stock!E61*AF!D14/Efficiency!D15/0.041868</f>
        <v>1.9463942395372347E-2</v>
      </c>
      <c r="C82" s="864"/>
      <c r="D82" s="862"/>
      <c r="E82" s="9"/>
      <c r="F82" s="9"/>
      <c r="G82" s="9"/>
      <c r="H82" s="9"/>
      <c r="I82" s="9"/>
      <c r="J82" s="9"/>
      <c r="K82" s="9"/>
    </row>
    <row r="83" spans="1:17" s="459" customFormat="1">
      <c r="A83" s="594" t="str">
        <f>Commodities!K21</f>
        <v>T-CAR-BEV_ELC00</v>
      </c>
      <c r="B83" s="605">
        <f>Stock!E62*AF!D15/Efficiency!D16/0.041868</f>
        <v>1.2398289747677393</v>
      </c>
      <c r="C83" s="864"/>
      <c r="D83" s="862"/>
      <c r="E83" s="9"/>
      <c r="F83" s="9"/>
      <c r="G83" s="9"/>
      <c r="H83" s="9"/>
      <c r="I83" s="9"/>
      <c r="J83" s="9"/>
      <c r="K83" s="9"/>
    </row>
    <row r="84" spans="1:17" s="459" customFormat="1" ht="15.6">
      <c r="A84" s="590" t="s">
        <v>770</v>
      </c>
      <c r="B84" s="603">
        <f>SUM(B75:B83)</f>
        <v>1664.1406922635126</v>
      </c>
      <c r="C84" s="864"/>
      <c r="D84" s="863"/>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57" t="s">
        <v>783</v>
      </c>
      <c r="C89" s="857"/>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58">
        <f>'EB2018'!AM46+'EB2018'!AM47</f>
        <v>1058.3361520244771</v>
      </c>
      <c r="D91" s="861">
        <f>(B94-C91)/C91</f>
        <v>-0.99984557718687606</v>
      </c>
      <c r="F91" s="9"/>
      <c r="G91" s="9"/>
      <c r="H91" s="9"/>
      <c r="I91" s="9"/>
      <c r="J91" s="9"/>
      <c r="K91" s="9"/>
    </row>
    <row r="92" spans="1:17" s="459" customFormat="1">
      <c r="A92" s="588" t="str">
        <f>Commodities!K37</f>
        <v>T-HGT-ICE_DST00</v>
      </c>
      <c r="B92" s="607">
        <f>(Stock!E77*AF!D26/1000)/Efficiency!D27/0.041868</f>
        <v>0.15911937712801305</v>
      </c>
      <c r="C92" s="859"/>
      <c r="D92" s="862"/>
      <c r="F92" s="9"/>
      <c r="G92" s="9"/>
      <c r="H92" s="9"/>
      <c r="I92" s="9"/>
      <c r="J92" s="9"/>
      <c r="K92" s="9"/>
    </row>
    <row r="93" spans="1:17" s="459" customFormat="1">
      <c r="A93" s="588" t="str">
        <f>Commodities!K38</f>
        <v>T-GTR-ICE_DST00</v>
      </c>
      <c r="B93" s="607">
        <f>(Stock!E78*AF!D27/1000)/Efficiency!D28/0.041868</f>
        <v>2.7938927066507233E-3</v>
      </c>
      <c r="C93" s="859"/>
      <c r="D93" s="862"/>
      <c r="F93" s="9"/>
      <c r="G93" s="9"/>
      <c r="H93" s="9"/>
      <c r="I93" s="9"/>
      <c r="J93" s="9"/>
      <c r="K93" s="9"/>
    </row>
    <row r="94" spans="1:17" s="459" customFormat="1" ht="15.6">
      <c r="A94" s="590" t="s">
        <v>786</v>
      </c>
      <c r="B94" s="603">
        <f>SUM(B91:B93)</f>
        <v>0.16343124582632046</v>
      </c>
      <c r="C94" s="860"/>
      <c r="D94" s="863"/>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57" t="s">
        <v>783</v>
      </c>
      <c r="C99" s="857"/>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58">
        <f>'EB2018'!AM49</f>
        <v>139.18657889221006</v>
      </c>
      <c r="D101" s="861">
        <f>(B105-C101)/C101</f>
        <v>1.8672189714068362E-2</v>
      </c>
      <c r="Q101" s="135"/>
    </row>
    <row r="102" spans="1:17" s="459" customFormat="1">
      <c r="A102" s="597" t="str">
        <f>Commodities!K24</f>
        <v>T-TAX-ICE_DST00</v>
      </c>
      <c r="B102" s="609">
        <f>(Stock!E65*AF!D17)/Efficiency!D18/0.041868</f>
        <v>39.815351909987868</v>
      </c>
      <c r="C102" s="859"/>
      <c r="D102" s="862"/>
      <c r="Q102" s="135"/>
    </row>
    <row r="103" spans="1:17" s="459" customFormat="1">
      <c r="A103" s="597" t="str">
        <f>Commodities!K25</f>
        <v>T-TAX-HEV_GSL00</v>
      </c>
      <c r="B103" s="609">
        <f>(Stock!E66*AF!D18)/Efficiency!D19/0.041868</f>
        <v>2.6942012356171219</v>
      </c>
      <c r="C103" s="859"/>
      <c r="D103" s="862"/>
      <c r="Q103" s="135"/>
    </row>
    <row r="104" spans="1:17" s="459" customFormat="1">
      <c r="A104" s="597" t="str">
        <f>Commodities!K27</f>
        <v>T-BUS-ICE_DST00</v>
      </c>
      <c r="B104" s="609">
        <f>(Stock!E68*AF!D19)/Efficiency!D20/0.041868</f>
        <v>93.683316929119542</v>
      </c>
      <c r="C104" s="859"/>
      <c r="D104" s="862"/>
      <c r="Q104" s="135"/>
    </row>
    <row r="105" spans="1:17" s="459" customFormat="1" ht="15.6">
      <c r="A105" s="596" t="s">
        <v>878</v>
      </c>
      <c r="B105" s="608">
        <f>SUM(B101:B104)</f>
        <v>141.78549709893755</v>
      </c>
      <c r="C105" s="860"/>
      <c r="D105" s="863"/>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57" t="s">
        <v>783</v>
      </c>
      <c r="C110" s="857"/>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58">
        <f>'EB2018'!AM50</f>
        <v>42.228937759939136</v>
      </c>
      <c r="D112" s="861" t="e">
        <f>(B116-C112)/C112</f>
        <v>#REF!</v>
      </c>
    </row>
    <row r="113" spans="1:88" s="459" customFormat="1">
      <c r="A113" s="597" t="str">
        <f>Commodities!K30</f>
        <v>T-HPT-BEV_ELC00</v>
      </c>
      <c r="B113" s="609">
        <f>B112</f>
        <v>2.4094862952239589</v>
      </c>
      <c r="C113" s="859"/>
      <c r="D113" s="862"/>
    </row>
    <row r="114" spans="1:88" s="459" customFormat="1">
      <c r="A114" s="597" t="str">
        <f>Commodities!K31</f>
        <v>T-HPT-ICE_DST00</v>
      </c>
      <c r="B114" s="609" t="e">
        <f>#REF!/ACT2FLO!D68/Efficiency!D23/0.041868</f>
        <v>#REF!</v>
      </c>
      <c r="C114" s="859"/>
      <c r="D114" s="862"/>
    </row>
    <row r="115" spans="1:88" s="459" customFormat="1">
      <c r="A115" s="597" t="str">
        <f>Commodities!K38</f>
        <v>T-GTR-ICE_DST00</v>
      </c>
      <c r="B115" s="609" t="e">
        <f>#REF!/ACT2FLO!D74/Efficiency!D28/0.041868</f>
        <v>#REF!</v>
      </c>
      <c r="C115" s="859"/>
      <c r="D115" s="862"/>
    </row>
    <row r="116" spans="1:88" s="459" customFormat="1" ht="15.6">
      <c r="A116" s="596" t="s">
        <v>786</v>
      </c>
      <c r="B116" s="608" t="e">
        <f>SUM(B112:B115)</f>
        <v>#REF!</v>
      </c>
      <c r="C116" s="860"/>
      <c r="D116" s="863"/>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50" t="s">
        <v>16</v>
      </c>
      <c r="B135" s="850"/>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C672*0</f>
        <v>0</v>
      </c>
      <c r="E154" s="402">
        <f>$C$154*1</f>
        <v>317.18623700000001</v>
      </c>
      <c r="F154" s="402">
        <f t="shared" ref="F154:AC154" si="85">E672*0</f>
        <v>0</v>
      </c>
      <c r="G154" s="402">
        <f t="shared" si="85"/>
        <v>0</v>
      </c>
      <c r="H154" s="402">
        <f>G672*0</f>
        <v>0</v>
      </c>
      <c r="I154" s="402">
        <f>H672*0</f>
        <v>0</v>
      </c>
      <c r="J154" s="402">
        <f>I672*0</f>
        <v>0</v>
      </c>
      <c r="K154" s="402">
        <f>J672*0</f>
        <v>0</v>
      </c>
      <c r="L154" s="402">
        <f>K672*0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49" t="s">
        <v>16</v>
      </c>
      <c r="B156" s="849"/>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51"/>
      <c r="H176" s="851"/>
      <c r="I176" s="495"/>
      <c r="J176" s="495"/>
      <c r="Z176" s="445"/>
      <c r="AA176" s="445"/>
      <c r="AB176" s="445"/>
    </row>
    <row r="177" spans="1:30" s="133" customFormat="1">
      <c r="A177" s="496" t="s">
        <v>37</v>
      </c>
      <c r="B177" s="497">
        <v>0.97050000000000003</v>
      </c>
      <c r="C177" s="497">
        <v>0.97640000000000005</v>
      </c>
      <c r="D177" s="445"/>
      <c r="E177" s="445"/>
      <c r="F177" s="445"/>
      <c r="G177" s="851"/>
      <c r="H177" s="851"/>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52" t="s">
        <v>944</v>
      </c>
      <c r="J252" s="852"/>
      <c r="K252" s="852"/>
      <c r="L252" s="852"/>
      <c r="M252" s="852"/>
      <c r="N252" s="852"/>
      <c r="O252" s="852"/>
      <c r="P252" s="852"/>
      <c r="Q252" s="852"/>
      <c r="R252" s="852"/>
      <c r="S252" s="852"/>
      <c r="T252" s="852"/>
      <c r="U252" s="852"/>
      <c r="V252" s="852"/>
      <c r="W252" s="852"/>
      <c r="X252" s="852"/>
      <c r="Y252" s="852"/>
      <c r="Z252" s="852"/>
      <c r="AA252" s="852"/>
      <c r="AB252" s="852"/>
    </row>
    <row r="253" spans="1:28" s="459" customFormat="1">
      <c r="A253" s="132" t="s">
        <v>912</v>
      </c>
      <c r="B253" s="132" t="s">
        <v>447</v>
      </c>
      <c r="C253" s="132" t="s">
        <v>913</v>
      </c>
      <c r="I253" s="853" t="s">
        <v>935</v>
      </c>
      <c r="J253" s="855" t="s">
        <v>321</v>
      </c>
      <c r="K253" s="855"/>
      <c r="L253" s="855"/>
      <c r="M253" s="13"/>
      <c r="N253" s="855" t="s">
        <v>670</v>
      </c>
      <c r="O253" s="855"/>
      <c r="P253" s="855"/>
      <c r="Q253" s="13"/>
      <c r="R253" s="855" t="s">
        <v>323</v>
      </c>
      <c r="S253" s="855"/>
      <c r="T253" s="855"/>
      <c r="U253" s="13"/>
      <c r="V253" s="855" t="s">
        <v>936</v>
      </c>
      <c r="W253" s="855"/>
      <c r="X253" s="855"/>
      <c r="Y253" s="13"/>
      <c r="Z253" s="855" t="s">
        <v>560</v>
      </c>
      <c r="AA253" s="855"/>
      <c r="AB253" s="855"/>
    </row>
    <row r="254" spans="1:28" s="459" customFormat="1" ht="21.6">
      <c r="A254" s="678"/>
      <c r="B254" s="682" t="s">
        <v>973</v>
      </c>
      <c r="C254" s="682" t="s">
        <v>914</v>
      </c>
      <c r="I254" s="854"/>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56"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56"/>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56"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56"/>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56"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56"/>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56"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56"/>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56"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56"/>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56"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56"/>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1124</v>
      </c>
    </row>
    <row r="439" spans="1:31" s="714" customFormat="1" ht="17.399999999999999">
      <c r="A439" s="716" t="s">
        <v>1119</v>
      </c>
      <c r="B439" s="716" t="s">
        <v>677</v>
      </c>
      <c r="C439" s="716" t="s">
        <v>1121</v>
      </c>
      <c r="D439" s="716" t="s">
        <v>1122</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56" t="s">
        <v>1116</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56"/>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56" t="s">
        <v>1117</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56"/>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56" t="s">
        <v>1118</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56"/>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2"/>
      <c r="B446" s="802" t="s">
        <v>16</v>
      </c>
      <c r="C446" s="804">
        <f>SUM(C440:C445)</f>
        <v>11538</v>
      </c>
      <c r="D446" s="804">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1123</v>
      </c>
      <c r="B447" s="803"/>
      <c r="C447" s="805"/>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3"/>
      <c r="B448" s="803"/>
      <c r="C448" s="805"/>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3"/>
      <c r="B449" s="803"/>
      <c r="C449" s="805"/>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3"/>
      <c r="B450" s="803"/>
      <c r="C450" s="805"/>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1120</v>
      </c>
    </row>
    <row r="452" spans="1:29" s="714" customFormat="1" ht="17.399999999999999">
      <c r="A452" s="716" t="s">
        <v>1119</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6" t="s">
        <v>1116</v>
      </c>
      <c r="B453" s="714" t="s">
        <v>1125</v>
      </c>
      <c r="C453" s="714">
        <f>C441</f>
        <v>292</v>
      </c>
      <c r="D453" s="6">
        <f>$C453*D$509</f>
        <v>4.5036639360040285</v>
      </c>
      <c r="E453" s="6">
        <f t="shared" ref="D453:M455" si="203">$C453*E$509</f>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6" t="s">
        <v>1117</v>
      </c>
      <c r="B454" s="714" t="s">
        <v>1126</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6" t="s">
        <v>1118</v>
      </c>
      <c r="B455" s="714" t="s">
        <v>1127</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2"/>
      <c r="B456" s="802" t="s">
        <v>16</v>
      </c>
      <c r="C456" s="804">
        <f t="shared" ref="C456:AC456" si="206">SUM(C453:C455)</f>
        <v>11538</v>
      </c>
      <c r="D456" s="804">
        <f t="shared" si="206"/>
        <v>177.95641949867974</v>
      </c>
      <c r="E456" s="804">
        <f t="shared" si="206"/>
        <v>2629.455866894506</v>
      </c>
      <c r="F456" s="804">
        <f t="shared" si="206"/>
        <v>482.32584543324703</v>
      </c>
      <c r="G456" s="804">
        <f t="shared" si="206"/>
        <v>310.17655131899437</v>
      </c>
      <c r="H456" s="804">
        <f t="shared" si="206"/>
        <v>220.92382768752688</v>
      </c>
      <c r="I456" s="804">
        <f t="shared" si="206"/>
        <v>106.61321663190297</v>
      </c>
      <c r="J456" s="804">
        <f t="shared" si="206"/>
        <v>279.38412011837357</v>
      </c>
      <c r="K456" s="804">
        <f t="shared" si="206"/>
        <v>422.80031908047602</v>
      </c>
      <c r="L456" s="804">
        <f t="shared" si="206"/>
        <v>203.35363153768466</v>
      </c>
      <c r="M456" s="804">
        <f t="shared" si="206"/>
        <v>231.54784920152733</v>
      </c>
      <c r="N456" s="804">
        <f t="shared" si="206"/>
        <v>467.99675121515725</v>
      </c>
      <c r="O456" s="804">
        <f t="shared" si="206"/>
        <v>308.73718466108562</v>
      </c>
      <c r="P456" s="804">
        <f t="shared" si="206"/>
        <v>303.81359843254126</v>
      </c>
      <c r="Q456" s="804">
        <f t="shared" si="206"/>
        <v>1625.5685935130527</v>
      </c>
      <c r="R456" s="804">
        <f t="shared" si="206"/>
        <v>442.29510717528478</v>
      </c>
      <c r="S456" s="804">
        <f t="shared" si="206"/>
        <v>498.35433078518957</v>
      </c>
      <c r="T456" s="804">
        <f t="shared" si="206"/>
        <v>407.97504625354344</v>
      </c>
      <c r="U456" s="804">
        <f t="shared" si="206"/>
        <v>363.13962256162824</v>
      </c>
      <c r="V456" s="804">
        <f t="shared" si="206"/>
        <v>605.11341326480942</v>
      </c>
      <c r="W456" s="804">
        <f t="shared" si="206"/>
        <v>80.700464509738026</v>
      </c>
      <c r="X456" s="804">
        <f t="shared" si="206"/>
        <v>306.02242993803907</v>
      </c>
      <c r="Y456" s="804">
        <f t="shared" si="206"/>
        <v>151.34752708989396</v>
      </c>
      <c r="Z456" s="804">
        <f t="shared" si="206"/>
        <v>165.04509242434406</v>
      </c>
      <c r="AA456" s="804">
        <f t="shared" si="206"/>
        <v>191.84367071819389</v>
      </c>
      <c r="AB456" s="804">
        <f t="shared" si="206"/>
        <v>400.91337992242592</v>
      </c>
      <c r="AC456" s="804">
        <f t="shared" si="206"/>
        <v>154.59614013215509</v>
      </c>
    </row>
    <row r="457" spans="1:29" s="714" customFormat="1">
      <c r="A457" s="803"/>
      <c r="B457" s="803"/>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c r="AA457" s="805"/>
      <c r="AB457" s="805"/>
      <c r="AC457" s="805"/>
    </row>
    <row r="458" spans="1:29" s="714" customFormat="1">
      <c r="A458" s="803"/>
      <c r="B458" s="803"/>
      <c r="C458" s="805"/>
      <c r="D458" s="828"/>
      <c r="E458" s="828"/>
      <c r="F458" s="828"/>
      <c r="G458" s="828"/>
      <c r="H458" s="828"/>
      <c r="I458" s="805"/>
      <c r="J458" s="805"/>
      <c r="K458" s="805"/>
      <c r="L458" s="805"/>
      <c r="M458" s="805"/>
      <c r="N458" s="805"/>
      <c r="O458" s="805"/>
      <c r="P458" s="805"/>
      <c r="Q458" s="805"/>
      <c r="R458" s="805"/>
      <c r="S458" s="805"/>
      <c r="T458" s="805"/>
      <c r="U458" s="805"/>
      <c r="V458" s="805"/>
      <c r="W458" s="805"/>
      <c r="X458" s="805"/>
      <c r="Y458" s="805"/>
      <c r="Z458" s="805"/>
      <c r="AA458" s="805"/>
      <c r="AB458" s="805"/>
      <c r="AC458" s="805"/>
    </row>
    <row r="459" spans="1:29" s="714" customFormat="1">
      <c r="A459" s="803"/>
      <c r="B459" s="803"/>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c r="AA459" s="805"/>
      <c r="AB459" s="805"/>
      <c r="AC459" s="805"/>
    </row>
    <row r="460" spans="1:29" s="714" customFormat="1" ht="15.6">
      <c r="A460" s="401" t="s">
        <v>1136</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6" t="s">
        <v>1116</v>
      </c>
      <c r="B462" s="714" t="s">
        <v>1125</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6" t="s">
        <v>1117</v>
      </c>
      <c r="B463" s="714" t="s">
        <v>1126</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08" t="s">
        <v>1118</v>
      </c>
      <c r="B464" s="458" t="s">
        <v>1127</v>
      </c>
      <c r="C464" s="809">
        <f>C455/SUM(C431:C432)</f>
        <v>8.8649122807017537</v>
      </c>
      <c r="D464" s="809">
        <f t="shared" ref="D464:AC464" si="210">D455/SUM(D431:D432)</f>
        <v>7.4223789525858956</v>
      </c>
      <c r="E464" s="809">
        <f t="shared" si="210"/>
        <v>11.690912742461185</v>
      </c>
      <c r="F464" s="809">
        <f t="shared" si="210"/>
        <v>6.8139290003136823</v>
      </c>
      <c r="G464" s="809">
        <f t="shared" si="210"/>
        <v>6.3181403161842509</v>
      </c>
      <c r="H464" s="809">
        <f t="shared" si="210"/>
        <v>7.4424850414354795</v>
      </c>
      <c r="I464" s="809">
        <f t="shared" si="210"/>
        <v>6.2254184276998403</v>
      </c>
      <c r="J464" s="809">
        <f t="shared" si="210"/>
        <v>7.6471656643165069</v>
      </c>
      <c r="K464" s="809">
        <f t="shared" si="210"/>
        <v>5.1434150255042406</v>
      </c>
      <c r="L464" s="809">
        <f t="shared" si="210"/>
        <v>10.477357684173224</v>
      </c>
      <c r="M464" s="809">
        <f t="shared" si="210"/>
        <v>12.675629247002487</v>
      </c>
      <c r="N464" s="809">
        <f t="shared" si="210"/>
        <v>5.2552937315052377</v>
      </c>
      <c r="O464" s="809">
        <f t="shared" si="210"/>
        <v>12.877109956272569</v>
      </c>
      <c r="P464" s="809">
        <f t="shared" si="210"/>
        <v>12.671752246239185</v>
      </c>
      <c r="Q464" s="809">
        <f t="shared" si="210"/>
        <v>10.469239881289264</v>
      </c>
      <c r="R464" s="809">
        <f t="shared" si="210"/>
        <v>14.900043845465245</v>
      </c>
      <c r="S464" s="809">
        <f t="shared" si="210"/>
        <v>8.083384479810876</v>
      </c>
      <c r="T464" s="809">
        <f t="shared" si="210"/>
        <v>6.8719345731134407</v>
      </c>
      <c r="U464" s="809">
        <f t="shared" si="210"/>
        <v>16.74051429878304</v>
      </c>
      <c r="V464" s="809">
        <f t="shared" si="210"/>
        <v>11.521995663580766</v>
      </c>
      <c r="W464" s="809">
        <f t="shared" si="210"/>
        <v>10.097799746618781</v>
      </c>
      <c r="X464" s="809">
        <f t="shared" si="210"/>
        <v>12.183703954339899</v>
      </c>
      <c r="Y464" s="809">
        <f t="shared" si="210"/>
        <v>8.2852211646866252</v>
      </c>
      <c r="Z464" s="809">
        <f t="shared" si="210"/>
        <v>13.14191607211287</v>
      </c>
      <c r="AA464" s="809">
        <f t="shared" si="210"/>
        <v>5.6011213274341811</v>
      </c>
      <c r="AB464" s="809">
        <f t="shared" si="210"/>
        <v>10.033010468504163</v>
      </c>
      <c r="AC464" s="809">
        <f t="shared" si="210"/>
        <v>2.219819033010749</v>
      </c>
    </row>
    <row r="465" spans="1:29" s="714" customFormat="1">
      <c r="A465" s="803"/>
      <c r="B465" s="803"/>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c r="AA465" s="805"/>
      <c r="AB465" s="805"/>
      <c r="AC465" s="805"/>
    </row>
    <row r="466" spans="1:29" s="714" customFormat="1">
      <c r="A466" s="803"/>
      <c r="B466" s="803"/>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c r="AA466" s="805"/>
      <c r="AB466" s="805"/>
      <c r="AC466" s="805"/>
    </row>
    <row r="467" spans="1:29" s="714" customFormat="1">
      <c r="A467" s="803"/>
      <c r="B467" s="803"/>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c r="AA467" s="805"/>
      <c r="AB467" s="805"/>
      <c r="AC467" s="805"/>
    </row>
    <row r="468" spans="1:29" s="714" customFormat="1">
      <c r="A468" s="803"/>
      <c r="B468" s="803"/>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3"/>
      <c r="B469" s="803"/>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45" t="s">
        <v>694</v>
      </c>
      <c r="C472" s="845"/>
      <c r="D472" s="845"/>
      <c r="E472" s="845"/>
      <c r="F472" s="845"/>
      <c r="G472" s="845"/>
      <c r="H472" s="845"/>
      <c r="I472" s="845"/>
      <c r="J472" s="845"/>
      <c r="K472" s="845"/>
      <c r="L472" s="845"/>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46" t="s">
        <v>699</v>
      </c>
      <c r="C490" s="846"/>
      <c r="D490" s="846"/>
      <c r="E490" s="846"/>
      <c r="F490" s="846"/>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45" t="s">
        <v>694</v>
      </c>
      <c r="C516" s="845"/>
      <c r="D516" s="845"/>
      <c r="E516" s="845"/>
      <c r="F516" s="845"/>
      <c r="G516" s="845"/>
      <c r="H516" s="845"/>
      <c r="I516" s="845"/>
      <c r="J516" s="845"/>
      <c r="K516" s="845"/>
      <c r="L516" s="845"/>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45" t="s">
        <v>694</v>
      </c>
      <c r="C535" s="845"/>
      <c r="D535" s="845"/>
      <c r="E535" s="845"/>
      <c r="F535" s="845"/>
      <c r="G535" s="845"/>
      <c r="H535" s="845"/>
      <c r="I535" s="845"/>
      <c r="J535" s="845"/>
      <c r="K535" s="845"/>
      <c r="L535" s="845"/>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35" t="s">
        <v>717</v>
      </c>
      <c r="B553" s="835"/>
      <c r="C553" s="835"/>
      <c r="D553" s="835"/>
      <c r="E553" s="835"/>
      <c r="F553" s="835"/>
      <c r="G553" s="835"/>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47" t="s">
        <v>716</v>
      </c>
      <c r="B565" s="847"/>
      <c r="C565" s="847"/>
      <c r="D565" s="847"/>
      <c r="E565" s="847"/>
      <c r="F565" s="847"/>
      <c r="G565" s="847"/>
    </row>
    <row r="566" spans="1:32">
      <c r="A566" s="848" t="s">
        <v>718</v>
      </c>
      <c r="B566" s="848"/>
      <c r="C566" s="848"/>
      <c r="D566" s="848"/>
      <c r="E566" s="848"/>
      <c r="F566" s="848"/>
      <c r="G566" s="848"/>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45" t="s">
        <v>694</v>
      </c>
      <c r="C574" s="845"/>
      <c r="D574" s="845"/>
      <c r="E574" s="845"/>
      <c r="F574" s="845"/>
      <c r="G574" s="845"/>
      <c r="H574" s="845"/>
      <c r="I574" s="845"/>
      <c r="J574" s="845"/>
      <c r="K574" s="845"/>
      <c r="L574" s="845"/>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46" t="s">
        <v>699</v>
      </c>
      <c r="C592" s="846"/>
      <c r="D592" s="846"/>
      <c r="E592" s="846"/>
      <c r="F592" s="846"/>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714" customFormat="1">
      <c r="A621" s="21"/>
    </row>
    <row r="622" spans="1:32" s="714" customFormat="1">
      <c r="A622" s="21"/>
    </row>
    <row r="623" spans="1:32" s="714" customFormat="1" ht="15.6">
      <c r="A623" s="401" t="s">
        <v>1151</v>
      </c>
    </row>
    <row r="624" spans="1:32" s="714" customFormat="1" ht="17.399999999999999">
      <c r="A624" s="716" t="s">
        <v>1119</v>
      </c>
      <c r="B624" s="716" t="s">
        <v>677</v>
      </c>
      <c r="C624" s="130" t="str">
        <f>C452</f>
        <v>IE</v>
      </c>
      <c r="D624" s="130" t="str">
        <f t="shared" ref="D624:AC624" si="224">D452</f>
        <v>IE-CW</v>
      </c>
      <c r="E624" s="130" t="str">
        <f t="shared" si="224"/>
        <v>IE-D</v>
      </c>
      <c r="F624" s="130" t="str">
        <f t="shared" si="224"/>
        <v>IE-KE</v>
      </c>
      <c r="G624" s="130" t="str">
        <f t="shared" si="224"/>
        <v>IE-KK</v>
      </c>
      <c r="H624" s="130" t="str">
        <f t="shared" si="224"/>
        <v>IE-LS</v>
      </c>
      <c r="I624" s="130" t="str">
        <f t="shared" si="224"/>
        <v>IE-LD</v>
      </c>
      <c r="J624" s="130" t="str">
        <f t="shared" si="224"/>
        <v>IE-LH</v>
      </c>
      <c r="K624" s="130" t="str">
        <f t="shared" si="224"/>
        <v>IE-MH</v>
      </c>
      <c r="L624" s="130" t="str">
        <f t="shared" si="224"/>
        <v>IE-OY</v>
      </c>
      <c r="M624" s="130" t="str">
        <f t="shared" si="224"/>
        <v>IE-WH</v>
      </c>
      <c r="N624" s="130" t="str">
        <f t="shared" si="224"/>
        <v>IE-WX</v>
      </c>
      <c r="O624" s="130" t="str">
        <f t="shared" si="224"/>
        <v>IE-WW</v>
      </c>
      <c r="P624" s="130" t="str">
        <f t="shared" si="224"/>
        <v>IE-CE</v>
      </c>
      <c r="Q624" s="130" t="str">
        <f t="shared" si="224"/>
        <v>IE-CO</v>
      </c>
      <c r="R624" s="130" t="str">
        <f t="shared" si="224"/>
        <v>IE-KY</v>
      </c>
      <c r="S624" s="130" t="str">
        <f t="shared" si="224"/>
        <v>IE-LK</v>
      </c>
      <c r="T624" s="130" t="str">
        <f t="shared" si="224"/>
        <v>IE-TA</v>
      </c>
      <c r="U624" s="130" t="str">
        <f t="shared" si="224"/>
        <v>IE-WD</v>
      </c>
      <c r="V624" s="130" t="str">
        <f t="shared" si="224"/>
        <v>IE-G</v>
      </c>
      <c r="W624" s="130" t="str">
        <f t="shared" si="224"/>
        <v>IE-LM</v>
      </c>
      <c r="X624" s="130" t="str">
        <f t="shared" si="224"/>
        <v>IE-MO</v>
      </c>
      <c r="Y624" s="130" t="str">
        <f t="shared" si="224"/>
        <v>IE-RN</v>
      </c>
      <c r="Z624" s="130" t="str">
        <f t="shared" si="224"/>
        <v>IE-SO</v>
      </c>
      <c r="AA624" s="130" t="str">
        <f t="shared" si="224"/>
        <v>IE-CN</v>
      </c>
      <c r="AB624" s="130" t="str">
        <f t="shared" si="224"/>
        <v>IE-DL</v>
      </c>
      <c r="AC624" s="130" t="str">
        <f t="shared" si="224"/>
        <v>IE-MN</v>
      </c>
    </row>
    <row r="625" spans="1:29" s="714" customFormat="1">
      <c r="A625" s="825" t="s">
        <v>1116</v>
      </c>
      <c r="B625" s="714" t="s">
        <v>1125</v>
      </c>
      <c r="C625" s="38">
        <f>C453/1000</f>
        <v>0.29199999999999998</v>
      </c>
      <c r="D625" s="38">
        <f t="shared" ref="D625:AC625" si="225">D453/1000</f>
        <v>4.5036639360040284E-3</v>
      </c>
      <c r="E625" s="38">
        <f t="shared" si="225"/>
        <v>6.6545424955208501E-2</v>
      </c>
      <c r="F625" s="38">
        <f t="shared" si="225"/>
        <v>1.2206547657003653E-2</v>
      </c>
      <c r="G625" s="38">
        <f t="shared" si="225"/>
        <v>7.8498485859894579E-3</v>
      </c>
      <c r="H625" s="38">
        <f t="shared" si="225"/>
        <v>5.5910693087846981E-3</v>
      </c>
      <c r="I625" s="38">
        <f t="shared" si="225"/>
        <v>2.6981330608871262E-3</v>
      </c>
      <c r="J625" s="38">
        <f t="shared" si="225"/>
        <v>7.0705636223405343E-3</v>
      </c>
      <c r="K625" s="38">
        <f t="shared" si="225"/>
        <v>1.0700094745319726E-2</v>
      </c>
      <c r="L625" s="38">
        <f t="shared" si="225"/>
        <v>5.1464084251173449E-3</v>
      </c>
      <c r="M625" s="38">
        <f t="shared" si="225"/>
        <v>5.8599386346720383E-3</v>
      </c>
      <c r="N625" s="38">
        <f t="shared" si="225"/>
        <v>1.1843911540546533E-2</v>
      </c>
      <c r="O625" s="38">
        <f t="shared" si="225"/>
        <v>7.813421556685473E-3</v>
      </c>
      <c r="P625" s="38">
        <f t="shared" si="225"/>
        <v>7.6888170170135248E-3</v>
      </c>
      <c r="Q625" s="38">
        <f t="shared" si="225"/>
        <v>4.1139368114561578E-2</v>
      </c>
      <c r="R625" s="38">
        <f t="shared" si="225"/>
        <v>1.1193462584085904E-2</v>
      </c>
      <c r="S625" s="38">
        <f t="shared" si="225"/>
        <v>1.261219141872728E-2</v>
      </c>
      <c r="T625" s="38">
        <f t="shared" si="225"/>
        <v>1.0324901499916337E-2</v>
      </c>
      <c r="U625" s="38">
        <f t="shared" si="225"/>
        <v>9.1902209904658905E-3</v>
      </c>
      <c r="V625" s="38">
        <f t="shared" si="225"/>
        <v>1.5314016005661671E-2</v>
      </c>
      <c r="W625" s="38">
        <f t="shared" si="225"/>
        <v>2.0423414488510579E-3</v>
      </c>
      <c r="X625" s="38">
        <f t="shared" si="225"/>
        <v>7.7447174156619345E-3</v>
      </c>
      <c r="Y625" s="38">
        <f t="shared" si="225"/>
        <v>3.8302546290734131E-3</v>
      </c>
      <c r="Z625" s="38">
        <f t="shared" si="225"/>
        <v>4.1769082152806787E-3</v>
      </c>
      <c r="AA625" s="38">
        <f t="shared" si="225"/>
        <v>4.8551180316963602E-3</v>
      </c>
      <c r="AB625" s="38">
        <f t="shared" si="225"/>
        <v>1.0146187115388139E-2</v>
      </c>
      <c r="AC625" s="38">
        <f t="shared" si="225"/>
        <v>3.9124694850571403E-3</v>
      </c>
    </row>
    <row r="626" spans="1:29" s="714" customFormat="1">
      <c r="A626" s="825" t="s">
        <v>1117</v>
      </c>
      <c r="B626" s="714" t="s">
        <v>1126</v>
      </c>
      <c r="C626" s="38">
        <f>C454/1000</f>
        <v>1.1399999999999999</v>
      </c>
      <c r="D626" s="38">
        <f t="shared" ref="D626:AC626" si="226">D454/1000</f>
        <v>1.7582797558371891E-2</v>
      </c>
      <c r="E626" s="38">
        <f t="shared" si="226"/>
        <v>0.25980063167444417</v>
      </c>
      <c r="F626" s="38">
        <f t="shared" si="226"/>
        <v>4.7655699756795081E-2</v>
      </c>
      <c r="G626" s="38">
        <f t="shared" si="226"/>
        <v>3.0646669137082128E-2</v>
      </c>
      <c r="H626" s="38">
        <f t="shared" si="226"/>
        <v>2.1828147301419711E-2</v>
      </c>
      <c r="I626" s="38">
        <f t="shared" si="226"/>
        <v>1.0533807155518235E-2</v>
      </c>
      <c r="J626" s="38">
        <f t="shared" si="226"/>
        <v>2.7604255237904825E-2</v>
      </c>
      <c r="K626" s="38">
        <f t="shared" si="226"/>
        <v>4.1774342498850987E-2</v>
      </c>
      <c r="L626" s="38">
        <f t="shared" si="226"/>
        <v>2.009214248162251E-2</v>
      </c>
      <c r="M626" s="38">
        <f t="shared" si="226"/>
        <v>2.2877842614815493E-2</v>
      </c>
      <c r="N626" s="38">
        <f t="shared" si="226"/>
        <v>4.6239928617202226E-2</v>
      </c>
      <c r="O626" s="38">
        <f t="shared" si="226"/>
        <v>3.0504454022676163E-2</v>
      </c>
      <c r="P626" s="38">
        <f t="shared" si="226"/>
        <v>3.0017984244504855E-2</v>
      </c>
      <c r="Q626" s="38">
        <f t="shared" si="226"/>
        <v>0.16061260154315135</v>
      </c>
      <c r="R626" s="38">
        <f t="shared" si="226"/>
        <v>4.3700504609102506E-2</v>
      </c>
      <c r="S626" s="38">
        <f t="shared" si="226"/>
        <v>4.9239377456675004E-2</v>
      </c>
      <c r="T626" s="38">
        <f t="shared" si="226"/>
        <v>4.0309546951728156E-2</v>
      </c>
      <c r="U626" s="38">
        <f t="shared" si="226"/>
        <v>3.5879629894284643E-2</v>
      </c>
      <c r="V626" s="38">
        <f t="shared" si="226"/>
        <v>5.9787596734432548E-2</v>
      </c>
      <c r="W626" s="38">
        <f t="shared" si="226"/>
        <v>7.9735248345555003E-3</v>
      </c>
      <c r="X626" s="38">
        <f t="shared" si="226"/>
        <v>3.0236225526899335E-2</v>
      </c>
      <c r="Y626" s="38">
        <f t="shared" si="226"/>
        <v>1.4953733825834557E-2</v>
      </c>
      <c r="Z626" s="38">
        <f t="shared" si="226"/>
        <v>1.6307107415821826E-2</v>
      </c>
      <c r="AA626" s="38">
        <f t="shared" si="226"/>
        <v>1.8954912863472093E-2</v>
      </c>
      <c r="AB626" s="38">
        <f t="shared" si="226"/>
        <v>3.9611826409392051E-2</v>
      </c>
      <c r="AC626" s="38">
        <f t="shared" si="226"/>
        <v>1.527470963344226E-2</v>
      </c>
    </row>
    <row r="627" spans="1:29" s="714" customFormat="1">
      <c r="A627" s="825" t="s">
        <v>1118</v>
      </c>
      <c r="B627" s="714" t="s">
        <v>1127</v>
      </c>
      <c r="C627" s="38">
        <f>C455/1000</f>
        <v>10.106</v>
      </c>
      <c r="D627" s="38">
        <f t="shared" ref="D627:AC627" si="227">D455/1000</f>
        <v>0.15586995800430381</v>
      </c>
      <c r="E627" s="38">
        <f t="shared" si="227"/>
        <v>2.3031098102648535</v>
      </c>
      <c r="F627" s="38">
        <f t="shared" si="227"/>
        <v>0.42246359801944827</v>
      </c>
      <c r="G627" s="38">
        <f t="shared" si="227"/>
        <v>0.2716800335959228</v>
      </c>
      <c r="H627" s="38">
        <f t="shared" si="227"/>
        <v>0.19350461107732247</v>
      </c>
      <c r="I627" s="38">
        <f t="shared" si="227"/>
        <v>9.3381276415497608E-2</v>
      </c>
      <c r="J627" s="38">
        <f t="shared" si="227"/>
        <v>0.24470930125812823</v>
      </c>
      <c r="K627" s="38">
        <f t="shared" si="227"/>
        <v>0.37032588183630533</v>
      </c>
      <c r="L627" s="38">
        <f t="shared" si="227"/>
        <v>0.17811508063094481</v>
      </c>
      <c r="M627" s="38">
        <f t="shared" si="227"/>
        <v>0.20281006795203979</v>
      </c>
      <c r="N627" s="38">
        <f t="shared" si="227"/>
        <v>0.40991291105740851</v>
      </c>
      <c r="O627" s="38">
        <f t="shared" si="227"/>
        <v>0.27041930908172396</v>
      </c>
      <c r="P627" s="38">
        <f t="shared" si="227"/>
        <v>0.26610679717102287</v>
      </c>
      <c r="Q627" s="38">
        <f t="shared" si="227"/>
        <v>1.4238166238553398</v>
      </c>
      <c r="R627" s="38">
        <f t="shared" si="227"/>
        <v>0.38740113998209635</v>
      </c>
      <c r="S627" s="38">
        <f t="shared" si="227"/>
        <v>0.43650276190978732</v>
      </c>
      <c r="T627" s="38">
        <f t="shared" si="227"/>
        <v>0.35734059780189892</v>
      </c>
      <c r="U627" s="38">
        <f t="shared" si="227"/>
        <v>0.31806977167687772</v>
      </c>
      <c r="V627" s="38">
        <f t="shared" si="227"/>
        <v>0.53001180052471519</v>
      </c>
      <c r="W627" s="38">
        <f t="shared" si="227"/>
        <v>7.0684598226331469E-2</v>
      </c>
      <c r="X627" s="38">
        <f t="shared" si="227"/>
        <v>0.26804148699547781</v>
      </c>
      <c r="Y627" s="38">
        <f t="shared" si="227"/>
        <v>0.13256353863498599</v>
      </c>
      <c r="Z627" s="38">
        <f t="shared" si="227"/>
        <v>0.14456107679324157</v>
      </c>
      <c r="AA627" s="38">
        <f t="shared" si="227"/>
        <v>0.16803363982302544</v>
      </c>
      <c r="AB627" s="38">
        <f t="shared" si="227"/>
        <v>0.35115536639764572</v>
      </c>
      <c r="AC627" s="38">
        <f t="shared" si="227"/>
        <v>0.13540896101365571</v>
      </c>
    </row>
    <row r="628" spans="1:29" s="714" customFormat="1">
      <c r="A628" s="825" t="s">
        <v>24</v>
      </c>
      <c r="B628" s="714" t="s">
        <v>17</v>
      </c>
      <c r="C628" s="38">
        <f>C18</f>
        <v>8.8551000000000005E-2</v>
      </c>
      <c r="D628" s="38">
        <f t="shared" ref="D628:AC628" si="228">D18</f>
        <v>0</v>
      </c>
      <c r="E628" s="38">
        <f t="shared" si="228"/>
        <v>2.8462821428571431E-2</v>
      </c>
      <c r="F628" s="38">
        <f t="shared" si="228"/>
        <v>0</v>
      </c>
      <c r="G628" s="38">
        <f t="shared" si="228"/>
        <v>0</v>
      </c>
      <c r="H628" s="38">
        <f t="shared" si="228"/>
        <v>0</v>
      </c>
      <c r="I628" s="38">
        <f t="shared" si="228"/>
        <v>0</v>
      </c>
      <c r="J628" s="38">
        <f t="shared" si="228"/>
        <v>0</v>
      </c>
      <c r="K628" s="38">
        <f t="shared" si="228"/>
        <v>9.4876071428571431E-3</v>
      </c>
      <c r="L628" s="38">
        <f t="shared" si="228"/>
        <v>0</v>
      </c>
      <c r="M628" s="38">
        <f t="shared" si="228"/>
        <v>0</v>
      </c>
      <c r="N628" s="38">
        <f t="shared" si="228"/>
        <v>0</v>
      </c>
      <c r="O628" s="38">
        <f t="shared" si="228"/>
        <v>0</v>
      </c>
      <c r="P628" s="38">
        <f t="shared" si="228"/>
        <v>0</v>
      </c>
      <c r="Q628" s="38">
        <f t="shared" si="228"/>
        <v>0</v>
      </c>
      <c r="R628" s="38">
        <f t="shared" si="228"/>
        <v>0</v>
      </c>
      <c r="S628" s="38">
        <f t="shared" si="228"/>
        <v>0</v>
      </c>
      <c r="T628" s="38">
        <f t="shared" si="228"/>
        <v>0</v>
      </c>
      <c r="U628" s="38">
        <f t="shared" si="228"/>
        <v>1.5812678571428571E-2</v>
      </c>
      <c r="V628" s="38">
        <f t="shared" si="228"/>
        <v>0</v>
      </c>
      <c r="W628" s="38">
        <f t="shared" si="228"/>
        <v>0</v>
      </c>
      <c r="X628" s="38">
        <f t="shared" si="228"/>
        <v>3.4787892857142858E-2</v>
      </c>
      <c r="Y628" s="38">
        <f t="shared" si="228"/>
        <v>0</v>
      </c>
      <c r="Z628" s="38">
        <f t="shared" si="228"/>
        <v>0</v>
      </c>
      <c r="AA628" s="38">
        <f t="shared" si="228"/>
        <v>0</v>
      </c>
      <c r="AB628" s="38">
        <f t="shared" si="228"/>
        <v>0</v>
      </c>
      <c r="AC628" s="38">
        <f t="shared" si="228"/>
        <v>0</v>
      </c>
    </row>
    <row r="629" spans="1:29" s="714" customFormat="1">
      <c r="A629" s="826"/>
      <c r="B629" s="826" t="s">
        <v>16</v>
      </c>
      <c r="C629" s="830">
        <f>SUM(C625:C628)</f>
        <v>11.626551000000001</v>
      </c>
      <c r="D629" s="830">
        <f t="shared" ref="D629:AC629" si="229">SUM(D625:D628)</f>
        <v>0.17795641949867974</v>
      </c>
      <c r="E629" s="830">
        <f t="shared" si="229"/>
        <v>2.6579186883230776</v>
      </c>
      <c r="F629" s="830">
        <f t="shared" si="229"/>
        <v>0.48232584543324702</v>
      </c>
      <c r="G629" s="830">
        <f t="shared" si="229"/>
        <v>0.31017655131899435</v>
      </c>
      <c r="H629" s="830">
        <f t="shared" si="229"/>
        <v>0.22092382768752689</v>
      </c>
      <c r="I629" s="830">
        <f t="shared" si="229"/>
        <v>0.10661321663190297</v>
      </c>
      <c r="J629" s="830">
        <f t="shared" si="229"/>
        <v>0.2793841201183736</v>
      </c>
      <c r="K629" s="830">
        <f t="shared" si="229"/>
        <v>0.43228792622333317</v>
      </c>
      <c r="L629" s="830">
        <f t="shared" si="229"/>
        <v>0.20335363153768465</v>
      </c>
      <c r="M629" s="830">
        <f t="shared" si="229"/>
        <v>0.23154784920152732</v>
      </c>
      <c r="N629" s="830">
        <f t="shared" si="229"/>
        <v>0.46799675121515727</v>
      </c>
      <c r="O629" s="830">
        <f t="shared" si="229"/>
        <v>0.30873718466108557</v>
      </c>
      <c r="P629" s="830">
        <f t="shared" si="229"/>
        <v>0.30381359843254124</v>
      </c>
      <c r="Q629" s="830">
        <f t="shared" si="229"/>
        <v>1.6255685935130528</v>
      </c>
      <c r="R629" s="830">
        <f t="shared" si="229"/>
        <v>0.44229510717528475</v>
      </c>
      <c r="S629" s="830">
        <f t="shared" si="229"/>
        <v>0.49835433078518959</v>
      </c>
      <c r="T629" s="830">
        <f t="shared" si="229"/>
        <v>0.40797504625354342</v>
      </c>
      <c r="U629" s="830">
        <f t="shared" si="229"/>
        <v>0.37895230113305683</v>
      </c>
      <c r="V629" s="830">
        <f t="shared" si="229"/>
        <v>0.60511341326480939</v>
      </c>
      <c r="W629" s="830">
        <f t="shared" si="229"/>
        <v>8.0700464509738029E-2</v>
      </c>
      <c r="X629" s="830">
        <f t="shared" si="229"/>
        <v>0.34081032279518192</v>
      </c>
      <c r="Y629" s="830">
        <f t="shared" si="229"/>
        <v>0.15134752708989396</v>
      </c>
      <c r="Z629" s="830">
        <f t="shared" si="229"/>
        <v>0.16504509242434406</v>
      </c>
      <c r="AA629" s="830">
        <f t="shared" si="229"/>
        <v>0.19184367071819389</v>
      </c>
      <c r="AB629" s="830">
        <f>SUM(AB625:AB628)</f>
        <v>0.40091337992242593</v>
      </c>
      <c r="AC629" s="830">
        <f t="shared" si="229"/>
        <v>0.15459614013215511</v>
      </c>
    </row>
    <row r="630" spans="1:29" s="714" customFormat="1">
      <c r="A630" s="803"/>
      <c r="B630" s="803"/>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c r="AA630" s="805"/>
      <c r="AB630" s="805"/>
      <c r="AC630" s="805"/>
    </row>
    <row r="631" spans="1:29" s="714" customFormat="1">
      <c r="A631" s="803"/>
      <c r="B631" s="803"/>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c r="AA631" s="805"/>
      <c r="AB631" s="805"/>
      <c r="AC631" s="805"/>
    </row>
    <row r="632" spans="1:29" s="714" customFormat="1">
      <c r="A632" s="803"/>
      <c r="B632" s="803"/>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c r="AA632" s="805"/>
      <c r="AB632" s="805"/>
      <c r="AC632" s="805"/>
    </row>
    <row r="633" spans="1:29" s="714" customFormat="1" ht="15.6">
      <c r="A633" s="401" t="s">
        <v>1150</v>
      </c>
    </row>
    <row r="634" spans="1:29" s="714" customFormat="1" ht="17.399999999999999">
      <c r="A634" s="716" t="s">
        <v>1119</v>
      </c>
      <c r="B634" s="716" t="s">
        <v>677</v>
      </c>
      <c r="C634" s="130" t="str">
        <f>C624</f>
        <v>IE</v>
      </c>
      <c r="D634" s="130" t="str">
        <f t="shared" ref="D634:AC634" si="230">D624</f>
        <v>IE-CW</v>
      </c>
      <c r="E634" s="130" t="str">
        <f t="shared" si="230"/>
        <v>IE-D</v>
      </c>
      <c r="F634" s="130" t="str">
        <f t="shared" si="230"/>
        <v>IE-KE</v>
      </c>
      <c r="G634" s="130" t="str">
        <f t="shared" si="230"/>
        <v>IE-KK</v>
      </c>
      <c r="H634" s="130" t="str">
        <f t="shared" si="230"/>
        <v>IE-LS</v>
      </c>
      <c r="I634" s="130" t="str">
        <f t="shared" si="230"/>
        <v>IE-LD</v>
      </c>
      <c r="J634" s="130" t="str">
        <f t="shared" si="230"/>
        <v>IE-LH</v>
      </c>
      <c r="K634" s="130" t="str">
        <f t="shared" si="230"/>
        <v>IE-MH</v>
      </c>
      <c r="L634" s="130" t="str">
        <f t="shared" si="230"/>
        <v>IE-OY</v>
      </c>
      <c r="M634" s="130" t="str">
        <f t="shared" si="230"/>
        <v>IE-WH</v>
      </c>
      <c r="N634" s="130" t="str">
        <f t="shared" si="230"/>
        <v>IE-WX</v>
      </c>
      <c r="O634" s="130" t="str">
        <f t="shared" si="230"/>
        <v>IE-WW</v>
      </c>
      <c r="P634" s="130" t="str">
        <f t="shared" si="230"/>
        <v>IE-CE</v>
      </c>
      <c r="Q634" s="130" t="str">
        <f t="shared" si="230"/>
        <v>IE-CO</v>
      </c>
      <c r="R634" s="130" t="str">
        <f t="shared" si="230"/>
        <v>IE-KY</v>
      </c>
      <c r="S634" s="130" t="str">
        <f t="shared" si="230"/>
        <v>IE-LK</v>
      </c>
      <c r="T634" s="130" t="str">
        <f t="shared" si="230"/>
        <v>IE-TA</v>
      </c>
      <c r="U634" s="130" t="str">
        <f t="shared" si="230"/>
        <v>IE-WD</v>
      </c>
      <c r="V634" s="130" t="str">
        <f t="shared" si="230"/>
        <v>IE-G</v>
      </c>
      <c r="W634" s="130" t="str">
        <f t="shared" si="230"/>
        <v>IE-LM</v>
      </c>
      <c r="X634" s="130" t="str">
        <f t="shared" si="230"/>
        <v>IE-MO</v>
      </c>
      <c r="Y634" s="130" t="str">
        <f t="shared" si="230"/>
        <v>IE-RN</v>
      </c>
      <c r="Z634" s="130" t="str">
        <f t="shared" si="230"/>
        <v>IE-SO</v>
      </c>
      <c r="AA634" s="130" t="str">
        <f t="shared" si="230"/>
        <v>IE-CN</v>
      </c>
      <c r="AB634" s="130" t="str">
        <f t="shared" si="230"/>
        <v>IE-DL</v>
      </c>
      <c r="AC634" s="130" t="str">
        <f t="shared" si="230"/>
        <v>IE-MN</v>
      </c>
    </row>
    <row r="635" spans="1:29" s="714" customFormat="1">
      <c r="A635" s="825" t="s">
        <v>1116</v>
      </c>
      <c r="B635" s="714" t="s">
        <v>1125</v>
      </c>
      <c r="C635" s="388">
        <f>C625/C$629</f>
        <v>2.5114928752301518E-2</v>
      </c>
      <c r="D635" s="388">
        <f>D625/D$629</f>
        <v>2.5307678973825617E-2</v>
      </c>
      <c r="E635" s="388">
        <f t="shared" ref="E635:AC635" si="231">E625/E$629</f>
        <v>2.5036666940775772E-2</v>
      </c>
      <c r="F635" s="388">
        <f t="shared" si="231"/>
        <v>2.5307678973825621E-2</v>
      </c>
      <c r="G635" s="388">
        <f t="shared" si="231"/>
        <v>2.5307678973825624E-2</v>
      </c>
      <c r="H635" s="388">
        <f t="shared" si="231"/>
        <v>2.5307678973825617E-2</v>
      </c>
      <c r="I635" s="388">
        <f t="shared" si="231"/>
        <v>2.5307678973825614E-2</v>
      </c>
      <c r="J635" s="388">
        <f t="shared" si="231"/>
        <v>2.5307678973825617E-2</v>
      </c>
      <c r="K635" s="388">
        <f t="shared" si="231"/>
        <v>2.475224056984587E-2</v>
      </c>
      <c r="L635" s="388">
        <f t="shared" si="231"/>
        <v>2.5307678973825621E-2</v>
      </c>
      <c r="M635" s="388">
        <f t="shared" si="231"/>
        <v>2.5307678973825621E-2</v>
      </c>
      <c r="N635" s="388">
        <f t="shared" si="231"/>
        <v>2.5307678973825614E-2</v>
      </c>
      <c r="O635" s="388">
        <f t="shared" si="231"/>
        <v>2.5307678973825621E-2</v>
      </c>
      <c r="P635" s="388">
        <f t="shared" si="231"/>
        <v>2.5307678973825621E-2</v>
      </c>
      <c r="Q635" s="388">
        <f t="shared" si="231"/>
        <v>2.5307678973825624E-2</v>
      </c>
      <c r="R635" s="388">
        <f t="shared" si="231"/>
        <v>2.5307678973825621E-2</v>
      </c>
      <c r="S635" s="388">
        <f t="shared" si="231"/>
        <v>2.5307678973825621E-2</v>
      </c>
      <c r="T635" s="388">
        <f t="shared" si="231"/>
        <v>2.5307678973825624E-2</v>
      </c>
      <c r="U635" s="388">
        <f t="shared" si="231"/>
        <v>2.4251656377299691E-2</v>
      </c>
      <c r="V635" s="388">
        <f t="shared" si="231"/>
        <v>2.5307678973825621E-2</v>
      </c>
      <c r="W635" s="388">
        <f t="shared" si="231"/>
        <v>2.5307678973825621E-2</v>
      </c>
      <c r="X635" s="388">
        <f t="shared" si="231"/>
        <v>2.2724421467469186E-2</v>
      </c>
      <c r="Y635" s="388">
        <f t="shared" si="231"/>
        <v>2.5307678973825621E-2</v>
      </c>
      <c r="Z635" s="388">
        <f t="shared" si="231"/>
        <v>2.5307678973825621E-2</v>
      </c>
      <c r="AA635" s="388">
        <f t="shared" si="231"/>
        <v>2.5307678973825614E-2</v>
      </c>
      <c r="AB635" s="388">
        <f t="shared" si="231"/>
        <v>2.5307678973825614E-2</v>
      </c>
      <c r="AC635" s="388">
        <f t="shared" si="231"/>
        <v>2.5307678973825614E-2</v>
      </c>
    </row>
    <row r="636" spans="1:29" s="714" customFormat="1">
      <c r="A636" s="825" t="s">
        <v>1117</v>
      </c>
      <c r="B636" s="714" t="s">
        <v>1126</v>
      </c>
      <c r="C636" s="388">
        <f t="shared" ref="C636:C638" si="232">C626/C$629</f>
        <v>9.8051434169944274E-2</v>
      </c>
      <c r="D636" s="388">
        <f t="shared" ref="D636:AC636" si="233">D626/D$629</f>
        <v>9.8803952158086308E-2</v>
      </c>
      <c r="E636" s="388">
        <f t="shared" si="233"/>
        <v>9.7745891481110903E-2</v>
      </c>
      <c r="F636" s="388">
        <f t="shared" si="233"/>
        <v>9.8803952158086336E-2</v>
      </c>
      <c r="G636" s="388">
        <f t="shared" si="233"/>
        <v>9.8803952158086336E-2</v>
      </c>
      <c r="H636" s="388">
        <f t="shared" si="233"/>
        <v>9.8803952158086308E-2</v>
      </c>
      <c r="I636" s="388">
        <f t="shared" si="233"/>
        <v>9.8803952158086322E-2</v>
      </c>
      <c r="J636" s="388">
        <f t="shared" si="233"/>
        <v>9.8803952158086308E-2</v>
      </c>
      <c r="K636" s="388">
        <f t="shared" si="233"/>
        <v>9.663545975898731E-2</v>
      </c>
      <c r="L636" s="388">
        <f t="shared" si="233"/>
        <v>9.8803952158086322E-2</v>
      </c>
      <c r="M636" s="388">
        <f t="shared" si="233"/>
        <v>9.8803952158086322E-2</v>
      </c>
      <c r="N636" s="388">
        <f t="shared" si="233"/>
        <v>9.8803952158086322E-2</v>
      </c>
      <c r="O636" s="388">
        <f t="shared" si="233"/>
        <v>9.8803952158086322E-2</v>
      </c>
      <c r="P636" s="388">
        <f t="shared" si="233"/>
        <v>9.8803952158086322E-2</v>
      </c>
      <c r="Q636" s="388">
        <f t="shared" si="233"/>
        <v>9.8803952158086322E-2</v>
      </c>
      <c r="R636" s="388">
        <f t="shared" si="233"/>
        <v>9.8803952158086336E-2</v>
      </c>
      <c r="S636" s="388">
        <f t="shared" si="233"/>
        <v>9.8803952158086336E-2</v>
      </c>
      <c r="T636" s="388">
        <f t="shared" si="233"/>
        <v>9.8803952158086322E-2</v>
      </c>
      <c r="U636" s="388">
        <f t="shared" si="233"/>
        <v>9.4681124212745368E-2</v>
      </c>
      <c r="V636" s="388">
        <f t="shared" si="233"/>
        <v>9.8803952158086322E-2</v>
      </c>
      <c r="W636" s="388">
        <f t="shared" si="233"/>
        <v>9.8803952158086336E-2</v>
      </c>
      <c r="X636" s="388">
        <f t="shared" si="233"/>
        <v>8.8718631756557781E-2</v>
      </c>
      <c r="Y636" s="388">
        <f t="shared" si="233"/>
        <v>9.8803952158086322E-2</v>
      </c>
      <c r="Z636" s="388">
        <f t="shared" si="233"/>
        <v>9.8803952158086322E-2</v>
      </c>
      <c r="AA636" s="388">
        <f t="shared" si="233"/>
        <v>9.8803952158086308E-2</v>
      </c>
      <c r="AB636" s="388">
        <f t="shared" si="233"/>
        <v>9.8803952158086308E-2</v>
      </c>
      <c r="AC636" s="388">
        <f t="shared" si="233"/>
        <v>9.8803952158086308E-2</v>
      </c>
    </row>
    <row r="637" spans="1:29" s="714" customFormat="1">
      <c r="A637" s="825" t="s">
        <v>1118</v>
      </c>
      <c r="B637" s="714" t="s">
        <v>1127</v>
      </c>
      <c r="C637" s="388">
        <f t="shared" si="232"/>
        <v>0.86921736291355867</v>
      </c>
      <c r="D637" s="388">
        <f t="shared" ref="D637:AC637" si="234">D627/D$629</f>
        <v>0.87588836886808796</v>
      </c>
      <c r="E637" s="388">
        <f t="shared" si="234"/>
        <v>0.86650875377904113</v>
      </c>
      <c r="F637" s="388">
        <f t="shared" si="234"/>
        <v>0.87588836886808796</v>
      </c>
      <c r="G637" s="388">
        <f t="shared" si="234"/>
        <v>0.87588836886808819</v>
      </c>
      <c r="H637" s="388">
        <f>H627/H$629</f>
        <v>0.87588836886808807</v>
      </c>
      <c r="I637" s="388">
        <f t="shared" si="234"/>
        <v>0.87588836886808807</v>
      </c>
      <c r="J637" s="388">
        <f t="shared" si="234"/>
        <v>0.87588836886808807</v>
      </c>
      <c r="K637" s="388">
        <f t="shared" si="234"/>
        <v>0.85666487396870672</v>
      </c>
      <c r="L637" s="388">
        <f t="shared" si="234"/>
        <v>0.87588836886808807</v>
      </c>
      <c r="M637" s="388">
        <f t="shared" si="234"/>
        <v>0.87588836886808807</v>
      </c>
      <c r="N637" s="388">
        <f t="shared" si="234"/>
        <v>0.87588836886808807</v>
      </c>
      <c r="O637" s="388">
        <f t="shared" si="234"/>
        <v>0.87588836886808807</v>
      </c>
      <c r="P637" s="388">
        <f t="shared" si="234"/>
        <v>0.87588836886808807</v>
      </c>
      <c r="Q637" s="388">
        <f t="shared" si="234"/>
        <v>0.87588836886808796</v>
      </c>
      <c r="R637" s="388">
        <f t="shared" si="234"/>
        <v>0.87588836886808807</v>
      </c>
      <c r="S637" s="388">
        <f t="shared" si="234"/>
        <v>0.87588836886808807</v>
      </c>
      <c r="T637" s="388">
        <f t="shared" si="234"/>
        <v>0.87588836886808807</v>
      </c>
      <c r="U637" s="388">
        <f t="shared" si="234"/>
        <v>0.83933986078421463</v>
      </c>
      <c r="V637" s="388">
        <f t="shared" si="234"/>
        <v>0.87588836886808807</v>
      </c>
      <c r="W637" s="388">
        <f t="shared" si="234"/>
        <v>0.87588836886808796</v>
      </c>
      <c r="X637" s="388">
        <f t="shared" si="234"/>
        <v>0.78648288818576584</v>
      </c>
      <c r="Y637" s="388">
        <f t="shared" si="234"/>
        <v>0.87588836886808807</v>
      </c>
      <c r="Z637" s="388">
        <f t="shared" si="234"/>
        <v>0.87588836886808807</v>
      </c>
      <c r="AA637" s="388">
        <f t="shared" si="234"/>
        <v>0.87588836886808807</v>
      </c>
      <c r="AB637" s="388">
        <f t="shared" si="234"/>
        <v>0.87588836886808807</v>
      </c>
      <c r="AC637" s="388">
        <f t="shared" si="234"/>
        <v>0.87588836886808807</v>
      </c>
    </row>
    <row r="638" spans="1:29" s="714" customFormat="1">
      <c r="A638" s="825" t="s">
        <v>24</v>
      </c>
      <c r="B638" s="714" t="s">
        <v>17</v>
      </c>
      <c r="C638" s="827">
        <f t="shared" si="232"/>
        <v>7.6162741641953831E-3</v>
      </c>
      <c r="D638" s="827">
        <f t="shared" ref="D638:AC638" si="235">D628/D$629</f>
        <v>0</v>
      </c>
      <c r="E638" s="827">
        <f t="shared" si="235"/>
        <v>1.0708687799072239E-2</v>
      </c>
      <c r="F638" s="827">
        <f t="shared" si="235"/>
        <v>0</v>
      </c>
      <c r="G638" s="827">
        <f t="shared" si="235"/>
        <v>0</v>
      </c>
      <c r="H638" s="827">
        <f t="shared" si="235"/>
        <v>0</v>
      </c>
      <c r="I638" s="827">
        <f t="shared" si="235"/>
        <v>0</v>
      </c>
      <c r="J638" s="827">
        <f t="shared" si="235"/>
        <v>0</v>
      </c>
      <c r="K638" s="827">
        <f t="shared" si="235"/>
        <v>2.1947425702460065E-2</v>
      </c>
      <c r="L638" s="827">
        <f t="shared" si="235"/>
        <v>0</v>
      </c>
      <c r="M638" s="827">
        <f t="shared" si="235"/>
        <v>0</v>
      </c>
      <c r="N638" s="827">
        <f t="shared" si="235"/>
        <v>0</v>
      </c>
      <c r="O638" s="827">
        <f t="shared" si="235"/>
        <v>0</v>
      </c>
      <c r="P638" s="827">
        <f t="shared" si="235"/>
        <v>0</v>
      </c>
      <c r="Q638" s="827">
        <f t="shared" si="235"/>
        <v>0</v>
      </c>
      <c r="R638" s="827">
        <f t="shared" si="235"/>
        <v>0</v>
      </c>
      <c r="S638" s="827">
        <f t="shared" si="235"/>
        <v>0</v>
      </c>
      <c r="T638" s="827">
        <f t="shared" si="235"/>
        <v>0</v>
      </c>
      <c r="U638" s="827">
        <f t="shared" si="235"/>
        <v>4.1727358625740237E-2</v>
      </c>
      <c r="V638" s="827">
        <f t="shared" si="235"/>
        <v>0</v>
      </c>
      <c r="W638" s="827">
        <f t="shared" si="235"/>
        <v>0</v>
      </c>
      <c r="X638" s="827">
        <f>X628/X$629</f>
        <v>0.10207405859020728</v>
      </c>
      <c r="Y638" s="827">
        <f t="shared" si="235"/>
        <v>0</v>
      </c>
      <c r="Z638" s="827">
        <f t="shared" si="235"/>
        <v>0</v>
      </c>
      <c r="AA638" s="827">
        <f t="shared" si="235"/>
        <v>0</v>
      </c>
      <c r="AB638" s="827">
        <f t="shared" si="235"/>
        <v>0</v>
      </c>
      <c r="AC638" s="827">
        <f t="shared" si="235"/>
        <v>0</v>
      </c>
    </row>
    <row r="639" spans="1:29" s="714" customFormat="1">
      <c r="A639" s="826"/>
      <c r="B639" s="826" t="s">
        <v>16</v>
      </c>
      <c r="C639" s="804">
        <f>SUM(C635:C638)</f>
        <v>0.99999999999999989</v>
      </c>
      <c r="D639" s="804">
        <f t="shared" ref="D639:AC639" si="236">SUM(D635:D638)</f>
        <v>0.99999999999999989</v>
      </c>
      <c r="E639" s="804">
        <f t="shared" si="236"/>
        <v>1</v>
      </c>
      <c r="F639" s="804">
        <f t="shared" si="236"/>
        <v>0.99999999999999989</v>
      </c>
      <c r="G639" s="804">
        <f t="shared" si="236"/>
        <v>1.0000000000000002</v>
      </c>
      <c r="H639" s="804">
        <f t="shared" si="236"/>
        <v>1</v>
      </c>
      <c r="I639" s="804">
        <f t="shared" si="236"/>
        <v>1</v>
      </c>
      <c r="J639" s="804">
        <f t="shared" si="236"/>
        <v>1</v>
      </c>
      <c r="K639" s="804">
        <f t="shared" si="236"/>
        <v>1</v>
      </c>
      <c r="L639" s="804">
        <f t="shared" si="236"/>
        <v>1</v>
      </c>
      <c r="M639" s="804">
        <f t="shared" si="236"/>
        <v>1</v>
      </c>
      <c r="N639" s="804">
        <f t="shared" si="236"/>
        <v>1</v>
      </c>
      <c r="O639" s="804">
        <f t="shared" si="236"/>
        <v>1</v>
      </c>
      <c r="P639" s="804">
        <f t="shared" si="236"/>
        <v>1</v>
      </c>
      <c r="Q639" s="804">
        <f t="shared" si="236"/>
        <v>0.99999999999999989</v>
      </c>
      <c r="R639" s="804">
        <f t="shared" si="236"/>
        <v>1</v>
      </c>
      <c r="S639" s="804">
        <f t="shared" si="236"/>
        <v>1</v>
      </c>
      <c r="T639" s="804">
        <f t="shared" si="236"/>
        <v>1</v>
      </c>
      <c r="U639" s="804">
        <f t="shared" si="236"/>
        <v>1</v>
      </c>
      <c r="V639" s="804">
        <f t="shared" si="236"/>
        <v>1</v>
      </c>
      <c r="W639" s="804">
        <f t="shared" si="236"/>
        <v>0.99999999999999989</v>
      </c>
      <c r="X639" s="804">
        <f t="shared" si="236"/>
        <v>1</v>
      </c>
      <c r="Y639" s="804">
        <f t="shared" si="236"/>
        <v>1</v>
      </c>
      <c r="Z639" s="804">
        <f t="shared" si="236"/>
        <v>1</v>
      </c>
      <c r="AA639" s="804">
        <f t="shared" si="236"/>
        <v>1</v>
      </c>
      <c r="AB639" s="804">
        <f t="shared" si="236"/>
        <v>1</v>
      </c>
      <c r="AC639" s="804">
        <f t="shared" si="236"/>
        <v>1</v>
      </c>
    </row>
    <row r="640" spans="1:29" s="459" customFormat="1">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row>
    <row r="641" spans="1:32" s="714" customFormat="1">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row>
    <row r="642" spans="1:3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row>
    <row r="643" spans="1:32" s="520" customFormat="1" ht="18">
      <c r="A643" s="522" t="s">
        <v>741</v>
      </c>
    </row>
    <row r="644" spans="1:32">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c r="AD644" s="459"/>
      <c r="AE644" s="459"/>
      <c r="AF644" s="459"/>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ht="15.6">
      <c r="A646" s="401" t="s">
        <v>742</v>
      </c>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132" t="s">
        <v>118</v>
      </c>
      <c r="B647" s="132" t="str">
        <f t="shared" ref="B647:AC647" si="237">B504</f>
        <v>Unit</v>
      </c>
      <c r="C647" s="132" t="str">
        <f t="shared" si="237"/>
        <v>IE</v>
      </c>
      <c r="D647" s="132" t="str">
        <f t="shared" si="237"/>
        <v>IE-CW</v>
      </c>
      <c r="E647" s="132" t="str">
        <f t="shared" si="237"/>
        <v>IE-D</v>
      </c>
      <c r="F647" s="132" t="str">
        <f t="shared" si="237"/>
        <v>IE-KE</v>
      </c>
      <c r="G647" s="132" t="str">
        <f t="shared" si="237"/>
        <v>IE-KK</v>
      </c>
      <c r="H647" s="132" t="str">
        <f t="shared" si="237"/>
        <v>IE-LS</v>
      </c>
      <c r="I647" s="132" t="str">
        <f t="shared" si="237"/>
        <v>IE-LD</v>
      </c>
      <c r="J647" s="132" t="str">
        <f t="shared" si="237"/>
        <v>IE-LH</v>
      </c>
      <c r="K647" s="132" t="str">
        <f t="shared" si="237"/>
        <v>IE-MH</v>
      </c>
      <c r="L647" s="132" t="str">
        <f t="shared" si="237"/>
        <v>IE-OY</v>
      </c>
      <c r="M647" s="132" t="str">
        <f t="shared" si="237"/>
        <v>IE-WH</v>
      </c>
      <c r="N647" s="132" t="str">
        <f t="shared" si="237"/>
        <v>IE-WX</v>
      </c>
      <c r="O647" s="132" t="str">
        <f t="shared" si="237"/>
        <v>IE-WW</v>
      </c>
      <c r="P647" s="132" t="str">
        <f t="shared" si="237"/>
        <v>IE-CE</v>
      </c>
      <c r="Q647" s="132" t="str">
        <f t="shared" si="237"/>
        <v>IE-CO</v>
      </c>
      <c r="R647" s="132" t="str">
        <f t="shared" si="237"/>
        <v>IE-KY</v>
      </c>
      <c r="S647" s="132" t="str">
        <f t="shared" si="237"/>
        <v>IE-LK</v>
      </c>
      <c r="T647" s="132" t="str">
        <f t="shared" si="237"/>
        <v>IE-TA</v>
      </c>
      <c r="U647" s="132" t="str">
        <f t="shared" si="237"/>
        <v>IE-WD</v>
      </c>
      <c r="V647" s="132" t="str">
        <f t="shared" si="237"/>
        <v>IE-G</v>
      </c>
      <c r="W647" s="132" t="str">
        <f t="shared" si="237"/>
        <v>IE-LM</v>
      </c>
      <c r="X647" s="132" t="str">
        <f t="shared" si="237"/>
        <v>IE-MO</v>
      </c>
      <c r="Y647" s="132" t="str">
        <f t="shared" si="237"/>
        <v>IE-RN</v>
      </c>
      <c r="Z647" s="132" t="str">
        <f t="shared" si="237"/>
        <v>IE-SO</v>
      </c>
      <c r="AA647" s="132" t="str">
        <f t="shared" si="237"/>
        <v>IE-CN</v>
      </c>
      <c r="AB647" s="132" t="str">
        <f t="shared" si="237"/>
        <v>IE-DL</v>
      </c>
      <c r="AC647" s="132" t="str">
        <f t="shared" si="237"/>
        <v>IE-MN</v>
      </c>
      <c r="AD647" s="459"/>
      <c r="AE647" s="459"/>
      <c r="AF647" s="459"/>
    </row>
    <row r="648" spans="1:32">
      <c r="A648" s="459" t="str">
        <f>Commodities!C28</f>
        <v xml:space="preserve">Transport Demand: Turism fuel </v>
      </c>
      <c r="B648" s="459" t="s">
        <v>88</v>
      </c>
      <c r="C648" s="570">
        <f>'EB2018'!AM53*0.041868</f>
        <v>7.7245727925227738</v>
      </c>
      <c r="D648" s="6">
        <f t="shared" ref="D648:AC648" si="238">$C$648*C185</f>
        <v>9.2353600579585152E-2</v>
      </c>
      <c r="E648" s="6">
        <f t="shared" si="238"/>
        <v>2.1856505115455191</v>
      </c>
      <c r="F648" s="6">
        <f t="shared" si="238"/>
        <v>0.36094016622215996</v>
      </c>
      <c r="G648" s="6">
        <f t="shared" si="238"/>
        <v>0.16097155365547308</v>
      </c>
      <c r="H648" s="6">
        <f t="shared" si="238"/>
        <v>0.13739325701343924</v>
      </c>
      <c r="I648" s="6">
        <f t="shared" si="238"/>
        <v>6.6303111018221464E-2</v>
      </c>
      <c r="J648" s="6">
        <f t="shared" si="238"/>
        <v>0.20907225210952107</v>
      </c>
      <c r="K648" s="6">
        <f t="shared" si="238"/>
        <v>0.31639527280693819</v>
      </c>
      <c r="L648" s="6">
        <f t="shared" si="238"/>
        <v>0.12646629408390778</v>
      </c>
      <c r="M648" s="6">
        <f t="shared" si="238"/>
        <v>0.14400037102946978</v>
      </c>
      <c r="N648" s="6">
        <f t="shared" si="238"/>
        <v>0.24287511041201165</v>
      </c>
      <c r="O648" s="6">
        <f t="shared" si="238"/>
        <v>0.23103810796296309</v>
      </c>
      <c r="P648" s="6">
        <f t="shared" si="238"/>
        <v>0.19274182814699234</v>
      </c>
      <c r="Q648" s="6">
        <f t="shared" si="238"/>
        <v>0.88062626360286367</v>
      </c>
      <c r="R648" s="6">
        <f t="shared" si="238"/>
        <v>0.23960643014137542</v>
      </c>
      <c r="S648" s="6">
        <f t="shared" si="238"/>
        <v>0.3161600576013589</v>
      </c>
      <c r="T648" s="6">
        <f t="shared" si="238"/>
        <v>0.25882270135028718</v>
      </c>
      <c r="U648" s="6">
        <f t="shared" si="238"/>
        <v>0.18845766705778619</v>
      </c>
      <c r="V648" s="6">
        <f t="shared" si="238"/>
        <v>0.41861493463020066</v>
      </c>
      <c r="W648" s="6">
        <f t="shared" si="238"/>
        <v>5.1980938259190375E-2</v>
      </c>
      <c r="X648" s="6">
        <f t="shared" si="238"/>
        <v>0.21170504023817749</v>
      </c>
      <c r="Y648" s="6">
        <f t="shared" si="238"/>
        <v>0.10470158778558181</v>
      </c>
      <c r="Z648" s="6">
        <f t="shared" si="238"/>
        <v>0.10630916205267886</v>
      </c>
      <c r="AA648" s="6">
        <f t="shared" si="238"/>
        <v>0.1235707137945352</v>
      </c>
      <c r="AB648" s="6">
        <f t="shared" si="238"/>
        <v>0.25823709659708632</v>
      </c>
      <c r="AC648" s="6">
        <f t="shared" si="238"/>
        <v>9.9578762825448142E-2</v>
      </c>
      <c r="AD648" s="459"/>
      <c r="AE648" s="459"/>
      <c r="AF648" s="459"/>
    </row>
    <row r="649" spans="1:32">
      <c r="A649" s="459" t="str">
        <f>Commodities!C29</f>
        <v xml:space="preserve">Transport Demand: Navigation fuel </v>
      </c>
      <c r="B649" s="459" t="s">
        <v>88</v>
      </c>
      <c r="C649" s="570">
        <f>'EB2018'!AM54*0.041868</f>
        <v>3.513299808727715</v>
      </c>
      <c r="D649" s="6">
        <f t="shared" ref="D649:AC649" si="239">$C$649*C185</f>
        <v>4.2004379525771122E-2</v>
      </c>
      <c r="E649" s="6">
        <f t="shared" si="239"/>
        <v>0.99408028513777069</v>
      </c>
      <c r="F649" s="6">
        <f t="shared" si="239"/>
        <v>0.16416325549782509</v>
      </c>
      <c r="G649" s="6">
        <f t="shared" si="239"/>
        <v>7.3213282321037743E-2</v>
      </c>
      <c r="H649" s="6">
        <f t="shared" si="239"/>
        <v>6.2489372105217399E-2</v>
      </c>
      <c r="I649" s="6">
        <f t="shared" si="239"/>
        <v>3.0156063450376649E-2</v>
      </c>
      <c r="J649" s="6">
        <f t="shared" si="239"/>
        <v>9.5090501840783506E-2</v>
      </c>
      <c r="K649" s="6">
        <f t="shared" si="239"/>
        <v>0.14390329165011773</v>
      </c>
      <c r="L649" s="6">
        <f t="shared" si="239"/>
        <v>5.7519557229829314E-2</v>
      </c>
      <c r="M649" s="6">
        <f t="shared" si="239"/>
        <v>6.5494427922832554E-2</v>
      </c>
      <c r="N649" s="6">
        <f t="shared" si="239"/>
        <v>0.11046475991283469</v>
      </c>
      <c r="O649" s="6">
        <f t="shared" si="239"/>
        <v>0.10508103973087109</v>
      </c>
      <c r="P649" s="6">
        <f t="shared" si="239"/>
        <v>8.766307809515822E-2</v>
      </c>
      <c r="Q649" s="6">
        <f t="shared" si="239"/>
        <v>0.40052753292342302</v>
      </c>
      <c r="R649" s="6">
        <f t="shared" si="239"/>
        <v>0.10897809468511692</v>
      </c>
      <c r="S649" s="6">
        <f t="shared" si="239"/>
        <v>0.1437963107776517</v>
      </c>
      <c r="T649" s="6">
        <f t="shared" si="239"/>
        <v>0.11771806306603248</v>
      </c>
      <c r="U649" s="6">
        <f t="shared" si="239"/>
        <v>8.5714550618035304E-2</v>
      </c>
      <c r="V649" s="6">
        <f t="shared" si="239"/>
        <v>0.19039496542649909</v>
      </c>
      <c r="W649" s="6">
        <f t="shared" si="239"/>
        <v>2.3642035015875255E-2</v>
      </c>
      <c r="X649" s="6">
        <f t="shared" si="239"/>
        <v>9.6287949813282744E-2</v>
      </c>
      <c r="Y649" s="6">
        <f t="shared" si="239"/>
        <v>4.7620506430678201E-2</v>
      </c>
      <c r="Z649" s="6">
        <f t="shared" si="239"/>
        <v>4.8351665359049577E-2</v>
      </c>
      <c r="AA649" s="6">
        <f t="shared" si="239"/>
        <v>5.6202585799816289E-2</v>
      </c>
      <c r="AB649" s="6">
        <f t="shared" si="239"/>
        <v>0.11745171758354803</v>
      </c>
      <c r="AC649" s="6">
        <f t="shared" si="239"/>
        <v>4.529053680827981E-2</v>
      </c>
      <c r="AD649" s="459"/>
      <c r="AE649" s="459"/>
      <c r="AF649" s="459"/>
    </row>
    <row r="650" spans="1:32">
      <c r="A650" s="458" t="str">
        <f>Commodities!C30</f>
        <v>Transport Demand: Unspecified fuel</v>
      </c>
      <c r="B650" s="458" t="s">
        <v>88</v>
      </c>
      <c r="C650" s="574">
        <f>'EB2018'!AM55*0.041868</f>
        <v>22.296388375177408</v>
      </c>
      <c r="D650" s="516">
        <f t="shared" ref="D650:AC650" si="240">$C$650*C185</f>
        <v>0.26657160229775501</v>
      </c>
      <c r="E650" s="516">
        <f t="shared" si="240"/>
        <v>6.3087129821594452</v>
      </c>
      <c r="F650" s="516">
        <f t="shared" si="240"/>
        <v>1.0418261750449602</v>
      </c>
      <c r="G650" s="516">
        <f t="shared" si="240"/>
        <v>0.46463207403939483</v>
      </c>
      <c r="H650" s="516">
        <f t="shared" si="240"/>
        <v>0.39657512470689521</v>
      </c>
      <c r="I650" s="516">
        <f t="shared" si="240"/>
        <v>0.19137885724576939</v>
      </c>
      <c r="J650" s="516">
        <f t="shared" si="240"/>
        <v>0.60347106004608764</v>
      </c>
      <c r="K650" s="516">
        <f t="shared" si="240"/>
        <v>0.91325074823584851</v>
      </c>
      <c r="L650" s="516">
        <f t="shared" si="240"/>
        <v>0.36503528220921938</v>
      </c>
      <c r="M650" s="516">
        <f t="shared" si="240"/>
        <v>0.41564605381809372</v>
      </c>
      <c r="N650" s="516">
        <f t="shared" si="240"/>
        <v>0.7010404243522883</v>
      </c>
      <c r="O650" s="516">
        <f t="shared" si="240"/>
        <v>0.66687382240669146</v>
      </c>
      <c r="P650" s="516">
        <f t="shared" si="240"/>
        <v>0.55633454068383958</v>
      </c>
      <c r="Q650" s="516">
        <f t="shared" si="240"/>
        <v>2.5418603350695159</v>
      </c>
      <c r="R650" s="516">
        <f t="shared" si="240"/>
        <v>0.69160562883078947</v>
      </c>
      <c r="S650" s="516">
        <f t="shared" si="240"/>
        <v>0.91257181754075312</v>
      </c>
      <c r="T650" s="516">
        <f t="shared" si="240"/>
        <v>0.74707192547976031</v>
      </c>
      <c r="U650" s="516">
        <f t="shared" si="240"/>
        <v>0.54396863747179069</v>
      </c>
      <c r="V650" s="516">
        <f t="shared" si="240"/>
        <v>1.2082999814823661</v>
      </c>
      <c r="W650" s="516">
        <f t="shared" si="240"/>
        <v>0.15003900133543985</v>
      </c>
      <c r="X650" s="516">
        <f t="shared" si="240"/>
        <v>0.61107040155050096</v>
      </c>
      <c r="Y650" s="516">
        <f t="shared" si="240"/>
        <v>0.30221312264993849</v>
      </c>
      <c r="Z650" s="516">
        <f t="shared" si="240"/>
        <v>0.3068532627798668</v>
      </c>
      <c r="AA650" s="516">
        <f t="shared" si="240"/>
        <v>0.35667741123856156</v>
      </c>
      <c r="AB650" s="516">
        <f t="shared" si="240"/>
        <v>0.74538162216300519</v>
      </c>
      <c r="AC650" s="516">
        <f t="shared" si="240"/>
        <v>0.28742648033882506</v>
      </c>
      <c r="AD650" s="459"/>
      <c r="AE650" s="459"/>
      <c r="AF650" s="459"/>
    </row>
    <row r="651" spans="1:32">
      <c r="A651" s="575" t="s">
        <v>753</v>
      </c>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row>
    <row r="654" spans="1:32">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c r="AD654" s="459"/>
      <c r="AE654" s="459"/>
      <c r="AF654" s="459"/>
    </row>
    <row r="655" spans="1:32">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c r="AD655" s="459"/>
      <c r="AE655" s="459"/>
      <c r="AF655" s="459"/>
    </row>
    <row r="656" spans="1:32" ht="18">
      <c r="A656" s="522" t="s">
        <v>95</v>
      </c>
      <c r="B656" s="520"/>
      <c r="C656" s="520"/>
      <c r="D656" s="520"/>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459"/>
      <c r="AE656" s="459"/>
      <c r="AF656" s="459"/>
    </row>
    <row r="657" spans="1:32">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c r="AD657" s="459"/>
      <c r="AE657" s="459"/>
      <c r="AF657" s="459"/>
    </row>
    <row r="658" spans="1:32">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c r="AD658" s="459"/>
      <c r="AE658" s="459"/>
      <c r="AF658" s="459"/>
    </row>
    <row r="659" spans="1:32" ht="15.6">
      <c r="A659" s="401" t="s">
        <v>742</v>
      </c>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c r="A660" s="132" t="s">
        <v>118</v>
      </c>
      <c r="B660" s="132" t="str">
        <f>B647</f>
        <v>Unit</v>
      </c>
      <c r="C660" s="132" t="str">
        <f t="shared" ref="C660:AC660" si="241">C647</f>
        <v>IE</v>
      </c>
      <c r="D660" s="132" t="str">
        <f t="shared" si="241"/>
        <v>IE-CW</v>
      </c>
      <c r="E660" s="535" t="str">
        <f t="shared" si="241"/>
        <v>IE-D</v>
      </c>
      <c r="F660" s="132" t="str">
        <f t="shared" si="241"/>
        <v>IE-KE</v>
      </c>
      <c r="G660" s="132" t="str">
        <f t="shared" si="241"/>
        <v>IE-KK</v>
      </c>
      <c r="H660" s="132" t="str">
        <f t="shared" si="241"/>
        <v>IE-LS</v>
      </c>
      <c r="I660" s="132" t="str">
        <f t="shared" si="241"/>
        <v>IE-LD</v>
      </c>
      <c r="J660" s="132" t="str">
        <f t="shared" si="241"/>
        <v>IE-LH</v>
      </c>
      <c r="K660" s="132" t="str">
        <f t="shared" si="241"/>
        <v>IE-MH</v>
      </c>
      <c r="L660" s="132" t="str">
        <f t="shared" si="241"/>
        <v>IE-OY</v>
      </c>
      <c r="M660" s="132" t="str">
        <f t="shared" si="241"/>
        <v>IE-WH</v>
      </c>
      <c r="N660" s="132" t="str">
        <f t="shared" si="241"/>
        <v>IE-WX</v>
      </c>
      <c r="O660" s="132" t="str">
        <f t="shared" si="241"/>
        <v>IE-WW</v>
      </c>
      <c r="P660" s="535" t="str">
        <f t="shared" si="241"/>
        <v>IE-CE</v>
      </c>
      <c r="Q660" s="535" t="str">
        <f t="shared" si="241"/>
        <v>IE-CO</v>
      </c>
      <c r="R660" s="535" t="str">
        <f t="shared" si="241"/>
        <v>IE-KY</v>
      </c>
      <c r="S660" s="132" t="str">
        <f t="shared" si="241"/>
        <v>IE-LK</v>
      </c>
      <c r="T660" s="132" t="str">
        <f t="shared" si="241"/>
        <v>IE-TA</v>
      </c>
      <c r="U660" s="132" t="str">
        <f t="shared" si="241"/>
        <v>IE-WD</v>
      </c>
      <c r="V660" s="132" t="str">
        <f t="shared" si="241"/>
        <v>IE-G</v>
      </c>
      <c r="W660" s="132" t="str">
        <f t="shared" si="241"/>
        <v>IE-LM</v>
      </c>
      <c r="X660" s="535" t="str">
        <f t="shared" si="241"/>
        <v>IE-MO</v>
      </c>
      <c r="Y660" s="132" t="str">
        <f t="shared" si="241"/>
        <v>IE-RN</v>
      </c>
      <c r="Z660" s="132" t="str">
        <f t="shared" si="241"/>
        <v>IE-SO</v>
      </c>
      <c r="AA660" s="132" t="str">
        <f t="shared" si="241"/>
        <v>IE-CN</v>
      </c>
      <c r="AB660" s="132" t="str">
        <f t="shared" si="241"/>
        <v>IE-DL</v>
      </c>
      <c r="AC660" s="132" t="str">
        <f t="shared" si="241"/>
        <v>IE-MN</v>
      </c>
      <c r="AD660" s="459"/>
      <c r="AE660" s="459"/>
      <c r="AF660" s="459"/>
    </row>
    <row r="661" spans="1:32">
      <c r="A661" s="507" t="str">
        <f>Commodities!C31</f>
        <v>Transport Demand: Aviation domestic</v>
      </c>
      <c r="B661" s="459" t="s">
        <v>88</v>
      </c>
      <c r="C661" s="584">
        <f>'EB2018'!AM51*0.041868</f>
        <v>0.2334932002865788</v>
      </c>
      <c r="D661" s="135">
        <v>0</v>
      </c>
      <c r="E661" s="5">
        <f>C661*D681</f>
        <v>0.13599128494106466</v>
      </c>
      <c r="F661" s="135">
        <v>0</v>
      </c>
      <c r="G661" s="135">
        <v>0</v>
      </c>
      <c r="H661" s="135">
        <v>0</v>
      </c>
      <c r="I661" s="135">
        <v>0</v>
      </c>
      <c r="J661" s="135">
        <v>0</v>
      </c>
      <c r="K661" s="135">
        <v>0</v>
      </c>
      <c r="L661" s="135">
        <v>0</v>
      </c>
      <c r="M661" s="135">
        <v>0</v>
      </c>
      <c r="N661" s="135">
        <v>0</v>
      </c>
      <c r="O661" s="135">
        <v>0</v>
      </c>
      <c r="P661" s="5">
        <f>C661*G681</f>
        <v>4.7489540821759567E-2</v>
      </c>
      <c r="Q661" s="10">
        <f>C661*C681</f>
        <v>4.7056267691773237E-4</v>
      </c>
      <c r="R661" s="38">
        <f>C661*E681</f>
        <v>4.7235778638893708E-2</v>
      </c>
      <c r="S661" s="135">
        <v>0</v>
      </c>
      <c r="T661" s="135">
        <v>0</v>
      </c>
      <c r="U661" s="135">
        <v>0</v>
      </c>
      <c r="V661" s="135">
        <v>0</v>
      </c>
      <c r="W661" s="135">
        <v>0</v>
      </c>
      <c r="X661" s="10">
        <f>C661*F681</f>
        <v>9.4112535383546466E-5</v>
      </c>
      <c r="Y661" s="135">
        <v>0</v>
      </c>
      <c r="Z661" s="135">
        <v>0</v>
      </c>
      <c r="AA661" s="135">
        <v>0</v>
      </c>
      <c r="AB661" s="135">
        <v>0</v>
      </c>
      <c r="AC661" s="135">
        <v>0</v>
      </c>
      <c r="AD661" s="459"/>
      <c r="AE661" s="459"/>
      <c r="AF661" s="459"/>
    </row>
    <row r="662" spans="1:32">
      <c r="A662" s="458" t="str">
        <f>Commodities!C32</f>
        <v>Transport Demand: Aviation international</v>
      </c>
      <c r="B662" s="458" t="s">
        <v>88</v>
      </c>
      <c r="C662" s="574">
        <f>'EB2018'!AM52*0.041868</f>
        <v>45.935836654432045</v>
      </c>
      <c r="D662" s="508">
        <v>0</v>
      </c>
      <c r="E662" s="516">
        <f>$C$662*D709</f>
        <v>40.411547456014475</v>
      </c>
      <c r="F662" s="508">
        <v>0</v>
      </c>
      <c r="G662" s="508">
        <v>0</v>
      </c>
      <c r="H662" s="508">
        <v>0</v>
      </c>
      <c r="I662" s="508">
        <v>0</v>
      </c>
      <c r="J662" s="508">
        <v>0</v>
      </c>
      <c r="K662" s="508">
        <v>0</v>
      </c>
      <c r="L662" s="508">
        <v>0</v>
      </c>
      <c r="M662" s="508">
        <v>0</v>
      </c>
      <c r="N662" s="508">
        <v>0</v>
      </c>
      <c r="O662" s="508">
        <v>0</v>
      </c>
      <c r="P662" s="516">
        <f>$C$662*G709</f>
        <v>2.3928132767411885</v>
      </c>
      <c r="Q662" s="516">
        <f>$C$662*C709</f>
        <v>2.2124403851853933</v>
      </c>
      <c r="R662" s="516">
        <f>$C$662*E709</f>
        <v>0.2411025265315139</v>
      </c>
      <c r="S662" s="508">
        <v>0</v>
      </c>
      <c r="T662" s="508">
        <v>0</v>
      </c>
      <c r="U662" s="508">
        <v>0</v>
      </c>
      <c r="V662" s="508">
        <v>0</v>
      </c>
      <c r="W662" s="508">
        <v>0</v>
      </c>
      <c r="X662" s="516">
        <f>$C$662*F709</f>
        <v>0.68832808501139164</v>
      </c>
      <c r="Y662" s="508">
        <v>0</v>
      </c>
      <c r="Z662" s="508">
        <v>0</v>
      </c>
      <c r="AA662" s="508">
        <v>0</v>
      </c>
      <c r="AB662" s="508">
        <v>0</v>
      </c>
      <c r="AC662" s="508">
        <v>0</v>
      </c>
      <c r="AD662" s="459"/>
      <c r="AE662" s="459"/>
      <c r="AF662" s="459"/>
    </row>
    <row r="663" spans="1:32">
      <c r="A663" s="575" t="s">
        <v>769</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s="459" customFormat="1">
      <c r="A664" s="575"/>
    </row>
    <row r="665" spans="1:32">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c r="AD665" s="459"/>
      <c r="AE665" s="459"/>
      <c r="AF665" s="459"/>
    </row>
    <row r="666" spans="1:32">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c r="AD666" s="459"/>
      <c r="AE666" s="459"/>
      <c r="AF666" s="459"/>
    </row>
    <row r="667" spans="1:32">
      <c r="A667" s="459" t="s">
        <v>760</v>
      </c>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c r="AD667" s="459"/>
      <c r="AE667" s="459"/>
      <c r="AF667" s="459"/>
    </row>
    <row r="668" spans="1:32">
      <c r="A668" s="132" t="s">
        <v>761</v>
      </c>
      <c r="B668" s="132" t="s">
        <v>754</v>
      </c>
      <c r="C668" s="132" t="s">
        <v>385</v>
      </c>
      <c r="D668" s="132" t="s">
        <v>373</v>
      </c>
      <c r="E668" s="132" t="s">
        <v>386</v>
      </c>
      <c r="F668" s="132" t="s">
        <v>755</v>
      </c>
      <c r="G668" s="132" t="s">
        <v>756</v>
      </c>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t="s">
        <v>757</v>
      </c>
      <c r="B669" s="39">
        <v>165.4</v>
      </c>
      <c r="C669" s="577">
        <v>1</v>
      </c>
      <c r="D669" s="39">
        <v>99.7</v>
      </c>
      <c r="E669" s="39">
        <v>57.5</v>
      </c>
      <c r="F669" s="39">
        <v>0.2</v>
      </c>
      <c r="G669" s="39">
        <v>7</v>
      </c>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t="s">
        <v>758</v>
      </c>
      <c r="B670" s="39">
        <v>10.1</v>
      </c>
      <c r="C670" s="39">
        <v>0</v>
      </c>
      <c r="D670" s="39">
        <v>5.2</v>
      </c>
      <c r="E670" s="39">
        <v>0</v>
      </c>
      <c r="F670" s="576">
        <v>0</v>
      </c>
      <c r="G670" s="39">
        <v>4.8</v>
      </c>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8" t="s">
        <v>759</v>
      </c>
      <c r="B671" s="457">
        <v>5.4</v>
      </c>
      <c r="C671" s="457">
        <v>0</v>
      </c>
      <c r="D671" s="457">
        <v>3.4</v>
      </c>
      <c r="E671" s="457">
        <v>1.4</v>
      </c>
      <c r="F671" s="457">
        <v>0</v>
      </c>
      <c r="G671" s="457">
        <v>0.5</v>
      </c>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21" t="s">
        <v>762</v>
      </c>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s="459" customFormat="1">
      <c r="A673" s="21"/>
    </row>
    <row r="674" spans="1:32" s="459" customFormat="1">
      <c r="A674" s="21"/>
    </row>
    <row r="675" spans="1:32" s="459" customFormat="1">
      <c r="A675" s="21"/>
    </row>
    <row r="676" spans="1:32" s="459" customFormat="1">
      <c r="A676" s="459" t="s">
        <v>765</v>
      </c>
    </row>
    <row r="677" spans="1:32" s="459" customFormat="1">
      <c r="A677" s="132" t="s">
        <v>761</v>
      </c>
      <c r="B677" s="132" t="s">
        <v>754</v>
      </c>
      <c r="C677" s="132" t="s">
        <v>385</v>
      </c>
      <c r="D677" s="132" t="s">
        <v>373</v>
      </c>
      <c r="E677" s="132" t="s">
        <v>386</v>
      </c>
      <c r="F677" s="132" t="s">
        <v>755</v>
      </c>
      <c r="G677" s="132" t="s">
        <v>756</v>
      </c>
    </row>
    <row r="678" spans="1:32" s="459" customFormat="1">
      <c r="A678" s="459" t="s">
        <v>757</v>
      </c>
      <c r="B678" s="578">
        <f>B669/$B669</f>
        <v>1</v>
      </c>
      <c r="C678" s="578">
        <f>C669/$B669</f>
        <v>6.0459492140266021E-3</v>
      </c>
      <c r="D678" s="578">
        <f t="shared" ref="D678:G678" si="242">D669/$B669</f>
        <v>0.60278113663845223</v>
      </c>
      <c r="E678" s="578">
        <f t="shared" si="242"/>
        <v>0.34764207980652961</v>
      </c>
      <c r="F678" s="580">
        <f t="shared" si="242"/>
        <v>1.2091898428053204E-3</v>
      </c>
      <c r="G678" s="578">
        <f t="shared" si="242"/>
        <v>4.2321644498186213E-2</v>
      </c>
    </row>
    <row r="679" spans="1:32" s="459" customFormat="1">
      <c r="A679" s="459" t="s">
        <v>758</v>
      </c>
      <c r="B679" s="578">
        <f t="shared" ref="B679" si="243">B670/$B670</f>
        <v>1</v>
      </c>
      <c r="C679" s="578">
        <f t="shared" ref="C679:G679" si="244">C670/$B670</f>
        <v>0</v>
      </c>
      <c r="D679" s="578">
        <f t="shared" si="244"/>
        <v>0.51485148514851486</v>
      </c>
      <c r="E679" s="578">
        <f t="shared" si="244"/>
        <v>0</v>
      </c>
      <c r="F679" s="578">
        <f t="shared" si="244"/>
        <v>0</v>
      </c>
      <c r="G679" s="578">
        <f t="shared" si="244"/>
        <v>0.47524752475247523</v>
      </c>
    </row>
    <row r="680" spans="1:32" s="459" customFormat="1">
      <c r="A680" s="1" t="s">
        <v>759</v>
      </c>
      <c r="B680" s="583">
        <f t="shared" ref="B680" si="245">B671/$B671</f>
        <v>1</v>
      </c>
      <c r="C680" s="583">
        <f t="shared" ref="C680:G680" si="246">C671/$B671</f>
        <v>0</v>
      </c>
      <c r="D680" s="583">
        <f>D671/$B671</f>
        <v>0.62962962962962954</v>
      </c>
      <c r="E680" s="583">
        <f t="shared" si="246"/>
        <v>0.25925925925925924</v>
      </c>
      <c r="F680" s="583">
        <f t="shared" si="246"/>
        <v>0</v>
      </c>
      <c r="G680" s="583">
        <f t="shared" si="246"/>
        <v>9.2592592592592587E-2</v>
      </c>
    </row>
    <row r="681" spans="1:32" s="459" customFormat="1">
      <c r="A681" s="458" t="s">
        <v>768</v>
      </c>
      <c r="B681" s="579"/>
      <c r="C681" s="407">
        <f>AVERAGE(C678:C680)</f>
        <v>2.015316404675534E-3</v>
      </c>
      <c r="D681" s="407">
        <f t="shared" ref="D681:G681" si="247">AVERAGE(D678:D680)</f>
        <v>0.58242075047219888</v>
      </c>
      <c r="E681" s="407">
        <f t="shared" si="247"/>
        <v>0.20230044635526298</v>
      </c>
      <c r="F681" s="407">
        <f t="shared" si="247"/>
        <v>4.0306328093510677E-4</v>
      </c>
      <c r="G681" s="407">
        <f t="shared" si="247"/>
        <v>0.20338725394775134</v>
      </c>
    </row>
    <row r="682" spans="1:32">
      <c r="A682" s="21" t="s">
        <v>766</v>
      </c>
      <c r="B682" s="459"/>
      <c r="C682" s="7"/>
      <c r="D682" s="7"/>
      <c r="E682" s="7"/>
      <c r="F682" s="7"/>
      <c r="G682" s="7"/>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4" spans="1:32" s="459" customFormat="1"/>
    <row r="686" spans="1:32">
      <c r="A686" s="459" t="s">
        <v>763</v>
      </c>
      <c r="B686" s="459"/>
      <c r="C686" s="459"/>
      <c r="D686" s="459"/>
      <c r="E686" s="459"/>
      <c r="F686" s="459"/>
      <c r="G686" s="459"/>
    </row>
    <row r="687" spans="1:32">
      <c r="A687" s="132" t="s">
        <v>761</v>
      </c>
      <c r="B687" s="132" t="s">
        <v>754</v>
      </c>
      <c r="C687" s="132" t="s">
        <v>385</v>
      </c>
      <c r="D687" s="132" t="s">
        <v>373</v>
      </c>
      <c r="E687" s="132" t="s">
        <v>386</v>
      </c>
      <c r="F687" s="132" t="s">
        <v>755</v>
      </c>
      <c r="G687" s="132" t="s">
        <v>756</v>
      </c>
    </row>
    <row r="688" spans="1:32">
      <c r="A688" s="459" t="s">
        <v>757</v>
      </c>
      <c r="B688" s="459">
        <v>36521.1</v>
      </c>
      <c r="C688" s="459">
        <v>2387.8000000000002</v>
      </c>
      <c r="D688" s="459">
        <v>31319.4</v>
      </c>
      <c r="E688" s="459">
        <v>365.3</v>
      </c>
      <c r="F688" s="459">
        <v>770.9</v>
      </c>
      <c r="G688" s="459">
        <v>1677.7</v>
      </c>
    </row>
    <row r="689" spans="1:7">
      <c r="A689" s="459" t="s">
        <v>758</v>
      </c>
      <c r="B689" s="459">
        <v>157.4</v>
      </c>
      <c r="C689" s="459">
        <v>0.1</v>
      </c>
      <c r="D689" s="459">
        <v>143.69999999999999</v>
      </c>
      <c r="E689" s="459">
        <v>0</v>
      </c>
      <c r="F689" s="459">
        <v>0</v>
      </c>
      <c r="G689" s="459">
        <v>13.6</v>
      </c>
    </row>
    <row r="690" spans="1:7">
      <c r="A690" s="458" t="s">
        <v>759</v>
      </c>
      <c r="B690" s="458">
        <v>266.39999999999998</v>
      </c>
      <c r="C690" s="458">
        <v>20.399999999999999</v>
      </c>
      <c r="D690" s="458">
        <v>222.7</v>
      </c>
      <c r="E690" s="458">
        <v>3.3</v>
      </c>
      <c r="F690" s="458">
        <v>6.2</v>
      </c>
      <c r="G690" s="458">
        <v>13.7</v>
      </c>
    </row>
    <row r="691" spans="1:7">
      <c r="A691" s="21" t="s">
        <v>762</v>
      </c>
      <c r="B691" s="459"/>
      <c r="C691" s="459"/>
      <c r="D691" s="459"/>
      <c r="E691" s="459"/>
      <c r="F691" s="459"/>
      <c r="G691" s="459"/>
    </row>
    <row r="695" spans="1:7">
      <c r="A695" s="459" t="s">
        <v>764</v>
      </c>
      <c r="B695" s="459"/>
      <c r="C695" s="459"/>
      <c r="D695" s="459"/>
      <c r="E695" s="459"/>
      <c r="F695" s="459"/>
      <c r="G695" s="459"/>
    </row>
    <row r="696" spans="1:7">
      <c r="A696" s="132" t="s">
        <v>761</v>
      </c>
      <c r="B696" s="132" t="s">
        <v>754</v>
      </c>
      <c r="C696" s="132" t="s">
        <v>385</v>
      </c>
      <c r="D696" s="132" t="s">
        <v>373</v>
      </c>
      <c r="E696" s="132" t="s">
        <v>386</v>
      </c>
      <c r="F696" s="132" t="s">
        <v>755</v>
      </c>
      <c r="G696" s="132" t="s">
        <v>756</v>
      </c>
    </row>
    <row r="697" spans="1:7">
      <c r="A697" s="459" t="s">
        <v>757</v>
      </c>
      <c r="B697" s="459">
        <f>B688-B669</f>
        <v>36355.699999999997</v>
      </c>
      <c r="C697" s="459">
        <f t="shared" ref="C697:G697" si="248">C688-C669</f>
        <v>2386.8000000000002</v>
      </c>
      <c r="D697" s="459">
        <f t="shared" si="248"/>
        <v>31219.7</v>
      </c>
      <c r="E697" s="459">
        <f t="shared" si="248"/>
        <v>307.8</v>
      </c>
      <c r="F697" s="459">
        <f t="shared" si="248"/>
        <v>770.69999999999993</v>
      </c>
      <c r="G697" s="459">
        <f t="shared" si="248"/>
        <v>1670.7</v>
      </c>
    </row>
    <row r="698" spans="1:7">
      <c r="A698" s="459" t="s">
        <v>758</v>
      </c>
      <c r="B698" s="459">
        <f>B689-B670</f>
        <v>147.30000000000001</v>
      </c>
      <c r="C698" s="459">
        <f t="shared" ref="C698:G699" si="249">C689-C670</f>
        <v>0.1</v>
      </c>
      <c r="D698" s="459">
        <f t="shared" si="249"/>
        <v>138.5</v>
      </c>
      <c r="E698" s="459">
        <f t="shared" si="249"/>
        <v>0</v>
      </c>
      <c r="F698" s="459">
        <f t="shared" si="249"/>
        <v>0</v>
      </c>
      <c r="G698" s="459">
        <f t="shared" si="249"/>
        <v>8.8000000000000007</v>
      </c>
    </row>
    <row r="699" spans="1:7">
      <c r="A699" s="458" t="s">
        <v>759</v>
      </c>
      <c r="B699" s="458">
        <f>B690-B671</f>
        <v>261</v>
      </c>
      <c r="C699" s="458">
        <f t="shared" si="249"/>
        <v>20.399999999999999</v>
      </c>
      <c r="D699" s="458">
        <f t="shared" si="249"/>
        <v>219.29999999999998</v>
      </c>
      <c r="E699" s="458">
        <f t="shared" si="249"/>
        <v>1.9</v>
      </c>
      <c r="F699" s="458">
        <f t="shared" si="249"/>
        <v>6.2</v>
      </c>
      <c r="G699" s="458">
        <f t="shared" si="249"/>
        <v>13.2</v>
      </c>
    </row>
    <row r="700" spans="1:7">
      <c r="A700" s="21" t="s">
        <v>762</v>
      </c>
      <c r="B700" s="459"/>
      <c r="C700" s="459"/>
      <c r="D700" s="459"/>
      <c r="E700" s="459"/>
      <c r="F700" s="459"/>
      <c r="G700" s="459"/>
    </row>
    <row r="701" spans="1:7">
      <c r="C701" s="357"/>
      <c r="D701" s="357"/>
      <c r="E701" s="357"/>
      <c r="F701" s="357"/>
      <c r="G701" s="357"/>
    </row>
    <row r="702" spans="1:7">
      <c r="C702" s="357"/>
      <c r="D702" s="357"/>
      <c r="E702" s="357"/>
      <c r="F702" s="357"/>
      <c r="G702" s="357"/>
    </row>
    <row r="704" spans="1:7">
      <c r="A704" s="459" t="s">
        <v>767</v>
      </c>
      <c r="B704" s="459"/>
      <c r="C704" s="459"/>
      <c r="D704" s="459"/>
      <c r="E704" s="459"/>
      <c r="F704" s="459"/>
      <c r="G704" s="459"/>
    </row>
    <row r="705" spans="1:29">
      <c r="A705" s="132" t="s">
        <v>761</v>
      </c>
      <c r="B705" s="132" t="s">
        <v>754</v>
      </c>
      <c r="C705" s="132" t="s">
        <v>385</v>
      </c>
      <c r="D705" s="132" t="s">
        <v>373</v>
      </c>
      <c r="E705" s="132" t="s">
        <v>386</v>
      </c>
      <c r="F705" s="132" t="s">
        <v>755</v>
      </c>
      <c r="G705" s="132" t="s">
        <v>756</v>
      </c>
    </row>
    <row r="706" spans="1:29">
      <c r="A706" s="459" t="s">
        <v>757</v>
      </c>
      <c r="B706" s="578">
        <f>B697/$B697</f>
        <v>1</v>
      </c>
      <c r="C706" s="578">
        <f>C697/$B697</f>
        <v>6.5651328402423839E-2</v>
      </c>
      <c r="D706" s="578">
        <f t="shared" ref="D706:G706" si="250">D697/$B697</f>
        <v>0.85872916764083773</v>
      </c>
      <c r="E706" s="578">
        <f t="shared" si="250"/>
        <v>8.4663477804030746E-3</v>
      </c>
      <c r="F706" s="578">
        <f t="shared" si="250"/>
        <v>2.1198876654829918E-2</v>
      </c>
      <c r="G706" s="578">
        <f t="shared" si="250"/>
        <v>4.5954279521505575E-2</v>
      </c>
    </row>
    <row r="707" spans="1:29">
      <c r="A707" s="1" t="s">
        <v>758</v>
      </c>
      <c r="B707" s="583">
        <f t="shared" ref="B707" si="251">B698/$B698</f>
        <v>1</v>
      </c>
      <c r="C707" s="583">
        <f t="shared" ref="C707:G707" si="252">C698/$B698</f>
        <v>6.7888662593346908E-4</v>
      </c>
      <c r="D707" s="583">
        <f>D698/$B698</f>
        <v>0.94025797691785462</v>
      </c>
      <c r="E707" s="583">
        <f t="shared" si="252"/>
        <v>0</v>
      </c>
      <c r="F707" s="583">
        <f t="shared" si="252"/>
        <v>0</v>
      </c>
      <c r="G707" s="583">
        <f t="shared" si="252"/>
        <v>5.9742023082145282E-2</v>
      </c>
    </row>
    <row r="708" spans="1:29">
      <c r="A708" s="1" t="s">
        <v>759</v>
      </c>
      <c r="B708" s="583">
        <f t="shared" ref="B708" si="253">B699/$B699</f>
        <v>1</v>
      </c>
      <c r="C708" s="583">
        <f>C699/$B699</f>
        <v>7.8160919540229884E-2</v>
      </c>
      <c r="D708" s="583">
        <f>D699/$B699</f>
        <v>0.8402298850574712</v>
      </c>
      <c r="E708" s="583">
        <f t="shared" ref="E708:G708" si="254">E699/$B699</f>
        <v>7.2796934865900376E-3</v>
      </c>
      <c r="F708" s="583">
        <f t="shared" si="254"/>
        <v>2.3754789272030653E-2</v>
      </c>
      <c r="G708" s="583">
        <f t="shared" si="254"/>
        <v>5.057471264367816E-2</v>
      </c>
    </row>
    <row r="709" spans="1:29" s="459" customFormat="1">
      <c r="A709" s="458" t="s">
        <v>768</v>
      </c>
      <c r="B709" s="579"/>
      <c r="C709" s="407">
        <f>AVERAGE(C706:C708)</f>
        <v>4.8163711522862397E-2</v>
      </c>
      <c r="D709" s="407">
        <f t="shared" ref="D709:G709" si="255">AVERAGE(D706:D708)</f>
        <v>0.87973900987205456</v>
      </c>
      <c r="E709" s="407">
        <f t="shared" si="255"/>
        <v>5.2486804223310368E-3</v>
      </c>
      <c r="F709" s="407">
        <f t="shared" si="255"/>
        <v>1.4984555308953524E-2</v>
      </c>
      <c r="G709" s="407">
        <f t="shared" si="255"/>
        <v>5.2090338415776337E-2</v>
      </c>
    </row>
    <row r="710" spans="1:29">
      <c r="A710" s="21" t="s">
        <v>766</v>
      </c>
      <c r="B710" s="459"/>
      <c r="C710" s="459"/>
      <c r="D710" s="459"/>
      <c r="E710" s="459"/>
      <c r="F710" s="459"/>
      <c r="G710" s="459"/>
    </row>
    <row r="712" spans="1:29">
      <c r="B712" s="581" t="s">
        <v>754</v>
      </c>
      <c r="C712" s="581" t="s">
        <v>385</v>
      </c>
      <c r="D712" s="581" t="s">
        <v>373</v>
      </c>
      <c r="E712" s="581" t="s">
        <v>386</v>
      </c>
      <c r="F712" s="581" t="s">
        <v>755</v>
      </c>
      <c r="G712" s="581" t="s">
        <v>756</v>
      </c>
    </row>
    <row r="713" spans="1:29">
      <c r="B713" s="582" t="s">
        <v>727</v>
      </c>
      <c r="C713" s="582" t="s">
        <v>385</v>
      </c>
      <c r="D713" s="582" t="s">
        <v>373</v>
      </c>
      <c r="E713" s="582" t="s">
        <v>386</v>
      </c>
      <c r="F713" s="582" t="s">
        <v>392</v>
      </c>
      <c r="G713" s="582" t="s">
        <v>384</v>
      </c>
    </row>
    <row r="718" spans="1:2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row r="730" spans="1:29">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c r="AC730" s="459"/>
    </row>
    <row r="731" spans="1:29">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c r="AC731" s="459"/>
    </row>
    <row r="732" spans="1:29">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c r="AC732" s="459"/>
    </row>
    <row r="733" spans="1:29">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c r="AC733" s="459"/>
    </row>
    <row r="734" spans="1:29">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c r="AC734" s="459"/>
    </row>
    <row r="735" spans="1:29">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sheetData>
  <mergeCells count="41">
    <mergeCell ref="A440:A441"/>
    <mergeCell ref="A442:A443"/>
    <mergeCell ref="A444:A445"/>
    <mergeCell ref="A429:A430"/>
    <mergeCell ref="A431:A432"/>
    <mergeCell ref="A414:A415"/>
    <mergeCell ref="A416:A417"/>
    <mergeCell ref="A418:A419"/>
    <mergeCell ref="B99:C99"/>
    <mergeCell ref="C101:C105"/>
    <mergeCell ref="D101:D105"/>
    <mergeCell ref="B110:C110"/>
    <mergeCell ref="C112:C116"/>
    <mergeCell ref="D112:D116"/>
    <mergeCell ref="C75:C84"/>
    <mergeCell ref="B73:C73"/>
    <mergeCell ref="B89:C89"/>
    <mergeCell ref="C91:C94"/>
    <mergeCell ref="D91:D94"/>
    <mergeCell ref="D75:D84"/>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574:L574"/>
    <mergeCell ref="B592:F592"/>
    <mergeCell ref="A553:G553"/>
    <mergeCell ref="A565:G565"/>
    <mergeCell ref="A566:G566"/>
  </mergeCells>
  <phoneticPr fontId="37" type="noConversion"/>
  <pageMargins left="0.7" right="0.7" top="0.75" bottom="0.75" header="0.3" footer="0.3"/>
  <pageSetup paperSize="9" orientation="portrait" r:id="rId1"/>
  <ignoredErrors>
    <ignoredError sqref="C463:AC464 D462:AC462"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13" zoomScale="85" zoomScaleNormal="85" workbookViewId="0">
      <selection activeCell="F22" sqref="F2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66" t="s">
        <v>864</v>
      </c>
      <c r="B3" s="866"/>
      <c r="C3" s="866"/>
      <c r="D3" s="866"/>
    </row>
    <row r="4" spans="1:30" s="714" customFormat="1"/>
    <row r="5" spans="1:30" s="714" customFormat="1">
      <c r="D5" s="817"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0">
        <f>ROUNDUP(D70,3)*1.1</f>
        <v>5.0600000000000006E-2</v>
      </c>
      <c r="E28" s="810">
        <f t="shared" ref="E28:AD31" si="27">ROUNDUP(E70,3)*1.1</f>
        <v>4.8399999999999999E-2</v>
      </c>
      <c r="F28" s="810">
        <f t="shared" si="27"/>
        <v>5.0600000000000006E-2</v>
      </c>
      <c r="G28" s="810">
        <f t="shared" si="27"/>
        <v>4.5100000000000008E-2</v>
      </c>
      <c r="H28" s="810">
        <f t="shared" si="27"/>
        <v>6.2700000000000006E-2</v>
      </c>
      <c r="I28" s="810">
        <f t="shared" si="27"/>
        <v>5.7200000000000001E-2</v>
      </c>
      <c r="J28" s="810">
        <f t="shared" si="27"/>
        <v>4.4000000000000004E-2</v>
      </c>
      <c r="K28" s="810">
        <f t="shared" si="27"/>
        <v>5.3900000000000003E-2</v>
      </c>
      <c r="L28" s="810">
        <f t="shared" si="27"/>
        <v>4.4000000000000004E-2</v>
      </c>
      <c r="M28" s="810">
        <f t="shared" si="27"/>
        <v>4.8399999999999999E-2</v>
      </c>
      <c r="N28" s="810">
        <f t="shared" si="27"/>
        <v>4.2900000000000001E-2</v>
      </c>
      <c r="O28" s="810">
        <f t="shared" si="27"/>
        <v>5.3900000000000003E-2</v>
      </c>
      <c r="P28" s="810">
        <f t="shared" si="27"/>
        <v>4.9500000000000002E-2</v>
      </c>
      <c r="Q28" s="810">
        <f t="shared" si="27"/>
        <v>4.9500000000000002E-2</v>
      </c>
      <c r="R28" s="810">
        <f t="shared" si="27"/>
        <v>6.4900000000000013E-2</v>
      </c>
      <c r="S28" s="810">
        <f t="shared" si="27"/>
        <v>5.9400000000000001E-2</v>
      </c>
      <c r="T28" s="810">
        <f t="shared" si="27"/>
        <v>5.7200000000000001E-2</v>
      </c>
      <c r="U28" s="810">
        <f t="shared" si="27"/>
        <v>4.8399999999999999E-2</v>
      </c>
      <c r="V28" s="810">
        <f t="shared" si="27"/>
        <v>7.3700000000000015E-2</v>
      </c>
      <c r="W28" s="810">
        <f t="shared" si="27"/>
        <v>4.6200000000000005E-2</v>
      </c>
      <c r="X28" s="810">
        <f t="shared" si="27"/>
        <v>3.7400000000000003E-2</v>
      </c>
      <c r="Y28" s="810">
        <f t="shared" si="27"/>
        <v>3.6300000000000006E-2</v>
      </c>
      <c r="Z28" s="810">
        <f t="shared" si="27"/>
        <v>3.7400000000000003E-2</v>
      </c>
      <c r="AA28" s="810">
        <f t="shared" si="27"/>
        <v>4.4000000000000004E-2</v>
      </c>
      <c r="AB28" s="810">
        <f t="shared" si="27"/>
        <v>3.7400000000000003E-2</v>
      </c>
      <c r="AC28" s="810">
        <f t="shared" si="27"/>
        <v>4.6200000000000005E-2</v>
      </c>
      <c r="AD28" s="810">
        <f t="shared" si="27"/>
        <v>3.3000000000000008E-2</v>
      </c>
    </row>
    <row r="29" spans="1:30" s="714" customFormat="1">
      <c r="A29" s="480" t="str">
        <f>A71</f>
        <v>T-LGT-ICE_DST00</v>
      </c>
      <c r="B29" s="480" t="str">
        <f t="shared" ref="B29:C31" si="28">B71</f>
        <v>DEMO</v>
      </c>
      <c r="C29" s="480" t="str">
        <f t="shared" si="28"/>
        <v>tonne/vehicle</v>
      </c>
      <c r="D29" s="810">
        <f t="shared" ref="D29:S31" si="29">ROUNDUP(D71,3)*1.1</f>
        <v>5.0600000000000006E-2</v>
      </c>
      <c r="E29" s="810">
        <f t="shared" si="29"/>
        <v>4.8399999999999999E-2</v>
      </c>
      <c r="F29" s="810">
        <f t="shared" si="29"/>
        <v>5.0600000000000006E-2</v>
      </c>
      <c r="G29" s="810">
        <f t="shared" si="29"/>
        <v>4.5100000000000008E-2</v>
      </c>
      <c r="H29" s="810">
        <f t="shared" si="29"/>
        <v>6.2700000000000006E-2</v>
      </c>
      <c r="I29" s="810">
        <f t="shared" si="29"/>
        <v>5.7200000000000001E-2</v>
      </c>
      <c r="J29" s="810">
        <f t="shared" si="29"/>
        <v>4.4000000000000004E-2</v>
      </c>
      <c r="K29" s="810">
        <f t="shared" si="29"/>
        <v>5.3900000000000003E-2</v>
      </c>
      <c r="L29" s="810">
        <f t="shared" si="29"/>
        <v>4.4000000000000004E-2</v>
      </c>
      <c r="M29" s="810">
        <f t="shared" si="29"/>
        <v>4.8399999999999999E-2</v>
      </c>
      <c r="N29" s="810">
        <f t="shared" si="29"/>
        <v>4.2900000000000001E-2</v>
      </c>
      <c r="O29" s="810">
        <f t="shared" si="29"/>
        <v>5.3900000000000003E-2</v>
      </c>
      <c r="P29" s="810">
        <f t="shared" si="29"/>
        <v>4.9500000000000002E-2</v>
      </c>
      <c r="Q29" s="810">
        <f t="shared" si="29"/>
        <v>4.9500000000000002E-2</v>
      </c>
      <c r="R29" s="810">
        <f t="shared" si="29"/>
        <v>6.4900000000000013E-2</v>
      </c>
      <c r="S29" s="810">
        <f t="shared" si="29"/>
        <v>5.9400000000000001E-2</v>
      </c>
      <c r="T29" s="810">
        <f t="shared" si="27"/>
        <v>5.7200000000000001E-2</v>
      </c>
      <c r="U29" s="810">
        <f t="shared" si="27"/>
        <v>4.8399999999999999E-2</v>
      </c>
      <c r="V29" s="810">
        <f t="shared" si="27"/>
        <v>7.3700000000000015E-2</v>
      </c>
      <c r="W29" s="810">
        <f t="shared" si="27"/>
        <v>4.6200000000000005E-2</v>
      </c>
      <c r="X29" s="810">
        <f t="shared" si="27"/>
        <v>3.7400000000000003E-2</v>
      </c>
      <c r="Y29" s="810">
        <f t="shared" si="27"/>
        <v>3.6300000000000006E-2</v>
      </c>
      <c r="Z29" s="810">
        <f t="shared" si="27"/>
        <v>3.7400000000000003E-2</v>
      </c>
      <c r="AA29" s="810">
        <f t="shared" si="27"/>
        <v>4.4000000000000004E-2</v>
      </c>
      <c r="AB29" s="810">
        <f t="shared" si="27"/>
        <v>3.7400000000000003E-2</v>
      </c>
      <c r="AC29" s="810">
        <f t="shared" si="27"/>
        <v>4.6200000000000005E-2</v>
      </c>
      <c r="AD29" s="810">
        <f t="shared" si="27"/>
        <v>3.3000000000000008E-2</v>
      </c>
    </row>
    <row r="30" spans="1:30" s="714" customFormat="1">
      <c r="A30" s="480" t="str">
        <f>A72</f>
        <v>T-MGT-ICE_DST00</v>
      </c>
      <c r="B30" s="480" t="str">
        <f t="shared" si="28"/>
        <v>DEMO</v>
      </c>
      <c r="C30" s="480" t="str">
        <f t="shared" si="28"/>
        <v>tonne/vehicle</v>
      </c>
      <c r="D30" s="810">
        <f t="shared" si="29"/>
        <v>3.7664000000000004</v>
      </c>
      <c r="E30" s="810">
        <f t="shared" si="27"/>
        <v>3.8687</v>
      </c>
      <c r="F30" s="810">
        <f t="shared" si="27"/>
        <v>2.8028000000000004</v>
      </c>
      <c r="G30" s="810">
        <f t="shared" si="27"/>
        <v>3.4958</v>
      </c>
      <c r="H30" s="810">
        <f t="shared" si="27"/>
        <v>5.6188000000000011</v>
      </c>
      <c r="I30" s="810">
        <f t="shared" si="27"/>
        <v>4.0029000000000003</v>
      </c>
      <c r="J30" s="810">
        <f t="shared" si="27"/>
        <v>3.8632000000000004</v>
      </c>
      <c r="K30" s="810">
        <f t="shared" si="27"/>
        <v>2.5310999999999999</v>
      </c>
      <c r="L30" s="810">
        <f t="shared" si="27"/>
        <v>3.2824000000000004</v>
      </c>
      <c r="M30" s="810">
        <f t="shared" si="27"/>
        <v>5.5264000000000006</v>
      </c>
      <c r="N30" s="810">
        <f t="shared" si="27"/>
        <v>4.1943000000000001</v>
      </c>
      <c r="O30" s="810">
        <f t="shared" si="27"/>
        <v>3.9127000000000001</v>
      </c>
      <c r="P30" s="810">
        <f t="shared" si="27"/>
        <v>6.711100000000001</v>
      </c>
      <c r="Q30" s="810">
        <f t="shared" si="27"/>
        <v>6.6044000000000009</v>
      </c>
      <c r="R30" s="810">
        <f t="shared" si="27"/>
        <v>5.1964000000000006</v>
      </c>
      <c r="S30" s="810">
        <f t="shared" si="27"/>
        <v>6.8673000000000011</v>
      </c>
      <c r="T30" s="810">
        <f t="shared" si="27"/>
        <v>2.4628999999999999</v>
      </c>
      <c r="U30" s="810">
        <f t="shared" si="27"/>
        <v>4.0315000000000003</v>
      </c>
      <c r="V30" s="810">
        <f t="shared" si="27"/>
        <v>7.8936000000000011</v>
      </c>
      <c r="W30" s="810">
        <f t="shared" si="27"/>
        <v>4.3845999999999998</v>
      </c>
      <c r="X30" s="810">
        <f t="shared" si="27"/>
        <v>4.3857000000000008</v>
      </c>
      <c r="Y30" s="810">
        <f t="shared" si="27"/>
        <v>4.7520000000000007</v>
      </c>
      <c r="Z30" s="810">
        <f t="shared" si="27"/>
        <v>2.7423000000000002</v>
      </c>
      <c r="AA30" s="810">
        <f t="shared" si="27"/>
        <v>3.5882000000000005</v>
      </c>
      <c r="AB30" s="810">
        <f t="shared" si="27"/>
        <v>3.476</v>
      </c>
      <c r="AC30" s="810">
        <f t="shared" si="27"/>
        <v>5.4472000000000005</v>
      </c>
      <c r="AD30" s="810">
        <f t="shared" si="27"/>
        <v>2.101</v>
      </c>
    </row>
    <row r="31" spans="1:30" s="714" customFormat="1">
      <c r="A31" s="480" t="str">
        <f>A73</f>
        <v>T-HGT-ICE_DST00</v>
      </c>
      <c r="B31" s="480" t="str">
        <f t="shared" si="28"/>
        <v>DEMO</v>
      </c>
      <c r="C31" s="480" t="str">
        <f t="shared" si="28"/>
        <v>tonne/vehicle</v>
      </c>
      <c r="D31" s="810">
        <f t="shared" si="29"/>
        <v>9.7515000000000018</v>
      </c>
      <c r="E31" s="810">
        <f t="shared" si="27"/>
        <v>8.1653000000000002</v>
      </c>
      <c r="F31" s="810">
        <f t="shared" si="27"/>
        <v>12.860099999999999</v>
      </c>
      <c r="G31" s="810">
        <f t="shared" si="27"/>
        <v>7.495400000000001</v>
      </c>
      <c r="H31" s="810">
        <f t="shared" si="27"/>
        <v>6.9509000000000007</v>
      </c>
      <c r="I31" s="810">
        <f t="shared" si="27"/>
        <v>8.1873000000000005</v>
      </c>
      <c r="J31" s="810">
        <f t="shared" si="27"/>
        <v>6.8486000000000002</v>
      </c>
      <c r="K31" s="810">
        <f t="shared" si="27"/>
        <v>8.4128000000000007</v>
      </c>
      <c r="L31" s="810">
        <f t="shared" si="27"/>
        <v>5.6584000000000003</v>
      </c>
      <c r="M31" s="810">
        <f t="shared" si="27"/>
        <v>11.5258</v>
      </c>
      <c r="N31" s="810">
        <f t="shared" si="27"/>
        <v>13.943600000000002</v>
      </c>
      <c r="O31" s="810">
        <f t="shared" si="27"/>
        <v>5.781600000000001</v>
      </c>
      <c r="P31" s="810">
        <f t="shared" si="27"/>
        <v>14.165800000000001</v>
      </c>
      <c r="Q31" s="810">
        <f t="shared" si="27"/>
        <v>13.9392</v>
      </c>
      <c r="R31" s="810">
        <f t="shared" si="27"/>
        <v>11.516999999999999</v>
      </c>
      <c r="S31" s="810">
        <f t="shared" si="27"/>
        <v>16.391100000000002</v>
      </c>
      <c r="T31" s="810">
        <f t="shared" si="27"/>
        <v>8.8924000000000003</v>
      </c>
      <c r="U31" s="810">
        <f t="shared" si="27"/>
        <v>7.5592000000000015</v>
      </c>
      <c r="V31" s="810">
        <f t="shared" si="27"/>
        <v>18.415100000000002</v>
      </c>
      <c r="W31" s="810">
        <f t="shared" si="27"/>
        <v>12.674200000000001</v>
      </c>
      <c r="X31" s="810">
        <f t="shared" si="27"/>
        <v>11.107799999999999</v>
      </c>
      <c r="Y31" s="810">
        <f t="shared" si="27"/>
        <v>13.4024</v>
      </c>
      <c r="Z31" s="810">
        <f t="shared" si="27"/>
        <v>9.1146000000000011</v>
      </c>
      <c r="AA31" s="810">
        <f t="shared" si="27"/>
        <v>14.456200000000001</v>
      </c>
      <c r="AB31" s="810">
        <f t="shared" si="27"/>
        <v>6.1622000000000012</v>
      </c>
      <c r="AC31" s="810">
        <f t="shared" si="27"/>
        <v>11.0374</v>
      </c>
      <c r="AD31" s="810">
        <f t="shared" si="27"/>
        <v>2.4419999999999997</v>
      </c>
    </row>
    <row r="32" spans="1:30" s="714" customFormat="1">
      <c r="A32" s="496" t="str">
        <f t="shared" ref="A32:C32" si="30">A74</f>
        <v>T-GTR-ICE_DST00</v>
      </c>
      <c r="B32" s="496" t="str">
        <f t="shared" si="30"/>
        <v>DEMO</v>
      </c>
      <c r="C32" s="496" t="str">
        <f t="shared" si="30"/>
        <v>tonne/vehicle</v>
      </c>
      <c r="D32" s="727">
        <f>ROUNDUP(D74,2)*3</f>
        <v>494.52</v>
      </c>
      <c r="E32" s="727">
        <f t="shared" ref="E32:AD32" si="31">ROUNDUP(E74,2)*3</f>
        <v>494.52</v>
      </c>
      <c r="F32" s="727">
        <f t="shared" si="31"/>
        <v>494.52</v>
      </c>
      <c r="G32" s="727">
        <f t="shared" si="31"/>
        <v>494.52</v>
      </c>
      <c r="H32" s="727">
        <f t="shared" si="31"/>
        <v>494.52</v>
      </c>
      <c r="I32" s="727">
        <f t="shared" si="31"/>
        <v>494.52</v>
      </c>
      <c r="J32" s="727">
        <f t="shared" si="31"/>
        <v>494.52</v>
      </c>
      <c r="K32" s="727">
        <f t="shared" si="31"/>
        <v>494.52</v>
      </c>
      <c r="L32" s="727">
        <f t="shared" si="31"/>
        <v>494.52</v>
      </c>
      <c r="M32" s="727">
        <f t="shared" si="31"/>
        <v>494.52</v>
      </c>
      <c r="N32" s="727">
        <f t="shared" si="31"/>
        <v>494.52</v>
      </c>
      <c r="O32" s="727">
        <f t="shared" si="31"/>
        <v>494.52</v>
      </c>
      <c r="P32" s="727">
        <f t="shared" si="31"/>
        <v>494.52</v>
      </c>
      <c r="Q32" s="727">
        <f t="shared" si="31"/>
        <v>494.52</v>
      </c>
      <c r="R32" s="727">
        <f t="shared" si="31"/>
        <v>494.52</v>
      </c>
      <c r="S32" s="727">
        <f t="shared" si="31"/>
        <v>494.52</v>
      </c>
      <c r="T32" s="727">
        <f t="shared" si="31"/>
        <v>494.52</v>
      </c>
      <c r="U32" s="727">
        <f t="shared" si="31"/>
        <v>494.52</v>
      </c>
      <c r="V32" s="727">
        <f t="shared" si="31"/>
        <v>494.52</v>
      </c>
      <c r="W32" s="727">
        <f t="shared" si="31"/>
        <v>494.52</v>
      </c>
      <c r="X32" s="727">
        <f t="shared" si="31"/>
        <v>494.52</v>
      </c>
      <c r="Y32" s="727">
        <f t="shared" si="31"/>
        <v>494.52</v>
      </c>
      <c r="Z32" s="727">
        <f t="shared" si="31"/>
        <v>494.52</v>
      </c>
      <c r="AA32" s="727">
        <f t="shared" si="31"/>
        <v>494.52</v>
      </c>
      <c r="AB32" s="727">
        <f t="shared" si="31"/>
        <v>494.52</v>
      </c>
      <c r="AC32" s="727">
        <f t="shared" si="31"/>
        <v>494.52</v>
      </c>
      <c r="AD32" s="727">
        <f t="shared" si="31"/>
        <v>494.52</v>
      </c>
    </row>
    <row r="33" spans="1:35" s="714" customFormat="1"/>
    <row r="34" spans="1:35" s="714" customFormat="1">
      <c r="D34" s="829">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2">E52</f>
        <v>1.1000000000000001</v>
      </c>
      <c r="G52" s="478">
        <f t="shared" si="32"/>
        <v>1.1000000000000001</v>
      </c>
      <c r="H52" s="478">
        <f t="shared" si="32"/>
        <v>1.1000000000000001</v>
      </c>
      <c r="I52" s="478">
        <f t="shared" si="32"/>
        <v>1.1000000000000001</v>
      </c>
      <c r="J52" s="478">
        <f t="shared" si="32"/>
        <v>1.1000000000000001</v>
      </c>
      <c r="K52" s="478">
        <f t="shared" si="32"/>
        <v>1.1000000000000001</v>
      </c>
      <c r="L52" s="478">
        <f t="shared" si="32"/>
        <v>1.1000000000000001</v>
      </c>
      <c r="M52" s="478">
        <f t="shared" si="32"/>
        <v>1.1000000000000001</v>
      </c>
      <c r="N52" s="478">
        <f t="shared" si="32"/>
        <v>1.1000000000000001</v>
      </c>
      <c r="O52" s="478">
        <f t="shared" si="32"/>
        <v>1.1000000000000001</v>
      </c>
      <c r="P52" s="478">
        <f t="shared" si="32"/>
        <v>1.1000000000000001</v>
      </c>
      <c r="Q52" s="478">
        <f t="shared" si="32"/>
        <v>1.1000000000000001</v>
      </c>
      <c r="R52" s="478">
        <f t="shared" si="32"/>
        <v>1.1000000000000001</v>
      </c>
      <c r="S52" s="478">
        <f t="shared" si="32"/>
        <v>1.1000000000000001</v>
      </c>
      <c r="T52" s="478">
        <f t="shared" si="32"/>
        <v>1.1000000000000001</v>
      </c>
      <c r="U52" s="478">
        <f t="shared" si="32"/>
        <v>1.1000000000000001</v>
      </c>
      <c r="V52" s="478">
        <f t="shared" si="32"/>
        <v>1.1000000000000001</v>
      </c>
      <c r="W52" s="478">
        <f t="shared" si="32"/>
        <v>1.1000000000000001</v>
      </c>
      <c r="X52" s="478">
        <f t="shared" si="32"/>
        <v>1.1000000000000001</v>
      </c>
      <c r="Y52" s="478">
        <f t="shared" si="32"/>
        <v>1.1000000000000001</v>
      </c>
      <c r="Z52" s="478">
        <f t="shared" si="32"/>
        <v>1.1000000000000001</v>
      </c>
      <c r="AA52" s="478">
        <f t="shared" si="32"/>
        <v>1.1000000000000001</v>
      </c>
      <c r="AB52" s="478">
        <f t="shared" si="32"/>
        <v>1.1000000000000001</v>
      </c>
      <c r="AC52" s="478">
        <f t="shared" si="32"/>
        <v>1.1000000000000001</v>
      </c>
      <c r="AD52" s="478">
        <f t="shared" si="32"/>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3">E53</f>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F53" s="448"/>
      <c r="AG53" s="448"/>
      <c r="AH53" s="448"/>
      <c r="AI53" s="448"/>
    </row>
    <row r="54" spans="1:35">
      <c r="A54" s="480" t="str">
        <f>Commodities!K14</f>
        <v>T-CAR-ICE_DST00</v>
      </c>
      <c r="B54" s="480" t="s">
        <v>849</v>
      </c>
      <c r="C54" s="480" t="s">
        <v>732</v>
      </c>
      <c r="D54" s="478">
        <f>M95</f>
        <v>1.49201152283105</v>
      </c>
      <c r="E54" s="478">
        <f t="shared" ref="E54:E65" si="34">D54</f>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c r="AE54" s="448"/>
      <c r="AF54" s="448"/>
      <c r="AG54" s="448"/>
      <c r="AH54" s="448"/>
      <c r="AI54" s="448"/>
    </row>
    <row r="55" spans="1:35">
      <c r="A55" s="480" t="str">
        <f>Commodities!K15</f>
        <v>T-CAR-ICE_DF00</v>
      </c>
      <c r="B55" s="480" t="s">
        <v>849</v>
      </c>
      <c r="C55" s="480" t="s">
        <v>732</v>
      </c>
      <c r="D55" s="478">
        <f>M95</f>
        <v>1.49201152283105</v>
      </c>
      <c r="E55" s="478">
        <f t="shared" si="34"/>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c r="AE55" s="448"/>
      <c r="AG55" s="448"/>
      <c r="AH55" s="448"/>
      <c r="AI55" s="448"/>
    </row>
    <row r="56" spans="1:35">
      <c r="A56" s="480" t="str">
        <f>Commodities!K16</f>
        <v>T-CAR-ICE_E8500</v>
      </c>
      <c r="B56" s="480" t="s">
        <v>849</v>
      </c>
      <c r="C56" s="480" t="s">
        <v>732</v>
      </c>
      <c r="D56" s="478">
        <f>M95</f>
        <v>1.49201152283105</v>
      </c>
      <c r="E56" s="478">
        <f t="shared" si="34"/>
        <v>1.49201152283105</v>
      </c>
      <c r="F56" s="478">
        <f t="shared" si="33"/>
        <v>1.49201152283105</v>
      </c>
      <c r="G56" s="478">
        <f t="shared" si="33"/>
        <v>1.49201152283105</v>
      </c>
      <c r="H56" s="478">
        <f t="shared" si="33"/>
        <v>1.49201152283105</v>
      </c>
      <c r="I56" s="478">
        <f t="shared" si="33"/>
        <v>1.49201152283105</v>
      </c>
      <c r="J56" s="478">
        <f t="shared" si="33"/>
        <v>1.49201152283105</v>
      </c>
      <c r="K56" s="478">
        <f t="shared" si="33"/>
        <v>1.49201152283105</v>
      </c>
      <c r="L56" s="478">
        <f t="shared" si="33"/>
        <v>1.49201152283105</v>
      </c>
      <c r="M56" s="478">
        <f t="shared" si="33"/>
        <v>1.49201152283105</v>
      </c>
      <c r="N56" s="478">
        <f t="shared" si="33"/>
        <v>1.49201152283105</v>
      </c>
      <c r="O56" s="478">
        <f t="shared" si="33"/>
        <v>1.49201152283105</v>
      </c>
      <c r="P56" s="478">
        <f t="shared" si="33"/>
        <v>1.49201152283105</v>
      </c>
      <c r="Q56" s="478">
        <f t="shared" si="33"/>
        <v>1.49201152283105</v>
      </c>
      <c r="R56" s="478">
        <f t="shared" si="33"/>
        <v>1.49201152283105</v>
      </c>
      <c r="S56" s="478">
        <f t="shared" si="33"/>
        <v>1.49201152283105</v>
      </c>
      <c r="T56" s="478">
        <f t="shared" si="33"/>
        <v>1.49201152283105</v>
      </c>
      <c r="U56" s="478">
        <f t="shared" si="33"/>
        <v>1.49201152283105</v>
      </c>
      <c r="V56" s="478">
        <f t="shared" si="33"/>
        <v>1.49201152283105</v>
      </c>
      <c r="W56" s="478">
        <f t="shared" si="33"/>
        <v>1.49201152283105</v>
      </c>
      <c r="X56" s="478">
        <f t="shared" si="33"/>
        <v>1.49201152283105</v>
      </c>
      <c r="Y56" s="478">
        <f t="shared" si="33"/>
        <v>1.49201152283105</v>
      </c>
      <c r="Z56" s="478">
        <f t="shared" si="33"/>
        <v>1.49201152283105</v>
      </c>
      <c r="AA56" s="478">
        <f t="shared" si="33"/>
        <v>1.49201152283105</v>
      </c>
      <c r="AB56" s="478">
        <f t="shared" si="33"/>
        <v>1.49201152283105</v>
      </c>
      <c r="AC56" s="478">
        <f t="shared" si="33"/>
        <v>1.49201152283105</v>
      </c>
      <c r="AD56" s="478">
        <f t="shared" si="33"/>
        <v>1.49201152283105</v>
      </c>
    </row>
    <row r="57" spans="1:35">
      <c r="A57" s="480" t="str">
        <f>Commodities!K17</f>
        <v>T-CAR-HEV_GSL00</v>
      </c>
      <c r="B57" s="480" t="s">
        <v>849</v>
      </c>
      <c r="C57" s="480" t="s">
        <v>732</v>
      </c>
      <c r="D57" s="478">
        <f>M95</f>
        <v>1.49201152283105</v>
      </c>
      <c r="E57" s="478">
        <f>D57</f>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s="459" customFormat="1">
      <c r="A58" s="480" t="str">
        <f>Commodities!K18</f>
        <v>T-CAR-HEV_DST00</v>
      </c>
      <c r="B58" s="480" t="s">
        <v>849</v>
      </c>
      <c r="C58" s="480" t="s">
        <v>732</v>
      </c>
      <c r="D58" s="478">
        <f>M95</f>
        <v>1.49201152283105</v>
      </c>
      <c r="E58" s="478">
        <f>D58</f>
        <v>1.49201152283105</v>
      </c>
      <c r="F58" s="478">
        <f t="shared" ref="F58:AD58" si="35">E58</f>
        <v>1.49201152283105</v>
      </c>
      <c r="G58" s="478">
        <f t="shared" si="35"/>
        <v>1.49201152283105</v>
      </c>
      <c r="H58" s="478">
        <f t="shared" si="35"/>
        <v>1.49201152283105</v>
      </c>
      <c r="I58" s="478">
        <f t="shared" si="35"/>
        <v>1.49201152283105</v>
      </c>
      <c r="J58" s="478">
        <f t="shared" si="35"/>
        <v>1.49201152283105</v>
      </c>
      <c r="K58" s="478">
        <f t="shared" si="35"/>
        <v>1.49201152283105</v>
      </c>
      <c r="L58" s="478">
        <f t="shared" si="35"/>
        <v>1.49201152283105</v>
      </c>
      <c r="M58" s="478">
        <f t="shared" si="35"/>
        <v>1.49201152283105</v>
      </c>
      <c r="N58" s="478">
        <f t="shared" si="35"/>
        <v>1.49201152283105</v>
      </c>
      <c r="O58" s="478">
        <f t="shared" si="35"/>
        <v>1.49201152283105</v>
      </c>
      <c r="P58" s="478">
        <f t="shared" si="35"/>
        <v>1.49201152283105</v>
      </c>
      <c r="Q58" s="478">
        <f t="shared" si="35"/>
        <v>1.49201152283105</v>
      </c>
      <c r="R58" s="478">
        <f t="shared" si="35"/>
        <v>1.49201152283105</v>
      </c>
      <c r="S58" s="478">
        <f t="shared" si="35"/>
        <v>1.49201152283105</v>
      </c>
      <c r="T58" s="478">
        <f t="shared" si="35"/>
        <v>1.49201152283105</v>
      </c>
      <c r="U58" s="478">
        <f t="shared" si="35"/>
        <v>1.49201152283105</v>
      </c>
      <c r="V58" s="478">
        <f t="shared" si="35"/>
        <v>1.49201152283105</v>
      </c>
      <c r="W58" s="478">
        <f t="shared" si="35"/>
        <v>1.49201152283105</v>
      </c>
      <c r="X58" s="478">
        <f t="shared" si="35"/>
        <v>1.49201152283105</v>
      </c>
      <c r="Y58" s="478">
        <f t="shared" si="35"/>
        <v>1.49201152283105</v>
      </c>
      <c r="Z58" s="478">
        <f t="shared" si="35"/>
        <v>1.49201152283105</v>
      </c>
      <c r="AA58" s="478">
        <f t="shared" si="35"/>
        <v>1.49201152283105</v>
      </c>
      <c r="AB58" s="478">
        <f t="shared" si="35"/>
        <v>1.49201152283105</v>
      </c>
      <c r="AC58" s="478">
        <f t="shared" si="35"/>
        <v>1.49201152283105</v>
      </c>
      <c r="AD58" s="478">
        <f t="shared" si="35"/>
        <v>1.49201152283105</v>
      </c>
    </row>
    <row r="59" spans="1:35">
      <c r="A59" s="480" t="str">
        <f>Commodities!K19</f>
        <v>T-CAR-PHEV_GSL00</v>
      </c>
      <c r="B59" s="480" t="s">
        <v>849</v>
      </c>
      <c r="C59" s="480" t="s">
        <v>732</v>
      </c>
      <c r="D59" s="478">
        <f>M95</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Commodities!K20</f>
        <v>T-CAR-PHEV_DST00</v>
      </c>
      <c r="B60" s="480" t="s">
        <v>849</v>
      </c>
      <c r="C60" s="480" t="s">
        <v>732</v>
      </c>
      <c r="D60" s="478">
        <f>M95</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Commodities!K21</f>
        <v>T-CAR-BEV_ELC00</v>
      </c>
      <c r="B61" s="480" t="s">
        <v>849</v>
      </c>
      <c r="C61" s="480" t="s">
        <v>732</v>
      </c>
      <c r="D61" s="478">
        <f>M95</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Commodities!K23</f>
        <v>T-TAX-ICE_GSL00</v>
      </c>
      <c r="B62" s="480" t="s">
        <v>849</v>
      </c>
      <c r="C62" s="480" t="s">
        <v>732</v>
      </c>
      <c r="D62" s="478">
        <f>M95</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si="33"/>
        <v>1.49201152283105</v>
      </c>
      <c r="L62" s="478">
        <f t="shared" si="33"/>
        <v>1.49201152283105</v>
      </c>
      <c r="M62" s="478">
        <f t="shared" si="33"/>
        <v>1.49201152283105</v>
      </c>
      <c r="N62" s="478">
        <f t="shared" si="33"/>
        <v>1.49201152283105</v>
      </c>
      <c r="O62" s="478">
        <f t="shared" si="33"/>
        <v>1.49201152283105</v>
      </c>
      <c r="P62" s="478">
        <f t="shared" si="33"/>
        <v>1.49201152283105</v>
      </c>
      <c r="Q62" s="478">
        <f t="shared" si="33"/>
        <v>1.49201152283105</v>
      </c>
      <c r="R62" s="478">
        <f t="shared" si="33"/>
        <v>1.49201152283105</v>
      </c>
      <c r="S62" s="478">
        <f t="shared" si="33"/>
        <v>1.49201152283105</v>
      </c>
      <c r="T62" s="478">
        <f t="shared" si="33"/>
        <v>1.49201152283105</v>
      </c>
      <c r="U62" s="478">
        <f t="shared" si="33"/>
        <v>1.49201152283105</v>
      </c>
      <c r="V62" s="478">
        <f t="shared" si="33"/>
        <v>1.49201152283105</v>
      </c>
      <c r="W62" s="478">
        <f t="shared" si="33"/>
        <v>1.49201152283105</v>
      </c>
      <c r="X62" s="478">
        <f t="shared" si="33"/>
        <v>1.49201152283105</v>
      </c>
      <c r="Y62" s="478">
        <f t="shared" si="33"/>
        <v>1.49201152283105</v>
      </c>
      <c r="Z62" s="478">
        <f t="shared" si="33"/>
        <v>1.49201152283105</v>
      </c>
      <c r="AA62" s="478">
        <f t="shared" si="33"/>
        <v>1.49201152283105</v>
      </c>
      <c r="AB62" s="478">
        <f t="shared" si="33"/>
        <v>1.49201152283105</v>
      </c>
      <c r="AC62" s="478">
        <f t="shared" si="33"/>
        <v>1.49201152283105</v>
      </c>
      <c r="AD62" s="478">
        <f t="shared" si="33"/>
        <v>1.49201152283105</v>
      </c>
    </row>
    <row r="63" spans="1:35">
      <c r="A63" s="480" t="str">
        <f>Commodities!K24</f>
        <v>T-TAX-ICE_DST00</v>
      </c>
      <c r="B63" s="480" t="s">
        <v>849</v>
      </c>
      <c r="C63" s="480" t="s">
        <v>732</v>
      </c>
      <c r="D63" s="478">
        <f>M95</f>
        <v>1.49201152283105</v>
      </c>
      <c r="E63" s="478">
        <f t="shared" si="34"/>
        <v>1.49201152283105</v>
      </c>
      <c r="F63" s="478">
        <f t="shared" si="33"/>
        <v>1.49201152283105</v>
      </c>
      <c r="G63" s="478">
        <f t="shared" si="33"/>
        <v>1.49201152283105</v>
      </c>
      <c r="H63" s="478">
        <f t="shared" si="33"/>
        <v>1.49201152283105</v>
      </c>
      <c r="I63" s="478">
        <f t="shared" si="33"/>
        <v>1.49201152283105</v>
      </c>
      <c r="J63" s="478">
        <f t="shared" si="33"/>
        <v>1.49201152283105</v>
      </c>
      <c r="K63" s="478">
        <f t="shared" si="33"/>
        <v>1.49201152283105</v>
      </c>
      <c r="L63" s="478">
        <f t="shared" si="33"/>
        <v>1.49201152283105</v>
      </c>
      <c r="M63" s="478">
        <f t="shared" si="33"/>
        <v>1.49201152283105</v>
      </c>
      <c r="N63" s="478">
        <f t="shared" si="33"/>
        <v>1.49201152283105</v>
      </c>
      <c r="O63" s="478">
        <f t="shared" si="33"/>
        <v>1.49201152283105</v>
      </c>
      <c r="P63" s="478">
        <f t="shared" si="33"/>
        <v>1.49201152283105</v>
      </c>
      <c r="Q63" s="478">
        <f t="shared" si="33"/>
        <v>1.49201152283105</v>
      </c>
      <c r="R63" s="478">
        <f t="shared" si="33"/>
        <v>1.49201152283105</v>
      </c>
      <c r="S63" s="478">
        <f t="shared" si="33"/>
        <v>1.49201152283105</v>
      </c>
      <c r="T63" s="478">
        <f t="shared" si="33"/>
        <v>1.49201152283105</v>
      </c>
      <c r="U63" s="478">
        <f t="shared" si="33"/>
        <v>1.49201152283105</v>
      </c>
      <c r="V63" s="478">
        <f t="shared" si="33"/>
        <v>1.49201152283105</v>
      </c>
      <c r="W63" s="478">
        <f t="shared" si="33"/>
        <v>1.49201152283105</v>
      </c>
      <c r="X63" s="478">
        <f t="shared" si="33"/>
        <v>1.49201152283105</v>
      </c>
      <c r="Y63" s="478">
        <f t="shared" si="33"/>
        <v>1.49201152283105</v>
      </c>
      <c r="Z63" s="478">
        <f t="shared" si="33"/>
        <v>1.49201152283105</v>
      </c>
      <c r="AA63" s="478">
        <f t="shared" si="33"/>
        <v>1.49201152283105</v>
      </c>
      <c r="AB63" s="478">
        <f t="shared" si="33"/>
        <v>1.49201152283105</v>
      </c>
      <c r="AC63" s="478">
        <f t="shared" si="33"/>
        <v>1.49201152283105</v>
      </c>
      <c r="AD63" s="478">
        <f t="shared" si="33"/>
        <v>1.49201152283105</v>
      </c>
    </row>
    <row r="64" spans="1:35">
      <c r="A64" s="480" t="str">
        <f>Commodities!K25</f>
        <v>T-TAX-HEV_GSL00</v>
      </c>
      <c r="B64" s="480" t="s">
        <v>849</v>
      </c>
      <c r="C64" s="480" t="s">
        <v>732</v>
      </c>
      <c r="D64" s="478">
        <f>M95</f>
        <v>1.49201152283105</v>
      </c>
      <c r="E64" s="478">
        <f t="shared" si="34"/>
        <v>1.49201152283105</v>
      </c>
      <c r="F64" s="478">
        <f t="shared" si="33"/>
        <v>1.49201152283105</v>
      </c>
      <c r="G64" s="478">
        <f t="shared" si="33"/>
        <v>1.49201152283105</v>
      </c>
      <c r="H64" s="478">
        <f t="shared" si="33"/>
        <v>1.49201152283105</v>
      </c>
      <c r="I64" s="478">
        <f t="shared" si="33"/>
        <v>1.49201152283105</v>
      </c>
      <c r="J64" s="478">
        <f t="shared" si="33"/>
        <v>1.49201152283105</v>
      </c>
      <c r="K64" s="478">
        <f t="shared" ref="K64:K68" si="36">J64</f>
        <v>1.49201152283105</v>
      </c>
      <c r="L64" s="478">
        <f t="shared" ref="L64:L68" si="37">K64</f>
        <v>1.49201152283105</v>
      </c>
      <c r="M64" s="478">
        <f t="shared" ref="M64:M68" si="38">L64</f>
        <v>1.49201152283105</v>
      </c>
      <c r="N64" s="478">
        <f t="shared" ref="N64:N68" si="39">M64</f>
        <v>1.49201152283105</v>
      </c>
      <c r="O64" s="478">
        <f t="shared" ref="O64:O68" si="40">N64</f>
        <v>1.49201152283105</v>
      </c>
      <c r="P64" s="478">
        <f t="shared" ref="P64:P68" si="41">O64</f>
        <v>1.49201152283105</v>
      </c>
      <c r="Q64" s="478">
        <f t="shared" ref="Q64:Q68" si="42">P64</f>
        <v>1.49201152283105</v>
      </c>
      <c r="R64" s="478">
        <f t="shared" ref="R64:R68" si="43">Q64</f>
        <v>1.49201152283105</v>
      </c>
      <c r="S64" s="478">
        <f t="shared" ref="S64:S68" si="44">R64</f>
        <v>1.49201152283105</v>
      </c>
      <c r="T64" s="478">
        <f t="shared" ref="T64:T68" si="45">S64</f>
        <v>1.49201152283105</v>
      </c>
      <c r="U64" s="478">
        <f t="shared" ref="U64:U68" si="46">T64</f>
        <v>1.49201152283105</v>
      </c>
      <c r="V64" s="478">
        <f t="shared" ref="V64:V68" si="47">U64</f>
        <v>1.49201152283105</v>
      </c>
      <c r="W64" s="478">
        <f t="shared" ref="W64:W68" si="48">V64</f>
        <v>1.49201152283105</v>
      </c>
      <c r="X64" s="478">
        <f t="shared" ref="X64:X68" si="49">W64</f>
        <v>1.49201152283105</v>
      </c>
      <c r="Y64" s="478">
        <f t="shared" ref="Y64:Y68" si="50">X64</f>
        <v>1.49201152283105</v>
      </c>
      <c r="Z64" s="478">
        <f t="shared" ref="Z64:Z68" si="51">Y64</f>
        <v>1.49201152283105</v>
      </c>
      <c r="AA64" s="478">
        <f t="shared" ref="AA64:AA68" si="52">Z64</f>
        <v>1.49201152283105</v>
      </c>
      <c r="AB64" s="478">
        <f t="shared" ref="AB64:AB68" si="53">AA64</f>
        <v>1.49201152283105</v>
      </c>
      <c r="AC64" s="478">
        <f t="shared" ref="AC64:AC68" si="54">AB64</f>
        <v>1.49201152283105</v>
      </c>
      <c r="AD64" s="478">
        <f t="shared" ref="AD64:AD68" si="55">AC64</f>
        <v>1.49201152283105</v>
      </c>
    </row>
    <row r="65" spans="1:30">
      <c r="A65" s="480" t="str">
        <f>Commodities!K27</f>
        <v>T-BUS-ICE_DST00</v>
      </c>
      <c r="B65" s="480" t="s">
        <v>849</v>
      </c>
      <c r="C65" s="480" t="s">
        <v>732</v>
      </c>
      <c r="D65" s="479">
        <v>27.25</v>
      </c>
      <c r="E65" s="478">
        <f t="shared" si="34"/>
        <v>27.25</v>
      </c>
      <c r="F65" s="478">
        <f t="shared" ref="F65" si="56">E65</f>
        <v>27.25</v>
      </c>
      <c r="G65" s="478">
        <f t="shared" ref="G65" si="57">F65</f>
        <v>27.25</v>
      </c>
      <c r="H65" s="478">
        <f t="shared" ref="H65" si="58">G65</f>
        <v>27.25</v>
      </c>
      <c r="I65" s="478">
        <f t="shared" ref="I65:I68" si="59">H65</f>
        <v>27.25</v>
      </c>
      <c r="J65" s="478">
        <f t="shared" ref="J65:J68" si="60">I65</f>
        <v>27.25</v>
      </c>
      <c r="K65" s="478">
        <f t="shared" si="36"/>
        <v>27.25</v>
      </c>
      <c r="L65" s="478">
        <f t="shared" si="37"/>
        <v>27.25</v>
      </c>
      <c r="M65" s="478">
        <f t="shared" si="38"/>
        <v>27.25</v>
      </c>
      <c r="N65" s="478">
        <f t="shared" si="39"/>
        <v>27.25</v>
      </c>
      <c r="O65" s="478">
        <f t="shared" si="40"/>
        <v>27.25</v>
      </c>
      <c r="P65" s="478">
        <f t="shared" si="41"/>
        <v>27.25</v>
      </c>
      <c r="Q65" s="478">
        <f t="shared" si="42"/>
        <v>27.25</v>
      </c>
      <c r="R65" s="478">
        <f t="shared" si="43"/>
        <v>27.25</v>
      </c>
      <c r="S65" s="478">
        <f t="shared" si="44"/>
        <v>27.25</v>
      </c>
      <c r="T65" s="478">
        <f t="shared" si="45"/>
        <v>27.25</v>
      </c>
      <c r="U65" s="478">
        <f t="shared" si="46"/>
        <v>27.25</v>
      </c>
      <c r="V65" s="478">
        <f t="shared" si="47"/>
        <v>27.25</v>
      </c>
      <c r="W65" s="478">
        <f t="shared" si="48"/>
        <v>27.25</v>
      </c>
      <c r="X65" s="478">
        <f t="shared" si="49"/>
        <v>27.25</v>
      </c>
      <c r="Y65" s="478">
        <f t="shared" si="50"/>
        <v>27.25</v>
      </c>
      <c r="Z65" s="478">
        <f t="shared" si="51"/>
        <v>27.25</v>
      </c>
      <c r="AA65" s="478">
        <f t="shared" si="52"/>
        <v>27.25</v>
      </c>
      <c r="AB65" s="478">
        <f t="shared" si="53"/>
        <v>27.25</v>
      </c>
      <c r="AC65" s="478">
        <f t="shared" si="54"/>
        <v>27.25</v>
      </c>
      <c r="AD65" s="478">
        <f t="shared" si="55"/>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9"/>
        <v>0</v>
      </c>
      <c r="J66" s="724">
        <f t="shared" si="60"/>
        <v>0</v>
      </c>
      <c r="K66" s="724">
        <f t="shared" si="36"/>
        <v>0</v>
      </c>
      <c r="L66" s="724">
        <f t="shared" si="37"/>
        <v>0</v>
      </c>
      <c r="M66" s="724">
        <f t="shared" si="38"/>
        <v>0</v>
      </c>
      <c r="N66" s="724">
        <f t="shared" si="39"/>
        <v>0</v>
      </c>
      <c r="O66" s="724">
        <f t="shared" si="40"/>
        <v>0</v>
      </c>
      <c r="P66" s="724">
        <f t="shared" si="41"/>
        <v>0</v>
      </c>
      <c r="Q66" s="724">
        <f t="shared" si="42"/>
        <v>0</v>
      </c>
      <c r="R66" s="724">
        <f t="shared" si="43"/>
        <v>0</v>
      </c>
      <c r="S66" s="724">
        <f t="shared" si="44"/>
        <v>0</v>
      </c>
      <c r="T66" s="724">
        <f t="shared" si="45"/>
        <v>0</v>
      </c>
      <c r="U66" s="724">
        <f t="shared" si="46"/>
        <v>0</v>
      </c>
      <c r="V66" s="724">
        <f t="shared" si="47"/>
        <v>0</v>
      </c>
      <c r="W66" s="724">
        <f t="shared" si="48"/>
        <v>0</v>
      </c>
      <c r="X66" s="724">
        <f t="shared" si="49"/>
        <v>0</v>
      </c>
      <c r="Y66" s="724">
        <f t="shared" si="50"/>
        <v>0</v>
      </c>
      <c r="Z66" s="724">
        <f t="shared" si="51"/>
        <v>0</v>
      </c>
      <c r="AA66" s="724">
        <f t="shared" si="52"/>
        <v>0</v>
      </c>
      <c r="AB66" s="724">
        <f t="shared" si="53"/>
        <v>0</v>
      </c>
      <c r="AC66" s="724">
        <f t="shared" si="54"/>
        <v>0</v>
      </c>
      <c r="AD66" s="724">
        <f t="shared" si="55"/>
        <v>0</v>
      </c>
    </row>
    <row r="67" spans="1:30" s="459" customFormat="1">
      <c r="A67" s="480" t="str">
        <f>Commodities!K30</f>
        <v>T-HPT-BEV_ELC00</v>
      </c>
      <c r="B67" s="480" t="s">
        <v>849</v>
      </c>
      <c r="C67" s="480" t="s">
        <v>732</v>
      </c>
      <c r="D67" s="724">
        <f>D66</f>
        <v>78.019401157895544</v>
      </c>
      <c r="E67" s="724">
        <f>D67</f>
        <v>78.019401157895544</v>
      </c>
      <c r="F67" s="724">
        <f t="shared" ref="F67:H67" si="61">E67</f>
        <v>78.019401157895544</v>
      </c>
      <c r="G67" s="724">
        <f t="shared" si="61"/>
        <v>78.019401157895544</v>
      </c>
      <c r="H67" s="724">
        <f t="shared" si="61"/>
        <v>78.019401157895544</v>
      </c>
      <c r="I67" s="724">
        <f t="shared" si="59"/>
        <v>78.019401157895544</v>
      </c>
      <c r="J67" s="724">
        <f t="shared" si="60"/>
        <v>78.019401157895544</v>
      </c>
      <c r="K67" s="724">
        <f t="shared" si="36"/>
        <v>78.019401157895544</v>
      </c>
      <c r="L67" s="724">
        <f t="shared" si="37"/>
        <v>78.019401157895544</v>
      </c>
      <c r="M67" s="724">
        <f t="shared" si="38"/>
        <v>78.019401157895544</v>
      </c>
      <c r="N67" s="724">
        <f t="shared" si="39"/>
        <v>78.019401157895544</v>
      </c>
      <c r="O67" s="724">
        <f t="shared" si="40"/>
        <v>78.019401157895544</v>
      </c>
      <c r="P67" s="724">
        <f t="shared" si="41"/>
        <v>78.019401157895544</v>
      </c>
      <c r="Q67" s="724">
        <f t="shared" si="42"/>
        <v>78.019401157895544</v>
      </c>
      <c r="R67" s="724">
        <f t="shared" si="43"/>
        <v>78.019401157895544</v>
      </c>
      <c r="S67" s="724">
        <f t="shared" si="44"/>
        <v>78.019401157895544</v>
      </c>
      <c r="T67" s="724">
        <f t="shared" si="45"/>
        <v>78.019401157895544</v>
      </c>
      <c r="U67" s="724">
        <f t="shared" si="46"/>
        <v>78.019401157895544</v>
      </c>
      <c r="V67" s="724">
        <f t="shared" si="47"/>
        <v>78.019401157895544</v>
      </c>
      <c r="W67" s="724">
        <f t="shared" si="48"/>
        <v>78.019401157895544</v>
      </c>
      <c r="X67" s="724">
        <f t="shared" si="49"/>
        <v>78.019401157895544</v>
      </c>
      <c r="Y67" s="724">
        <f t="shared" si="50"/>
        <v>78.019401157895544</v>
      </c>
      <c r="Z67" s="724">
        <f t="shared" si="51"/>
        <v>78.019401157895544</v>
      </c>
      <c r="AA67" s="724">
        <f t="shared" si="52"/>
        <v>78.019401157895544</v>
      </c>
      <c r="AB67" s="724">
        <f t="shared" si="53"/>
        <v>78.019401157895544</v>
      </c>
      <c r="AC67" s="724">
        <f t="shared" si="54"/>
        <v>78.019401157895544</v>
      </c>
      <c r="AD67" s="724">
        <f t="shared" si="55"/>
        <v>78.019401157895544</v>
      </c>
    </row>
    <row r="68" spans="1:30" s="459" customFormat="1">
      <c r="A68" s="480" t="str">
        <f>Commodities!K31</f>
        <v>T-HPT-ICE_DST00</v>
      </c>
      <c r="B68" s="480" t="s">
        <v>849</v>
      </c>
      <c r="C68" s="480" t="s">
        <v>732</v>
      </c>
      <c r="D68" s="724">
        <v>120</v>
      </c>
      <c r="E68" s="724">
        <f>D68</f>
        <v>120</v>
      </c>
      <c r="F68" s="724">
        <f t="shared" ref="F68:H68" si="62">E68</f>
        <v>120</v>
      </c>
      <c r="G68" s="724">
        <f t="shared" si="62"/>
        <v>120</v>
      </c>
      <c r="H68" s="724">
        <f t="shared" si="62"/>
        <v>120</v>
      </c>
      <c r="I68" s="724">
        <f t="shared" si="59"/>
        <v>120</v>
      </c>
      <c r="J68" s="724">
        <f t="shared" si="60"/>
        <v>120</v>
      </c>
      <c r="K68" s="724">
        <f t="shared" si="36"/>
        <v>120</v>
      </c>
      <c r="L68" s="724">
        <f t="shared" si="37"/>
        <v>120</v>
      </c>
      <c r="M68" s="724">
        <f t="shared" si="38"/>
        <v>120</v>
      </c>
      <c r="N68" s="724">
        <f t="shared" si="39"/>
        <v>120</v>
      </c>
      <c r="O68" s="724">
        <f t="shared" si="40"/>
        <v>120</v>
      </c>
      <c r="P68" s="724">
        <f t="shared" si="41"/>
        <v>120</v>
      </c>
      <c r="Q68" s="724">
        <f t="shared" si="42"/>
        <v>120</v>
      </c>
      <c r="R68" s="724">
        <f t="shared" si="43"/>
        <v>120</v>
      </c>
      <c r="S68" s="724">
        <f t="shared" si="44"/>
        <v>120</v>
      </c>
      <c r="T68" s="724">
        <f t="shared" si="45"/>
        <v>120</v>
      </c>
      <c r="U68" s="724">
        <f t="shared" si="46"/>
        <v>120</v>
      </c>
      <c r="V68" s="724">
        <f t="shared" si="47"/>
        <v>120</v>
      </c>
      <c r="W68" s="724">
        <f t="shared" si="48"/>
        <v>120</v>
      </c>
      <c r="X68" s="724">
        <f t="shared" si="49"/>
        <v>120</v>
      </c>
      <c r="Y68" s="724">
        <f t="shared" si="50"/>
        <v>120</v>
      </c>
      <c r="Z68" s="724">
        <f t="shared" si="51"/>
        <v>120</v>
      </c>
      <c r="AA68" s="724">
        <f t="shared" si="52"/>
        <v>120</v>
      </c>
      <c r="AB68" s="724">
        <f t="shared" si="53"/>
        <v>120</v>
      </c>
      <c r="AC68" s="724">
        <f t="shared" si="54"/>
        <v>120</v>
      </c>
      <c r="AD68" s="724">
        <f t="shared" si="55"/>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849</v>
      </c>
      <c r="C71" s="480" t="s">
        <v>733</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849</v>
      </c>
      <c r="C72" s="480" t="s">
        <v>733</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849</v>
      </c>
      <c r="C73" s="493" t="s">
        <v>733</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849</v>
      </c>
      <c r="C74" s="496" t="s">
        <v>733</v>
      </c>
      <c r="D74" s="721">
        <v>164.83335026928157</v>
      </c>
      <c r="E74" s="727">
        <f t="shared" ref="E74" si="63">D74</f>
        <v>164.83335026928157</v>
      </c>
      <c r="F74" s="727">
        <f t="shared" ref="F74:AD74" si="64">E74</f>
        <v>164.83335026928157</v>
      </c>
      <c r="G74" s="727">
        <f t="shared" si="64"/>
        <v>164.83335026928157</v>
      </c>
      <c r="H74" s="727">
        <f t="shared" si="64"/>
        <v>164.83335026928157</v>
      </c>
      <c r="I74" s="727">
        <f t="shared" si="64"/>
        <v>164.83335026928157</v>
      </c>
      <c r="J74" s="727">
        <f t="shared" si="64"/>
        <v>164.83335026928157</v>
      </c>
      <c r="K74" s="727">
        <f t="shared" si="64"/>
        <v>164.83335026928157</v>
      </c>
      <c r="L74" s="727">
        <f t="shared" si="64"/>
        <v>164.83335026928157</v>
      </c>
      <c r="M74" s="727">
        <f t="shared" si="64"/>
        <v>164.83335026928157</v>
      </c>
      <c r="N74" s="727">
        <f t="shared" si="64"/>
        <v>164.83335026928157</v>
      </c>
      <c r="O74" s="727">
        <f t="shared" si="64"/>
        <v>164.83335026928157</v>
      </c>
      <c r="P74" s="727">
        <f t="shared" si="64"/>
        <v>164.83335026928157</v>
      </c>
      <c r="Q74" s="727">
        <f t="shared" si="64"/>
        <v>164.83335026928157</v>
      </c>
      <c r="R74" s="727">
        <f t="shared" si="64"/>
        <v>164.83335026928157</v>
      </c>
      <c r="S74" s="727">
        <f t="shared" si="64"/>
        <v>164.83335026928157</v>
      </c>
      <c r="T74" s="727">
        <f t="shared" si="64"/>
        <v>164.83335026928157</v>
      </c>
      <c r="U74" s="727">
        <f t="shared" si="64"/>
        <v>164.83335026928157</v>
      </c>
      <c r="V74" s="727">
        <f t="shared" si="64"/>
        <v>164.83335026928157</v>
      </c>
      <c r="W74" s="727">
        <f t="shared" si="64"/>
        <v>164.83335026928157</v>
      </c>
      <c r="X74" s="727">
        <f t="shared" si="64"/>
        <v>164.83335026928157</v>
      </c>
      <c r="Y74" s="727">
        <f t="shared" si="64"/>
        <v>164.83335026928157</v>
      </c>
      <c r="Z74" s="727">
        <f t="shared" si="64"/>
        <v>164.83335026928157</v>
      </c>
      <c r="AA74" s="727">
        <f t="shared" si="64"/>
        <v>164.83335026928157</v>
      </c>
      <c r="AB74" s="727">
        <f t="shared" si="64"/>
        <v>164.83335026928157</v>
      </c>
      <c r="AC74" s="727">
        <f t="shared" si="64"/>
        <v>164.83335026928157</v>
      </c>
      <c r="AD74" s="727">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65" t="s">
        <v>9</v>
      </c>
      <c r="B96" s="444" t="s">
        <v>456</v>
      </c>
      <c r="C96" s="386">
        <v>1.24</v>
      </c>
      <c r="D96" s="386">
        <v>1.25</v>
      </c>
      <c r="E96" s="386">
        <v>1.26</v>
      </c>
      <c r="F96" s="386">
        <v>1.26</v>
      </c>
      <c r="G96" s="386">
        <v>1.33</v>
      </c>
      <c r="H96" s="386">
        <v>1.34</v>
      </c>
      <c r="I96" s="386">
        <v>1.38</v>
      </c>
      <c r="J96" s="386">
        <v>1.38</v>
      </c>
      <c r="K96" s="459"/>
      <c r="L96" s="459"/>
      <c r="M96" s="448"/>
    </row>
    <row r="97" spans="1:13">
      <c r="A97" s="865"/>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65" t="s">
        <v>10</v>
      </c>
      <c r="B98" s="444" t="s">
        <v>456</v>
      </c>
      <c r="C98" s="386">
        <v>1.21</v>
      </c>
      <c r="D98" s="386">
        <v>1.22</v>
      </c>
      <c r="E98" s="386">
        <v>1.23</v>
      </c>
      <c r="F98" s="386">
        <v>1.23</v>
      </c>
      <c r="G98" s="386">
        <v>1.2</v>
      </c>
      <c r="H98" s="386">
        <v>1.23</v>
      </c>
      <c r="I98" s="386">
        <v>1.22</v>
      </c>
      <c r="J98" s="386">
        <v>1.22</v>
      </c>
      <c r="K98" s="459"/>
      <c r="L98" s="459"/>
      <c r="M98" s="448"/>
    </row>
    <row r="99" spans="1:13">
      <c r="A99" s="865"/>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65" t="s">
        <v>11</v>
      </c>
      <c r="B100" s="444" t="s">
        <v>456</v>
      </c>
      <c r="C100" s="386">
        <v>1.64</v>
      </c>
      <c r="D100" s="386">
        <v>1.65</v>
      </c>
      <c r="E100" s="386">
        <v>1.66</v>
      </c>
      <c r="F100" s="386">
        <v>1.68</v>
      </c>
      <c r="G100" s="386">
        <v>1.7</v>
      </c>
      <c r="H100" s="386">
        <v>1.83</v>
      </c>
      <c r="I100" s="386">
        <v>1.85</v>
      </c>
      <c r="J100" s="386">
        <v>1.85</v>
      </c>
      <c r="K100" s="459"/>
      <c r="L100" s="459"/>
      <c r="M100" s="448"/>
    </row>
    <row r="101" spans="1:13">
      <c r="A101" s="865"/>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40"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D27" sqref="B23:D27"/>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853</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56" t="s">
        <v>1116</v>
      </c>
      <c r="C133" s="714" t="s">
        <v>671</v>
      </c>
      <c r="D133" s="811">
        <v>18812</v>
      </c>
      <c r="E133" s="811">
        <v>18327</v>
      </c>
      <c r="F133" s="811">
        <v>20874</v>
      </c>
      <c r="G133" s="811">
        <v>19721</v>
      </c>
      <c r="H133" s="811">
        <v>17550</v>
      </c>
      <c r="I133" s="811">
        <v>18496</v>
      </c>
      <c r="J133" s="811">
        <v>18161</v>
      </c>
      <c r="K133" s="811">
        <v>19163</v>
      </c>
      <c r="L133" s="811">
        <v>19238</v>
      </c>
      <c r="M133" s="811">
        <v>18565</v>
      </c>
      <c r="N133" s="811">
        <v>19338</v>
      </c>
      <c r="O133" s="811">
        <v>18918</v>
      </c>
      <c r="P133" s="811">
        <v>17802</v>
      </c>
      <c r="Q133" s="811">
        <v>18458</v>
      </c>
      <c r="R133" s="811">
        <v>17796</v>
      </c>
      <c r="S133" s="811">
        <v>17679</v>
      </c>
      <c r="T133" s="811">
        <v>18705</v>
      </c>
      <c r="U133" s="811">
        <v>17793</v>
      </c>
      <c r="V133" s="811">
        <v>17605</v>
      </c>
      <c r="W133" s="811">
        <v>18640</v>
      </c>
      <c r="X133" s="811">
        <v>18071</v>
      </c>
      <c r="Y133" s="811">
        <v>17930</v>
      </c>
      <c r="Z133" s="811">
        <v>18533</v>
      </c>
      <c r="AA133" s="811">
        <v>17813</v>
      </c>
      <c r="AB133" s="811">
        <v>17732</v>
      </c>
      <c r="AC133" s="811">
        <v>17350</v>
      </c>
      <c r="AD133" s="811">
        <v>17979</v>
      </c>
    </row>
    <row r="134" spans="2:31">
      <c r="B134" s="856"/>
      <c r="C134" s="714" t="s">
        <v>672</v>
      </c>
      <c r="D134" s="811">
        <v>22777</v>
      </c>
      <c r="E134" s="811">
        <v>22972</v>
      </c>
      <c r="F134" s="811">
        <v>23876</v>
      </c>
      <c r="G134" s="811">
        <v>23187</v>
      </c>
      <c r="H134" s="811">
        <v>22452</v>
      </c>
      <c r="I134" s="811">
        <v>22787</v>
      </c>
      <c r="J134" s="811">
        <v>22549</v>
      </c>
      <c r="K134" s="811">
        <v>22783</v>
      </c>
      <c r="L134" s="811">
        <v>24675</v>
      </c>
      <c r="M134" s="811">
        <v>21712</v>
      </c>
      <c r="N134" s="811">
        <v>21983</v>
      </c>
      <c r="O134" s="811">
        <v>22263</v>
      </c>
      <c r="P134" s="811">
        <v>22000</v>
      </c>
      <c r="Q134" s="811">
        <v>22177</v>
      </c>
      <c r="R134" s="811">
        <v>21597</v>
      </c>
      <c r="S134" s="811">
        <v>22368</v>
      </c>
      <c r="T134" s="811">
        <v>23609</v>
      </c>
      <c r="U134" s="811">
        <v>22098</v>
      </c>
      <c r="V134" s="811">
        <v>20010</v>
      </c>
      <c r="W134" s="811">
        <v>22072</v>
      </c>
      <c r="X134" s="811">
        <v>22910</v>
      </c>
      <c r="Y134" s="811">
        <v>22731</v>
      </c>
      <c r="Z134" s="811">
        <v>22898</v>
      </c>
      <c r="AA134" s="811">
        <v>21767</v>
      </c>
      <c r="AB134" s="811">
        <v>24188</v>
      </c>
      <c r="AC134" s="811">
        <v>21368</v>
      </c>
      <c r="AD134" s="811">
        <v>23757</v>
      </c>
    </row>
    <row r="135" spans="2:31">
      <c r="B135" s="856" t="s">
        <v>1117</v>
      </c>
      <c r="C135" s="714" t="s">
        <v>673</v>
      </c>
      <c r="D135" s="811">
        <v>24886</v>
      </c>
      <c r="E135" s="811">
        <v>26210</v>
      </c>
      <c r="F135" s="811">
        <v>29256</v>
      </c>
      <c r="G135" s="811">
        <v>17558</v>
      </c>
      <c r="H135" s="811">
        <v>19522</v>
      </c>
      <c r="I135" s="811">
        <v>21770</v>
      </c>
      <c r="J135" s="811">
        <v>20540</v>
      </c>
      <c r="K135" s="811">
        <v>23423</v>
      </c>
      <c r="L135" s="811">
        <v>22646</v>
      </c>
      <c r="M135" s="811">
        <v>16971</v>
      </c>
      <c r="N135" s="811">
        <v>20521</v>
      </c>
      <c r="O135" s="811">
        <v>25577</v>
      </c>
      <c r="P135" s="811">
        <v>21935</v>
      </c>
      <c r="Q135" s="811">
        <v>21810</v>
      </c>
      <c r="R135" s="811">
        <v>27526</v>
      </c>
      <c r="S135" s="811">
        <v>20496</v>
      </c>
      <c r="T135" s="811">
        <v>25046</v>
      </c>
      <c r="U135" s="811">
        <v>24342</v>
      </c>
      <c r="V135" s="811">
        <v>23562</v>
      </c>
      <c r="W135" s="811">
        <v>25393</v>
      </c>
      <c r="X135" s="811">
        <v>27179</v>
      </c>
      <c r="Y135" s="811">
        <v>20837</v>
      </c>
      <c r="Z135" s="811">
        <v>29842</v>
      </c>
      <c r="AA135" s="811">
        <v>15596</v>
      </c>
      <c r="AB135" s="811">
        <v>25082</v>
      </c>
      <c r="AC135" s="811">
        <v>21056</v>
      </c>
      <c r="AD135" s="811">
        <v>31334</v>
      </c>
    </row>
    <row r="136" spans="2:31">
      <c r="B136" s="856"/>
      <c r="C136" s="714" t="s">
        <v>674</v>
      </c>
      <c r="D136" s="811">
        <v>33909</v>
      </c>
      <c r="E136" s="811">
        <v>36135</v>
      </c>
      <c r="F136" s="811">
        <v>37356</v>
      </c>
      <c r="G136" s="811">
        <v>32526</v>
      </c>
      <c r="H136" s="811">
        <v>30053</v>
      </c>
      <c r="I136" s="811">
        <v>30410</v>
      </c>
      <c r="J136" s="811">
        <v>28673</v>
      </c>
      <c r="K136" s="811">
        <v>35555</v>
      </c>
      <c r="L136" s="811">
        <v>33548</v>
      </c>
      <c r="M136" s="811">
        <v>32090</v>
      </c>
      <c r="N136" s="811">
        <v>33034</v>
      </c>
      <c r="O136" s="811">
        <v>39121</v>
      </c>
      <c r="P136" s="811">
        <v>30965</v>
      </c>
      <c r="Q136" s="811">
        <v>29562</v>
      </c>
      <c r="R136" s="811">
        <v>31318</v>
      </c>
      <c r="S136" s="811">
        <v>32713</v>
      </c>
      <c r="T136" s="811">
        <v>35585</v>
      </c>
      <c r="U136" s="811">
        <v>29017</v>
      </c>
      <c r="V136" s="811">
        <v>28410</v>
      </c>
      <c r="W136" s="811">
        <v>32278</v>
      </c>
      <c r="X136" s="811">
        <v>25860</v>
      </c>
      <c r="Y136" s="811">
        <v>33906</v>
      </c>
      <c r="Z136" s="811">
        <v>38159</v>
      </c>
      <c r="AA136" s="811">
        <v>29685</v>
      </c>
      <c r="AB136" s="811">
        <v>36598</v>
      </c>
      <c r="AC136" s="811">
        <v>25343</v>
      </c>
      <c r="AD136" s="811">
        <v>32265</v>
      </c>
    </row>
    <row r="137" spans="2:31">
      <c r="B137" s="856" t="s">
        <v>1118</v>
      </c>
      <c r="C137" s="1" t="s">
        <v>675</v>
      </c>
      <c r="D137" s="812">
        <v>43778</v>
      </c>
      <c r="E137" s="812">
        <v>33395</v>
      </c>
      <c r="F137" s="812">
        <v>43605</v>
      </c>
      <c r="G137" s="812">
        <v>50666</v>
      </c>
      <c r="H137" s="812">
        <v>53428</v>
      </c>
      <c r="I137" s="812">
        <v>41522</v>
      </c>
      <c r="J137" s="812">
        <v>38587</v>
      </c>
      <c r="K137" s="812">
        <v>45110</v>
      </c>
      <c r="L137" s="812">
        <v>50321</v>
      </c>
      <c r="M137" s="812">
        <v>37139</v>
      </c>
      <c r="N137" s="812">
        <v>39912</v>
      </c>
      <c r="O137" s="812">
        <v>47642</v>
      </c>
      <c r="P137" s="812">
        <v>36894</v>
      </c>
      <c r="Q137" s="812">
        <v>39750</v>
      </c>
      <c r="R137" s="812">
        <v>45961</v>
      </c>
      <c r="S137" s="812">
        <v>39555</v>
      </c>
      <c r="T137" s="812">
        <v>47304</v>
      </c>
      <c r="U137" s="812">
        <v>34552</v>
      </c>
      <c r="V137" s="812">
        <v>38682</v>
      </c>
      <c r="W137" s="812">
        <v>34222</v>
      </c>
      <c r="X137" s="812">
        <v>42807</v>
      </c>
      <c r="Y137" s="812">
        <v>29929</v>
      </c>
      <c r="Z137" s="812">
        <v>39795</v>
      </c>
      <c r="AA137" s="812">
        <v>37003</v>
      </c>
      <c r="AB137" s="812">
        <v>53670</v>
      </c>
      <c r="AC137" s="812">
        <v>35221</v>
      </c>
      <c r="AD137" s="812">
        <v>47146</v>
      </c>
    </row>
    <row r="138" spans="2:31">
      <c r="B138" s="867"/>
      <c r="C138" s="458" t="s">
        <v>676</v>
      </c>
      <c r="D138" s="813">
        <v>58054</v>
      </c>
      <c r="E138" s="813">
        <v>64370</v>
      </c>
      <c r="F138" s="813">
        <v>55611</v>
      </c>
      <c r="G138" s="813">
        <v>58768</v>
      </c>
      <c r="H138" s="813">
        <v>65766</v>
      </c>
      <c r="I138" s="813">
        <v>63432</v>
      </c>
      <c r="J138" s="813">
        <v>64009</v>
      </c>
      <c r="K138" s="813">
        <v>58399</v>
      </c>
      <c r="L138" s="813">
        <v>50380</v>
      </c>
      <c r="M138" s="813">
        <v>61272</v>
      </c>
      <c r="N138" s="813">
        <v>56742</v>
      </c>
      <c r="O138" s="813">
        <v>65903</v>
      </c>
      <c r="P138" s="813">
        <v>60412</v>
      </c>
      <c r="Q138" s="813">
        <v>57594</v>
      </c>
      <c r="R138" s="813">
        <v>56573</v>
      </c>
      <c r="S138" s="813">
        <v>56417</v>
      </c>
      <c r="T138" s="813">
        <v>61445</v>
      </c>
      <c r="U138" s="813">
        <v>56429</v>
      </c>
      <c r="V138" s="813">
        <v>61495</v>
      </c>
      <c r="W138" s="813">
        <v>50837</v>
      </c>
      <c r="X138" s="813">
        <v>62233</v>
      </c>
      <c r="Y138" s="813">
        <v>44392</v>
      </c>
      <c r="Z138" s="813">
        <v>57483</v>
      </c>
      <c r="AA138" s="813">
        <v>56557</v>
      </c>
      <c r="AB138" s="813">
        <v>69665</v>
      </c>
      <c r="AC138" s="813">
        <v>59429</v>
      </c>
      <c r="AD138" s="813">
        <v>66998</v>
      </c>
    </row>
    <row r="139" spans="2:31">
      <c r="B139" s="714" t="s">
        <v>678</v>
      </c>
      <c r="C139" s="803"/>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1114</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Commodities!B13</f>
        <v>TRACNG</v>
      </c>
      <c r="H4" s="729" t="str">
        <f>Commodities!B14</f>
        <v>TRABNG</v>
      </c>
      <c r="I4" s="729" t="str">
        <f>Commodities!B15</f>
        <v>TRAELC</v>
      </c>
      <c r="J4" s="729" t="str">
        <f>Commodities!B16</f>
        <v>TRALNG</v>
      </c>
      <c r="K4" s="729" t="str">
        <f>Commodities!B17</f>
        <v>TRAHYD</v>
      </c>
      <c r="L4" s="729" t="str">
        <f>Commodities!B18</f>
        <v>TRAKER</v>
      </c>
      <c r="M4" s="729" t="str">
        <f>Commodities!B22</f>
        <v>TRAE85</v>
      </c>
      <c r="N4" s="729" t="str">
        <f>Commodities!B23</f>
        <v>TRANGB</v>
      </c>
      <c r="O4" s="729" t="s">
        <v>96</v>
      </c>
    </row>
    <row r="5" spans="2:15">
      <c r="B5" s="29" t="str">
        <f>[1]Commodities!C33</f>
        <v>Carbon Dioxide - Combustion (TRA)</v>
      </c>
      <c r="C5" s="799">
        <v>69.3</v>
      </c>
      <c r="D5" s="800">
        <v>74.099999999999994</v>
      </c>
      <c r="E5" s="801"/>
      <c r="F5" s="801"/>
      <c r="G5" s="801">
        <v>56.1</v>
      </c>
      <c r="H5" s="801"/>
      <c r="I5" s="801"/>
      <c r="J5" s="801">
        <v>56.1</v>
      </c>
      <c r="K5" s="801"/>
      <c r="L5" s="801">
        <v>71.900000000000006</v>
      </c>
      <c r="M5" s="801"/>
      <c r="N5" s="801"/>
      <c r="O5" s="801" t="s">
        <v>1115</v>
      </c>
    </row>
    <row r="6" spans="2:15">
      <c r="B6" s="29" t="str">
        <f>[1]Commodities!C34</f>
        <v>Methane (TRA)</v>
      </c>
      <c r="C6" s="801"/>
      <c r="D6" s="801"/>
      <c r="E6" s="29"/>
      <c r="F6" s="29"/>
      <c r="G6" s="801"/>
      <c r="H6" s="801"/>
      <c r="I6" s="801"/>
      <c r="J6" s="801"/>
      <c r="K6" s="801"/>
      <c r="L6" s="801"/>
      <c r="M6" s="801"/>
      <c r="N6" s="801"/>
      <c r="O6" s="801" t="s">
        <v>1115</v>
      </c>
    </row>
    <row r="7" spans="2:15">
      <c r="B7" s="29" t="str">
        <f>[1]Commodities!C35</f>
        <v>Sulphur Oxides (TRA)</v>
      </c>
      <c r="C7" s="801"/>
      <c r="D7" s="801"/>
      <c r="E7" s="29"/>
      <c r="F7" s="29"/>
      <c r="G7" s="801"/>
      <c r="H7" s="801"/>
      <c r="I7" s="801"/>
      <c r="J7" s="801"/>
      <c r="K7" s="801"/>
      <c r="L7" s="801"/>
      <c r="M7" s="801"/>
      <c r="N7" s="801"/>
      <c r="O7" s="801" t="s">
        <v>1115</v>
      </c>
    </row>
    <row r="8" spans="2:15">
      <c r="B8" s="29" t="str">
        <f>[1]Commodities!C36</f>
        <v>Nitrogen Oxide (TRA)</v>
      </c>
      <c r="C8" s="801"/>
      <c r="D8" s="801"/>
      <c r="E8" s="29"/>
      <c r="F8" s="29"/>
      <c r="G8" s="801"/>
      <c r="H8" s="801"/>
      <c r="I8" s="801"/>
      <c r="J8" s="801"/>
      <c r="K8" s="801"/>
      <c r="L8" s="801"/>
      <c r="M8" s="801"/>
      <c r="N8" s="801"/>
      <c r="O8" s="801" t="s">
        <v>1115</v>
      </c>
    </row>
    <row r="9" spans="2:15">
      <c r="B9" s="56" t="s">
        <v>110</v>
      </c>
      <c r="C9" s="29"/>
      <c r="D9" s="29"/>
      <c r="E9" s="29"/>
      <c r="F9" s="29"/>
      <c r="G9" s="29"/>
      <c r="H9" s="29"/>
      <c r="I9" s="29"/>
      <c r="J9" s="29"/>
      <c r="K9" s="29"/>
      <c r="L9" s="29"/>
      <c r="M9" s="29"/>
      <c r="N9" s="29"/>
      <c r="O9" s="801" t="s">
        <v>1115</v>
      </c>
    </row>
    <row r="10" spans="2:15">
      <c r="B10" s="56" t="s">
        <v>111</v>
      </c>
      <c r="C10" s="29"/>
      <c r="D10" s="29"/>
      <c r="E10" s="29"/>
      <c r="F10" s="29"/>
      <c r="G10" s="29"/>
      <c r="H10" s="29"/>
      <c r="I10" s="29"/>
      <c r="J10" s="29"/>
      <c r="K10" s="29"/>
      <c r="L10" s="29"/>
      <c r="M10" s="29"/>
      <c r="N10" s="29"/>
      <c r="O10" s="801"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2021-01-14T14:53:48Z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79639256000518</vt:r8>
  </property>
</Properties>
</file>