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ThisWorkbook" defaultThemeVersion="124226"/>
  <xr:revisionPtr revIDLastSave="0" documentId="13_ncr:1_{FC9A8803-AB09-4A15-AFFD-27F46D1BA544}" xr6:coauthVersionLast="45" xr6:coauthVersionMax="45" xr10:uidLastSave="{00000000-0000-0000-0000-000000000000}"/>
  <bookViews>
    <workbookView xWindow="-120" yWindow="-120" windowWidth="29040" windowHeight="15840" firstSheet="8" activeTab="12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Heating Drivers" sheetId="46" r:id="rId12"/>
    <sheet name="Non-Heat Drivers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5" i="48"/>
  <c r="C24" i="48"/>
  <c r="C23" i="48"/>
  <c r="C22" i="48"/>
  <c r="C21" i="48"/>
  <c r="C20" i="48"/>
  <c r="C19" i="48"/>
  <c r="B11" i="48"/>
  <c r="B10" i="48"/>
  <c r="B9" i="48"/>
  <c r="B8" i="48"/>
  <c r="B7" i="48"/>
  <c r="B6" i="48"/>
  <c r="B5" i="48"/>
  <c r="B17" i="46"/>
  <c r="B18" i="46"/>
  <c r="B19" i="46"/>
  <c r="B8" i="46"/>
  <c r="B9" i="46"/>
  <c r="B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Q6" i="48" s="1"/>
  <c r="D34" i="9"/>
  <c r="C7" i="48"/>
  <c r="Q7" i="48" s="1"/>
  <c r="D35" i="9"/>
  <c r="C8" i="48" s="1"/>
  <c r="Q8" i="48" s="1"/>
  <c r="D36" i="9"/>
  <c r="C9" i="48" s="1"/>
  <c r="Q9" i="48" s="1"/>
  <c r="D37" i="9"/>
  <c r="F10" i="48" s="1"/>
  <c r="D38" i="9"/>
  <c r="C11" i="48"/>
  <c r="Q11" i="48" s="1"/>
  <c r="F7" i="48"/>
  <c r="F9" i="48"/>
  <c r="F11" i="48"/>
  <c r="D32" i="9"/>
  <c r="F5" i="48"/>
  <c r="F6" i="48"/>
  <c r="C5" i="48"/>
  <c r="Q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10" i="48"/>
  <c r="G11" i="48"/>
  <c r="G6" i="48"/>
  <c r="G9" i="48"/>
  <c r="G8" i="48"/>
  <c r="G7" i="48"/>
  <c r="G5" i="48"/>
  <c r="G25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3" i="48"/>
  <c r="G22" i="48"/>
  <c r="G21" i="48"/>
  <c r="R26" i="22"/>
  <c r="G20" i="48" s="1"/>
  <c r="G19" i="48"/>
  <c r="B26" i="43"/>
  <c r="D24" i="9"/>
  <c r="E10" i="48" s="1"/>
  <c r="E9" i="48"/>
  <c r="E11" i="48"/>
  <c r="E8" i="48"/>
  <c r="E7" i="48"/>
  <c r="B16" i="43"/>
  <c r="D14" i="9"/>
  <c r="B10" i="43"/>
  <c r="D8" i="9"/>
  <c r="E6" i="48"/>
  <c r="E33" i="9"/>
  <c r="D6" i="48" s="1"/>
  <c r="R6" i="48" s="1"/>
  <c r="E34" i="9"/>
  <c r="D7" i="48"/>
  <c r="R7" i="48" s="1"/>
  <c r="E35" i="9"/>
  <c r="D8" i="48"/>
  <c r="R8" i="48" s="1"/>
  <c r="E36" i="9"/>
  <c r="D9" i="48"/>
  <c r="R9" i="48" s="1"/>
  <c r="E37" i="9"/>
  <c r="D10" i="48" s="1"/>
  <c r="R10" i="48" s="1"/>
  <c r="E38" i="9"/>
  <c r="D11" i="48"/>
  <c r="R11" i="48" s="1"/>
  <c r="E32" i="9"/>
  <c r="E19" i="48" s="1"/>
  <c r="D5" i="48"/>
  <c r="R5" i="48" s="1"/>
  <c r="D19" i="48"/>
  <c r="C6" i="46"/>
  <c r="K6" i="46" s="1"/>
  <c r="N6" i="9"/>
  <c r="C7" i="46"/>
  <c r="L7" i="46" s="1"/>
  <c r="O6" i="9"/>
  <c r="D7" i="46"/>
  <c r="M7" i="46" s="1"/>
  <c r="N9" i="9"/>
  <c r="N12" i="9"/>
  <c r="N15" i="9"/>
  <c r="N18" i="9"/>
  <c r="N21" i="9"/>
  <c r="E7" i="46"/>
  <c r="F7" i="46"/>
  <c r="G7" i="46"/>
  <c r="N7" i="9"/>
  <c r="C8" i="46" s="1"/>
  <c r="L8" i="46" s="1"/>
  <c r="O7" i="9"/>
  <c r="D8" i="46"/>
  <c r="M8" i="46" s="1"/>
  <c r="N10" i="9"/>
  <c r="N13" i="9"/>
  <c r="N16" i="9"/>
  <c r="N19" i="9"/>
  <c r="N22" i="9"/>
  <c r="E8" i="46" s="1"/>
  <c r="G8" i="46"/>
  <c r="N8" i="9"/>
  <c r="C9" i="46"/>
  <c r="L9" i="46" s="1"/>
  <c r="O8" i="9"/>
  <c r="D9" i="46" s="1"/>
  <c r="M9" i="46" s="1"/>
  <c r="N11" i="9"/>
  <c r="N14" i="9"/>
  <c r="E9" i="46" s="1"/>
  <c r="N17" i="9"/>
  <c r="N20" i="9"/>
  <c r="M54" i="52" s="1"/>
  <c r="AB54" i="52" s="1"/>
  <c r="N23" i="9"/>
  <c r="F9" i="46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S31" i="28" s="1"/>
  <c r="Y31" i="28" s="1"/>
  <c r="D31" i="28"/>
  <c r="I31" i="28"/>
  <c r="D38" i="28"/>
  <c r="I38" i="28"/>
  <c r="D40" i="28"/>
  <c r="I40" i="28"/>
  <c r="Q41" i="28"/>
  <c r="R41" i="28"/>
  <c r="S41" i="28" s="1"/>
  <c r="Y41" i="28" s="1"/>
  <c r="D41" i="28"/>
  <c r="I41" i="28"/>
  <c r="D42" i="28"/>
  <c r="I42" i="28"/>
  <c r="D34" i="28"/>
  <c r="I34" i="28"/>
  <c r="D35" i="28"/>
  <c r="I35" i="28"/>
  <c r="Q37" i="28"/>
  <c r="R37" i="28"/>
  <c r="S37" i="28"/>
  <c r="D37" i="28"/>
  <c r="I37" i="28"/>
  <c r="Y37" i="28"/>
  <c r="I13" i="22" s="1"/>
  <c r="Q39" i="28"/>
  <c r="R39" i="28"/>
  <c r="S39" i="28" s="1"/>
  <c r="Y39" i="28" s="1"/>
  <c r="D39" i="28"/>
  <c r="I39" i="28"/>
  <c r="Q44" i="28"/>
  <c r="R44" i="28"/>
  <c r="S44" i="28" s="1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S35" i="28" s="1"/>
  <c r="Y35" i="28" s="1"/>
  <c r="D49" i="28"/>
  <c r="I49" i="28"/>
  <c r="Q36" i="28"/>
  <c r="R36" i="28"/>
  <c r="S36" i="28" s="1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S43" i="28" s="1"/>
  <c r="Y43" i="28" s="1"/>
  <c r="I43" i="28"/>
  <c r="Q31" i="51"/>
  <c r="R31" i="51"/>
  <c r="S31" i="51"/>
  <c r="Y31" i="51" s="1"/>
  <c r="D31" i="51"/>
  <c r="I31" i="51"/>
  <c r="D38" i="51"/>
  <c r="I38" i="51"/>
  <c r="D40" i="51"/>
  <c r="I40" i="51"/>
  <c r="Q41" i="51"/>
  <c r="R41" i="51"/>
  <c r="S41" i="51" s="1"/>
  <c r="Y41" i="51" s="1"/>
  <c r="D41" i="51"/>
  <c r="I41" i="51"/>
  <c r="D42" i="51"/>
  <c r="I42" i="51"/>
  <c r="D34" i="51"/>
  <c r="I34" i="51"/>
  <c r="D35" i="51"/>
  <c r="I35" i="51"/>
  <c r="Q37" i="51"/>
  <c r="R37" i="51"/>
  <c r="S37" i="51"/>
  <c r="D37" i="51"/>
  <c r="I37" i="51"/>
  <c r="Y37" i="51"/>
  <c r="J13" i="22"/>
  <c r="Q39" i="51"/>
  <c r="R39" i="51"/>
  <c r="S39" i="51" s="1"/>
  <c r="Y39" i="51" s="1"/>
  <c r="D39" i="51"/>
  <c r="I39" i="51"/>
  <c r="Q44" i="51"/>
  <c r="R44" i="51"/>
  <c r="S44" i="51"/>
  <c r="Y44" i="51" s="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S35" i="51" s="1"/>
  <c r="Y35" i="51" s="1"/>
  <c r="D49" i="51"/>
  <c r="I49" i="51"/>
  <c r="Q36" i="51"/>
  <c r="R36" i="51"/>
  <c r="S36" i="51" s="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S43" i="51" s="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S41" i="52" s="1"/>
  <c r="Y41" i="52" s="1"/>
  <c r="D41" i="52"/>
  <c r="I41" i="52"/>
  <c r="D42" i="52"/>
  <c r="I42" i="52"/>
  <c r="D34" i="52"/>
  <c r="I34" i="52"/>
  <c r="D35" i="52"/>
  <c r="I35" i="52"/>
  <c r="Q37" i="52"/>
  <c r="R37" i="52"/>
  <c r="S37" i="52" s="1"/>
  <c r="Y37" i="52" s="1"/>
  <c r="D37" i="52"/>
  <c r="I37" i="52"/>
  <c r="Q39" i="52"/>
  <c r="R39" i="52"/>
  <c r="S39" i="52"/>
  <c r="Y39" i="52" s="1"/>
  <c r="D39" i="52"/>
  <c r="I39" i="52"/>
  <c r="Q44" i="52"/>
  <c r="R44" i="52"/>
  <c r="S44" i="52" s="1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S35" i="52" s="1"/>
  <c r="Y35" i="52" s="1"/>
  <c r="D49" i="52"/>
  <c r="I49" i="52"/>
  <c r="Q36" i="52"/>
  <c r="R36" i="52"/>
  <c r="S36" i="52"/>
  <c r="Y36" i="52" s="1"/>
  <c r="X36" i="52" s="1"/>
  <c r="U36" i="52" s="1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S43" i="52"/>
  <c r="Y43" i="52" s="1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R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37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X37" i="51"/>
  <c r="U37" i="51" s="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M45" i="28" s="1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O12" i="9"/>
  <c r="O13" i="9"/>
  <c r="O14" i="9"/>
  <c r="S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6" i="48" s="1"/>
  <c r="K17" i="46"/>
  <c r="J17" i="46"/>
  <c r="I17" i="46"/>
  <c r="H17" i="46"/>
  <c r="G17" i="46"/>
  <c r="F17" i="46"/>
  <c r="S14" i="46"/>
  <c r="S13" i="46"/>
  <c r="S32" i="46"/>
  <c r="S31" i="46"/>
  <c r="S30" i="46"/>
  <c r="S29" i="46"/>
  <c r="S28" i="46"/>
  <c r="U34" i="46"/>
  <c r="U33" i="46"/>
  <c r="U23" i="46"/>
  <c r="U24" i="46"/>
  <c r="U25" i="46"/>
  <c r="U26" i="46"/>
  <c r="U27" i="46"/>
  <c r="U22" i="46"/>
  <c r="U21" i="46"/>
  <c r="U20" i="46"/>
  <c r="U19" i="46"/>
  <c r="U17" i="46"/>
  <c r="U18" i="46"/>
  <c r="U16" i="46"/>
  <c r="U15" i="46"/>
  <c r="U13" i="46"/>
  <c r="U12" i="46"/>
  <c r="U11" i="46"/>
  <c r="U10" i="46"/>
  <c r="U9" i="46"/>
  <c r="U6" i="46"/>
  <c r="U7" i="46"/>
  <c r="U8" i="46"/>
  <c r="U5" i="46"/>
  <c r="U4" i="46"/>
  <c r="U3" i="46"/>
  <c r="S4" i="46"/>
  <c r="S5" i="46"/>
  <c r="S6" i="46"/>
  <c r="S7" i="46"/>
  <c r="S8" i="46"/>
  <c r="S9" i="46"/>
  <c r="S10" i="46"/>
  <c r="S11" i="46"/>
  <c r="S12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34" i="46"/>
  <c r="S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5" i="48"/>
  <c r="D24" i="48"/>
  <c r="D23" i="48"/>
  <c r="D22" i="48"/>
  <c r="D21" i="48"/>
  <c r="D20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9" i="46"/>
  <c r="C18" i="46"/>
  <c r="C17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5" i="48"/>
  <c r="E24" i="48"/>
  <c r="E23" i="48"/>
  <c r="E22" i="48"/>
  <c r="E21" i="48"/>
  <c r="E20" i="48"/>
  <c r="T31" i="46"/>
  <c r="T29" i="46"/>
  <c r="T28" i="46"/>
  <c r="T32" i="46"/>
  <c r="T30" i="46"/>
  <c r="D26" i="6"/>
  <c r="C7" i="3"/>
  <c r="C8" i="3"/>
  <c r="D31" i="9"/>
  <c r="C12" i="3" s="1"/>
  <c r="C11" i="3"/>
  <c r="C10" i="3"/>
  <c r="C9" i="3"/>
  <c r="D19" i="46"/>
  <c r="D18" i="46"/>
  <c r="D17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T26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T25" i="46"/>
  <c r="D6" i="6"/>
  <c r="T3" i="46"/>
  <c r="C20" i="43"/>
  <c r="E18" i="9"/>
  <c r="D21" i="6" s="1"/>
  <c r="T23" i="46"/>
  <c r="C15" i="43"/>
  <c r="E13" i="9"/>
  <c r="T17" i="46"/>
  <c r="C21" i="43"/>
  <c r="E19" i="9"/>
  <c r="C24" i="43"/>
  <c r="E22" i="9"/>
  <c r="D25" i="6" s="1"/>
  <c r="C17" i="43"/>
  <c r="E15" i="9"/>
  <c r="T18" i="46" s="1"/>
  <c r="C13" i="43"/>
  <c r="E11" i="9"/>
  <c r="D14" i="6" s="1"/>
  <c r="C14" i="43"/>
  <c r="E12" i="9"/>
  <c r="D15" i="6" s="1"/>
  <c r="C11" i="43"/>
  <c r="E9" i="9"/>
  <c r="T12" i="46" s="1"/>
  <c r="C19" i="43"/>
  <c r="E17" i="9"/>
  <c r="T22" i="46"/>
  <c r="A16" i="43"/>
  <c r="A14" i="9"/>
  <c r="F17" i="6"/>
  <c r="A17" i="43"/>
  <c r="A15" i="9"/>
  <c r="C15" i="9" s="1"/>
  <c r="A18" i="43"/>
  <c r="A16" i="9"/>
  <c r="C16" i="9"/>
  <c r="A19" i="43"/>
  <c r="A17" i="9"/>
  <c r="C17" i="9"/>
  <c r="A12" i="43"/>
  <c r="A10" i="9"/>
  <c r="C10" i="9"/>
  <c r="A20" i="43"/>
  <c r="A18" i="9"/>
  <c r="C18" i="9" s="1"/>
  <c r="A10" i="43"/>
  <c r="A8" i="9"/>
  <c r="C8" i="9" s="1"/>
  <c r="A13" i="43"/>
  <c r="A11" i="9"/>
  <c r="C11" i="9"/>
  <c r="A21" i="43"/>
  <c r="A19" i="9"/>
  <c r="C19" i="9" s="1"/>
  <c r="A15" i="43"/>
  <c r="A13" i="9"/>
  <c r="C13" i="9"/>
  <c r="A26" i="43"/>
  <c r="A24" i="9"/>
  <c r="C24" i="9"/>
  <c r="A14" i="43"/>
  <c r="A12" i="9"/>
  <c r="C12" i="9"/>
  <c r="A6" i="9"/>
  <c r="F22" i="6"/>
  <c r="T14" i="46"/>
  <c r="T13" i="46"/>
  <c r="D12" i="6"/>
  <c r="D22" i="6"/>
  <c r="T24" i="46"/>
  <c r="T20" i="46"/>
  <c r="T19" i="46"/>
  <c r="T21" i="46"/>
  <c r="D28" i="6"/>
  <c r="T34" i="46"/>
  <c r="D11" i="6"/>
  <c r="T11" i="46"/>
  <c r="T10" i="46"/>
  <c r="D9" i="6"/>
  <c r="T7" i="46"/>
  <c r="D7" i="6"/>
  <c r="T5" i="46"/>
  <c r="T4" i="46"/>
  <c r="D27" i="6"/>
  <c r="T33" i="46"/>
  <c r="D10" i="6"/>
  <c r="T9" i="46"/>
  <c r="T8" i="46"/>
  <c r="D16" i="6"/>
  <c r="T16" i="46"/>
  <c r="D8" i="6"/>
  <c r="T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A22" i="9"/>
  <c r="C22" i="9" s="1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6" i="48"/>
  <c r="H26" i="48"/>
  <c r="J26" i="48"/>
  <c r="K26" i="48"/>
  <c r="L26" i="48"/>
  <c r="R29" i="22" l="1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X37" i="52"/>
  <c r="U37" i="52" s="1"/>
  <c r="K13" i="22"/>
  <c r="M35" i="52"/>
  <c r="AB35" i="52" s="1"/>
  <c r="K24" i="22"/>
  <c r="S31" i="52"/>
  <c r="Y31" i="52" s="1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U45" i="28" s="1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H21" i="48"/>
  <c r="I21" i="48" s="1"/>
  <c r="J21" i="48" s="1"/>
  <c r="K21" i="48" s="1"/>
  <c r="L21" i="4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2" i="48"/>
  <c r="I22" i="48" s="1"/>
  <c r="J22" i="48" s="1"/>
  <c r="K22" i="48" s="1"/>
  <c r="L22" i="48" s="1"/>
  <c r="H19" i="48"/>
  <c r="I19" i="48" s="1"/>
  <c r="J19" i="48" s="1"/>
  <c r="K19" i="48" s="1"/>
  <c r="L19" i="48" s="1"/>
  <c r="H20" i="48"/>
  <c r="I20" i="48" s="1"/>
  <c r="J20" i="48" s="1"/>
  <c r="K20" i="48" s="1"/>
  <c r="L20" i="4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8" i="46"/>
  <c r="E5" i="48"/>
  <c r="F8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0" i="48"/>
  <c r="Q10" i="48" s="1"/>
  <c r="T27" i="46"/>
  <c r="T15" i="46"/>
  <c r="M35" i="51"/>
  <c r="AB35" i="51" s="1"/>
  <c r="N17" i="28"/>
  <c r="AC17" i="28" s="1"/>
  <c r="O21" i="52"/>
  <c r="M21" i="52" s="1"/>
  <c r="AB21" i="52" s="1"/>
  <c r="Q26" i="22" l="1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X54" i="28"/>
  <c r="U54" i="28" s="1"/>
  <c r="I11" i="22"/>
  <c r="I29" i="22" s="1"/>
  <c r="X34" i="28"/>
  <c r="U34" i="28" s="1"/>
  <c r="O26" i="22"/>
  <c r="O29" i="22" s="1"/>
  <c r="X55" i="28"/>
  <c r="U55" i="28" s="1"/>
  <c r="Y49" i="28"/>
  <c r="S12" i="52"/>
  <c r="Y12" i="52" s="1"/>
  <c r="X12" i="52" s="1"/>
  <c r="U12" i="52" s="1"/>
  <c r="S19" i="52"/>
  <c r="Y19" i="52" s="1"/>
  <c r="S7" i="52"/>
  <c r="Y7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7" i="28"/>
  <c r="Y7" i="28" s="1"/>
  <c r="S9" i="28"/>
  <c r="Y9" i="28" s="1"/>
  <c r="X49" i="52" l="1"/>
  <c r="U31" i="52"/>
  <c r="O30" i="22"/>
  <c r="Z35" i="22" s="1"/>
  <c r="I30" i="22"/>
  <c r="Z34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Y13" i="22" l="1"/>
  <c r="Y27" i="22"/>
  <c r="Y19" i="22"/>
  <c r="G4" i="22" s="1"/>
  <c r="G24" i="48"/>
  <c r="H24" i="48" s="1"/>
  <c r="I24" i="48" s="1"/>
  <c r="J24" i="48" s="1"/>
  <c r="K24" i="48" s="1"/>
  <c r="L24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Y29" i="22" l="1"/>
  <c r="F30" i="22"/>
  <c r="G5" i="22"/>
  <c r="H2" i="22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W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48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<sst xmlns="http://schemas.openxmlformats.org/spreadsheetml/2006/main" count="69388" uniqueCount="1304">
  <si>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</si>
  <si>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</si>
  <si>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</si>
  <si>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</si>
  <si>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</si>
  <si>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</si>
  <si>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</si>
  <si>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</si>
  <si>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</si>
  <si>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</si>
  <si>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</si>
  <si>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</si>
  <si>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</si>
  <si>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</si>
  <si>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</si>
  <si>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</si>
  <si>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</si>
  <si>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</si>
  <si>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</si>
  <si>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</si>
  <si>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</si>
  <si>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</si>
  <si>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</si>
  <si>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</si>
  <si>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</si>
  <si>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</si>
  <si>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</si>
  <si>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</si>
  <si>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</si>
  <si>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</si>
  <si>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</si>
  <si>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</si>
  <si>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</si>
  <si>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</si>
  <si>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</si>
  <si>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</si>
  <si>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</si>
  <si>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</si>
  <si>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</si>
  <si>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</si>
  <si>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</si>
  <si>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</si>
  <si>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</si>
  <si>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</si>
  <si>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</si>
  <si>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</si>
  <si>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</si>
  <si>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</si>
  <si>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</si>
  <si>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</si>
  <si>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</si>
  <si>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</si>
  <si>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</si>
  <si>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</si>
  <si>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</si>
  <si>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</si>
  <si>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</si>
  <si>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</si>
  <si>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</si>
  <si>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</si>
  <si>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</si>
  <si>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</si>
  <si>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</si>
  <si>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</si>
  <si>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</si>
  <si>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</si>
  <si>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</si>
  <si>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</si>
  <si>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</si>
  <si>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</si>
  <si>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</si>
  <si>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</si>
  <si>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</si>
  <si>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</si>
  <si>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</si>
  <si>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</si>
  <si>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</si>
  <si>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</si>
  <si>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</si>
  <si>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</si>
  <si>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</si>
  <si>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</si>
  <si>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</si>
  <si>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</si>
  <si>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</si>
  <si>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</si>
  <si>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</si>
  <si>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</si>
  <si>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</si>
  <si>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</si>
  <si>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</si>
  <si>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</si>
  <si>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</si>
  <si>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</si>
  <si>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</si>
  <si>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</si>
  <si>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</si>
  <si>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</si>
  <si>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</si>
  <si>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</si>
  <si>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</si>
  <si>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</si>
  <si>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</si>
  <si>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</si>
  <si>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</si>
  <si>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</si>
  <si>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</si>
  <si>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</si>
  <si>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</si>
  <si>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</si>
  <si>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</si>
  <si>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</si>
  <si>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</si>
  <si>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</si>
  <si>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</si>
  <si>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</si>
  <si>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</si>
  <si>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</si>
  <si>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</si>
  <si>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</si>
  <si>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</si>
  <si>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</si>
  <si>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</si>
  <si>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</si>
  <si>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</si>
  <si>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</si>
  <si>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</si>
  <si>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</si>
  <si>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</si>
  <si>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</si>
  <si>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</si>
  <si>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</si>
  <si>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</si>
  <si>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</si>
  <si>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</si>
  <si>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</si>
  <si>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</si>
  <si>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</si>
  <si>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</si>
  <si>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</si>
  <si>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</si>
  <si>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</si>
  <si>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</si>
  <si>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</si>
  <si>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</si>
  <si>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</si>
  <si>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</si>
  <si>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</si>
  <si>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</si>
  <si>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</si>
  <si>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</si>
  <si>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</si>
  <si>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</si>
  <si>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</si>
  <si>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</si>
  <si>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</si>
  <si>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</si>
  <si>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</si>
  <si>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</si>
  <si>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</si>
  <si>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</si>
  <si>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</si>
  <si>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</si>
  <si>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</si>
  <si>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</si>
  <si>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</si>
  <si>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</si>
  <si>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</si>
  <si>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</si>
  <si>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</si>
  <si>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</si>
  <si>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</si>
  <si>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</si>
  <si>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</si>
  <si>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</si>
  <si>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</si>
  <si>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</si>
  <si>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</si>
  <si>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</si>
  <si>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</si>
  <si>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</si>
  <si>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</si>
  <si>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</si>
  <si>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</si>
  <si>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</si>
  <si>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</si>
  <si>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</si>
  <si>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</si>
  <si>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</si>
  <si>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</si>
  <si>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</si>
  <si>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</si>
  <si>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</si>
  <si>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</si>
  <si>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</si>
  <si>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</si>
  <si>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</si>
  <si>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</si>
  <si>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</si>
  <si>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</si>
  <si>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</si>
  <si>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</si>
  <si>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</si>
  <si>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</si>
  <si>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</si>
  <si>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</si>
  <si>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</si>
  <si>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</si>
  <si>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</si>
  <si>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</si>
  <si>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</si>
  <si>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</si>
  <si>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</si>
  <si>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</si>
  <si>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</si>
  <si>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</si>
  <si>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</si>
  <si>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</si>
  <si>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</si>
  <si>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</si>
  <si>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</si>
  <si>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</si>
  <si>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</si>
  <si>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</si>
  <si>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</si>
  <si>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</si>
  <si>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</si>
  <si>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</si>
  <si>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</si>
  <si>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</si>
  <si>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</si>
  <si>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</si>
  <si>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</si>
  <si>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</si>
  <si>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</si>
  <si>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</si>
  <si>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</si>
  <si>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</si>
  <si>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</si>
  <si>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</si>
  <si>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</si>
  <si>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</si>
  <si>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</si>
  <si>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</si>
  <si>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</si>
  <si>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</si>
  <si>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</si>
  <si>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</si>
  <si>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</si>
  <si>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</si>
  <si>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</si>
  <si>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</si>
  <si>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</si>
  <si>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</si>
  <si>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</si>
  <si>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</si>
  <si>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</si>
  <si>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</si>
  <si>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</si>
  <si>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</si>
  <si>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</si>
  <si>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</si>
  <si>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</si>
  <si>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</si>
  <si>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</si>
  <si>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</si>
  <si>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</si>
  <si>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</si>
  <si>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</si>
  <si>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</si>
  <si>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</si>
  <si>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</si>
  <si>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</si>
  <si>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</si>
  <si>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</si>
  <si>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</si>
  <si>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</si>
  <si>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</si>
  <si>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</si>
  <si>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</si>
  <si>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</si>
  <si>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</si>
  <si>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</si>
  <si>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</si>
  <si>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</si>
  <si>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</si>
  <si>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</si>
  <si>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</si>
  <si>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</si>
  <si>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</si>
  <si>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</si>
  <si>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</si>
  <si>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</si>
  <si>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</si>
  <si>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</si>
  <si>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</si>
  <si>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</si>
  <si>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</si>
  <si>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</si>
  <si>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</si>
  <si>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</si>
  <si>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</si>
  <si>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</si>
  <si>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</si>
  <si>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</si>
  <si>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</si>
  <si>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</si>
  <si>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</si>
  <si>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</si>
  <si>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</si>
  <si>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</si>
  <si>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</si>
  <si>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</si>
  <si>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</si>
  <si>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</si>
  <si>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</si>
  <si>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</si>
  <si>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</si>
  <si>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</si>
  <si>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</si>
  <si>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</si>
  <si>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</si>
  <si>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</si>
  <si>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</si>
  <si>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</si>
  <si>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</si>
  <si>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</si>
  <si>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</si>
  <si>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</si>
  <si>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</si>
  <si>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</si>
  <si>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</si>
  <si>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</si>
  <si>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</si>
  <si>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</si>
  <si>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</si>
  <si>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</si>
  <si>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</si>
  <si>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</si>
  <si>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</si>
  <si>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</si>
  <si>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</si>
  <si>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</si>
  <si>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</si>
  <si>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</si>
  <si>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</si>
  <si>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</si>
  <si>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</si>
  <si>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</si>
  <si>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</si>
  <si>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</si>
  <si>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</si>
  <si>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</si>
  <si>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</si>
  <si>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</si>
  <si>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</si>
  <si>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</si>
  <si>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</si>
  <si>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</si>
  <si>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</si>
  <si>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</si>
  <si>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</si>
  <si>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</si>
  <si>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</si>
  <si>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</si>
  <si>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</si>
  <si>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</si>
  <si>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</si>
  <si>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</si>
  <si>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</si>
  <si>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</si>
  <si>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</si>
  <si>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</si>
  <si>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</si>
  <si>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</si>
  <si>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</si>
  <si>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</si>
  <si>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</si>
  <si>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</si>
  <si>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</si>
  <si>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</si>
  <si>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</si>
  <si>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</si>
  <si>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</si>
  <si>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</si>
  <si>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</si>
  <si>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</si>
  <si>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</si>
  <si>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</si>
  <si>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</si>
  <si>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</si>
  <si>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</si>
  <si>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</si>
  <si>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</si>
  <si>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</si>
  <si>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</si>
  <si>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</si>
  <si>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</si>
  <si>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</si>
  <si>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</si>
  <si>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</si>
  <si>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</si>
  <si>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</si>
  <si>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</si>
  <si>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</si>
  <si>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</si>
  <si>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</si>
  <si>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</si>
  <si>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</si>
  <si>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</si>
  <si>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</si>
  <si>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</si>
  <si>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</si>
  <si>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</si>
  <si>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</si>
  <si>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</si>
  <si>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</si>
  <si>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</si>
  <si>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</si>
  <si>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</si>
  <si>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</si>
  <si>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</si>
  <si>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</si>
  <si>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</si>
  <si>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</si>
  <si>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</si>
  <si>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</si>
  <si>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</si>
  <si>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</si>
  <si>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</si>
  <si>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</si>
  <si>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</si>
  <si>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</si>
  <si>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</si>
  <si>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</si>
  <si>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</si>
  <si>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</si>
  <si>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</si>
  <si>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</si>
  <si>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</si>
  <si>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</si>
  <si>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</si>
  <si>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</si>
  <si>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</si>
  <si>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</si>
  <si>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</si>
  <si>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</si>
  <si>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</si>
  <si>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</si>
  <si>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</si>
  <si>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</si>
  <si>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</si>
  <si>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</si>
  <si>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</si>
  <si>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</si>
  <si>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</si>
  <si>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</si>
  <si>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</si>
  <si>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</si>
  <si>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</si>
  <si>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</si>
  <si>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</si>
  <si>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</si>
  <si>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</si>
  <si>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</si>
  <si>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</si>
  <si>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</si>
  <si>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</si>
  <si>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</si>
  <si>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</si>
  <si>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</si>
  <si>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</si>
  <si>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</si>
  <si>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</si>
  <si>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</si>
  <si>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</si>
  <si>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</si>
  <si>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</si>
  <si>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</si>
  <si>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</si>
  <si>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</si>
  <si>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</si>
  <si>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</si>
  <si>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</si>
  <si>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</si>
  <si>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</si>
  <si>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</si>
  <si>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</si>
  <si>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</si>
  <si>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</si>
  <si>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</si>
  <si>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</si>
  <si>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</si>
  <si>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</si>
  <si>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</si>
  <si>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</si>
  <si>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</si>
  <si>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</si>
  <si>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</si>
  <si>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</si>
  <si>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</si>
  <si>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</si>
  <si>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</si>
  <si>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</si>
  <si>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</si>
  <si>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</si>
  <si>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</si>
  <si>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</si>
  <si>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</si>
  <si>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</si>
  <si>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</si>
  <si>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</si>
  <si>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</si>
  <si>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</si>
  <si>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</si>
  <si>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</si>
  <si>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</si>
  <si>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</si>
  <si>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</si>
  <si>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</si>
  <si>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</si>
  <si>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</si>
  <si>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</si>
  <si>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</si>
  <si>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</si>
  <si>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</si>
  <si>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</si>
  <si>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</si>
  <si>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</si>
  <si>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</si>
  <si>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</si>
  <si>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</si>
  <si>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</si>
  <si>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</si>
  <si>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</si>
  <si>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</si>
  <si>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</si>
  <si>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</si>
  <si>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</si>
  <si>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</si>
  <si>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</si>
  <si>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</si>
  <si>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</si>
  <si>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</si>
  <si>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</si>
  <si>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</si>
  <si>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</si>
  <si>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</si>
  <si>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</si>
  <si>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</si>
  <si>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</si>
  <si>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</si>
  <si>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</si>
  <si>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</si>
  <si>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</si>
  <si>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</si>
  <si>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</si>
  <si>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</si>
  <si>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</si>
  <si>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</si>
  <si>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</si>
  <si>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</si>
  <si>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</si>
  <si>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</si>
  <si>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</si>
  <si>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</si>
  <si>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</si>
  <si>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</si>
  <si>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</si>
  <si>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</si>
  <si>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</si>
  <si>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</si>
  <si>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</si>
  <si>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</si>
  <si>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</si>
  <si>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</si>
  <si>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</si>
  <si>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</si>
  <si>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</si>
  <si>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</si>
  <si>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</si>
  <si>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INF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</si>
  <si>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</si>
  <si>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</si>
  <si>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</si>
  <si>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</si>
  <si>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</si>
  <si>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</si>
  <si>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</si>
  <si>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</si>
  <si>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</si>
  <si>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</si>
  <si>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</si>
  <si>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</si>
  <si>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</si>
  <si>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</si>
  <si>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</si>
  <si>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</si>
  <si>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</si>
  <si>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</si>
  <si>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</si>
  <si>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</si>
  <si>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</si>
  <si>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</si>
  <si>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</si>
  <si>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</si>
  <si>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</si>
  <si>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</si>
  <si>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</si>
  <si>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</si>
  <si>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</si>
  <si>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</si>
  <si>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</si>
  <si>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</si>
  <si>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</si>
  <si>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</si>
  <si>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</si>
  <si>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</si>
  <si>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</si>
  <si>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</si>
  <si>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</si>
  <si>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</si>
  <si>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</si>
  <si>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</si>
  <si>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</si>
  <si>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</si>
  <si>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</si>
  <si>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</si>
  <si>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</si>
  <si>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</si>
  <si>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</si>
  <si>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</si>
  <si>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</si>
  <si>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</si>
  <si>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</si>
  <si>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</si>
  <si>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</si>
  <si>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</si>
  <si>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</si>
  <si>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</si>
  <si>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</si>
  <si>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</si>
  <si>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</si>
  <si>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</si>
  <si>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</si>
  <si>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</si>
  <si>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</si>
  <si>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</si>
  <si>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</si>
  <si>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</si>
  <si>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</si>
  <si>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</si>
  <si>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</si>
  <si>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</si>
  <si>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</si>
  <si>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</si>
  <si>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</si>
  <si>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</si>
  <si>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</si>
  <si>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</si>
  <si>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</si>
  <si>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</si>
  <si>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</si>
  <si>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</si>
  <si>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</si>
  <si>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</si>
  <si>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</si>
  <si>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</si>
  <si>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</si>
  <si>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</si>
  <si>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</si>
  <si>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</si>
  <si>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</si>
  <si>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</si>
  <si>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</si>
  <si>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</si>
  <si>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</si>
  <si>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</si>
  <si>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</si>
  <si>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</si>
  <si>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</si>
  <si>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</si>
  <si>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</si>
  <si>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</si>
  <si>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</si>
  <si>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</si>
  <si>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</si>
  <si>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</si>
  <si>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</si>
  <si>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</si>
  <si>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</si>
  <si>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</si>
  <si>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</si>
  <si>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</si>
  <si>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</si>
  <si>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</si>
  <si>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</si>
  <si>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</si>
  <si>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</si>
  <si>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</si>
  <si>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</si>
  <si>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</si>
  <si>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</si>
  <si>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</si>
  <si>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</si>
  <si>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</si>
  <si>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</si>
  <si>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</si>
  <si>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</si>
  <si>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</si>
  <si>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</si>
  <si>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</si>
  <si>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</si>
  <si>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</si>
  <si>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</si>
  <si>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</si>
  <si>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</si>
  <si>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</si>
  <si>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</si>
  <si>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</si>
  <si>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</si>
  <si>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</si>
  <si>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</si>
  <si>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</si>
  <si>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</si>
  <si>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</si>
  <si>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</si>
  <si>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</si>
  <si>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</si>
  <si>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</si>
  <si>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</si>
  <si>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</si>
  <si>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</si>
  <si>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</si>
  <si>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</si>
  <si>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</si>
  <si>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</si>
  <si>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</si>
  <si>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</si>
  <si>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</si>
  <si>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</si>
  <si>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</si>
  <si>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</si>
  <si>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</si>
  <si>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</si>
  <si>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</si>
  <si>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</si>
  <si>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</si>
  <si>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</si>
  <si>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</si>
  <si>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</si>
  <si>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</si>
  <si>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</si>
  <si>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</si>
  <si>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</si>
  <si>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Infrastructure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</si>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</sst>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9" fontId="9" fillId="0" borderId="0" applyFont="0" applyFill="0" applyBorder="0" applyAlignment="0" applyProtection="0"/>
    <xf numFmtId="0" fontId="24" fillId="10" borderId="0" applyNumberFormat="0" applyBorder="0" applyAlignment="0" applyProtection="0"/>
    <xf numFmtId="0" fontId="50" fillId="0" borderId="0" applyNumberFormat="0" applyFill="0" applyBorder="0" applyAlignment="0" applyProtection="0"/>
  </cellStyleXfs>
  <cellXfs count="1044">
    <xf numFmtId="0" fontId="0" fillId="0" borderId="0" xfId="0"/>
    <xf numFmtId="38" fontId="17" fillId="0" borderId="0" xfId="0" applyNumberFormat="1" applyFont="1" applyAlignment="1">
      <alignment horizontal="left" wrapText="1"/>
    </xf>
    <xf numFmtId="38" fontId="18" fillId="0" borderId="20" xfId="0" applyNumberFormat="1" applyFont="1" applyBorder="1" applyAlignment="1">
      <alignment horizontal="center" wrapText="1"/>
    </xf>
    <xf numFmtId="38" fontId="18" fillId="0" borderId="26" xfId="0" applyNumberFormat="1" applyFont="1" applyFill="1" applyBorder="1" applyAlignment="1">
      <alignment horizontal="center" textRotation="90" wrapText="1"/>
    </xf>
    <xf numFmtId="38" fontId="16" fillId="0" borderId="0" xfId="0" applyNumberFormat="1" applyFont="1" applyAlignment="1"/>
    <xf numFmtId="38" fontId="19" fillId="6" borderId="0" xfId="0" applyNumberFormat="1" applyFont="1" applyFill="1" applyAlignment="1"/>
    <xf numFmtId="38" fontId="16" fillId="0" borderId="27" xfId="0" applyNumberFormat="1" applyFont="1" applyFill="1" applyBorder="1" applyAlignment="1">
      <alignment horizontal="left"/>
    </xf>
    <xf numFmtId="38" fontId="16" fillId="0" borderId="0" xfId="0" applyNumberFormat="1" applyFont="1" applyFill="1"/>
    <xf numFmtId="38" fontId="20" fillId="6" borderId="0" xfId="0" applyNumberFormat="1" applyFont="1" applyFill="1"/>
    <xf numFmtId="38" fontId="16" fillId="0" borderId="37" xfId="0" applyNumberFormat="1" applyFont="1" applyFill="1" applyBorder="1" applyAlignment="1">
      <alignment horizontal="left"/>
    </xf>
    <xf numFmtId="38" fontId="16" fillId="0" borderId="46" xfId="0" applyNumberFormat="1" applyFont="1" applyFill="1" applyBorder="1" applyAlignment="1">
      <alignment horizontal="left"/>
    </xf>
    <xf numFmtId="38" fontId="18" fillId="0" borderId="18" xfId="0" applyNumberFormat="1" applyFont="1" applyFill="1" applyBorder="1" applyAlignment="1">
      <alignment horizontal="left"/>
    </xf>
    <xf numFmtId="38" fontId="21" fillId="6" borderId="0" xfId="0" applyNumberFormat="1" applyFont="1" applyFill="1"/>
    <xf numFmtId="38" fontId="18" fillId="0" borderId="0" xfId="0" applyNumberFormat="1" applyFont="1" applyFill="1"/>
    <xf numFmtId="38" fontId="18" fillId="0" borderId="4" xfId="0" applyNumberFormat="1" applyFont="1" applyFill="1" applyBorder="1" applyAlignment="1">
      <alignment horizontal="left"/>
    </xf>
    <xf numFmtId="38" fontId="16" fillId="0" borderId="69" xfId="0" applyNumberFormat="1" applyFont="1" applyFill="1" applyBorder="1" applyAlignment="1">
      <alignment horizontal="left"/>
    </xf>
    <xf numFmtId="38" fontId="16" fillId="0" borderId="79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center"/>
    </xf>
    <xf numFmtId="38" fontId="20" fillId="6" borderId="0" xfId="0" applyNumberFormat="1" applyFont="1" applyFill="1" applyBorder="1"/>
    <xf numFmtId="38" fontId="16" fillId="0" borderId="0" xfId="0" applyNumberFormat="1" applyFont="1" applyFill="1" applyBorder="1"/>
    <xf numFmtId="38" fontId="18" fillId="0" borderId="3" xfId="0" applyNumberFormat="1" applyFont="1" applyFill="1" applyBorder="1" applyAlignment="1">
      <alignment horizontal="left"/>
    </xf>
    <xf numFmtId="38" fontId="16" fillId="0" borderId="0" xfId="0" applyNumberFormat="1" applyFont="1" applyFill="1" applyBorder="1" applyAlignment="1">
      <alignment horizontal="left"/>
    </xf>
    <xf numFmtId="38" fontId="18" fillId="0" borderId="106" xfId="0" applyNumberFormat="1" applyFont="1" applyFill="1" applyBorder="1" applyAlignment="1">
      <alignment horizontal="left"/>
    </xf>
    <xf numFmtId="38" fontId="16" fillId="0" borderId="3" xfId="0" applyNumberFormat="1" applyFont="1" applyFill="1" applyBorder="1" applyAlignment="1">
      <alignment horizontal="left"/>
    </xf>
    <xf numFmtId="38" fontId="21" fillId="6" borderId="0" xfId="0" applyNumberFormat="1" applyFont="1" applyFill="1" applyBorder="1"/>
    <xf numFmtId="38" fontId="18" fillId="0" borderId="0" xfId="0" applyNumberFormat="1" applyFont="1" applyFill="1" applyBorder="1"/>
    <xf numFmtId="38" fontId="16" fillId="0" borderId="121" xfId="0" applyNumberFormat="1" applyFont="1" applyBorder="1" applyAlignment="1">
      <alignment horizontal="left" vertical="top" wrapText="1"/>
    </xf>
    <xf numFmtId="38" fontId="16" fillId="0" borderId="122" xfId="0" applyNumberFormat="1" applyFont="1" applyBorder="1" applyAlignment="1">
      <alignment vertical="top"/>
    </xf>
    <xf numFmtId="38" fontId="16" fillId="0" borderId="0" xfId="0" applyNumberFormat="1" applyFont="1"/>
    <xf numFmtId="38" fontId="16" fillId="2" borderId="37" xfId="0" applyNumberFormat="1" applyFont="1" applyFill="1" applyBorder="1" applyAlignment="1">
      <alignment horizontal="left" vertical="top" wrapText="1"/>
    </xf>
    <xf numFmtId="38" fontId="16" fillId="0" borderId="38" xfId="0" applyNumberFormat="1" applyFont="1" applyBorder="1" applyAlignment="1">
      <alignment horizontal="left" vertical="top"/>
    </xf>
    <xf numFmtId="38" fontId="16" fillId="0" borderId="37" xfId="0" applyNumberFormat="1" applyFont="1" applyBorder="1" applyAlignment="1">
      <alignment horizontal="left" vertical="top" wrapText="1"/>
    </xf>
    <xf numFmtId="38" fontId="16" fillId="0" borderId="38" xfId="0" applyNumberFormat="1" applyFont="1" applyBorder="1" applyAlignment="1">
      <alignment vertical="top"/>
    </xf>
    <xf numFmtId="38" fontId="16" fillId="2" borderId="79" xfId="0" applyNumberFormat="1" applyFont="1" applyFill="1" applyBorder="1" applyAlignment="1">
      <alignment horizontal="left" vertical="top" wrapText="1"/>
    </xf>
    <xf numFmtId="38" fontId="16" fillId="0" borderId="80" xfId="0" applyNumberFormat="1" applyFont="1" applyBorder="1" applyAlignment="1">
      <alignment vertical="top"/>
    </xf>
    <xf numFmtId="38" fontId="16" fillId="0" borderId="69" xfId="0" applyNumberFormat="1" applyFont="1" applyFill="1" applyBorder="1" applyAlignment="1">
      <alignment horizontal="left" vertical="top" wrapText="1"/>
    </xf>
    <xf numFmtId="38" fontId="16" fillId="0" borderId="121" xfId="0" applyNumberFormat="1" applyFont="1" applyFill="1" applyBorder="1" applyAlignment="1">
      <alignment horizontal="left" vertical="top" wrapText="1"/>
    </xf>
    <xf numFmtId="38" fontId="16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8" fillId="0" borderId="0" xfId="0" applyNumberFormat="1" applyFont="1" applyBorder="1" applyAlignment="1">
      <alignment horizontal="center"/>
    </xf>
    <xf numFmtId="165" fontId="18" fillId="0" borderId="0" xfId="1" applyNumberFormat="1" applyFont="1" applyFill="1" applyBorder="1" applyAlignment="1">
      <alignment horizontal="center"/>
    </xf>
    <xf numFmtId="38" fontId="18" fillId="0" borderId="0" xfId="0" applyNumberFormat="1" applyFont="1"/>
    <xf numFmtId="170" fontId="18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8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8" fillId="9" borderId="0" xfId="0" applyNumberFormat="1" applyFont="1" applyFill="1"/>
    <xf numFmtId="38" fontId="16" fillId="0" borderId="0" xfId="0" applyNumberFormat="1" applyFont="1" applyFill="1"/>
    <xf numFmtId="38" fontId="18" fillId="0" borderId="0" xfId="0" applyNumberFormat="1" applyFont="1" applyFill="1"/>
    <xf numFmtId="40" fontId="16" fillId="0" borderId="0" xfId="0" applyNumberFormat="1" applyFont="1" applyFill="1"/>
    <xf numFmtId="0" fontId="0" fillId="0" borderId="0" xfId="0" applyFill="1"/>
    <xf numFmtId="38" fontId="18" fillId="0" borderId="0" xfId="0" applyNumberFormat="1" applyFont="1" applyBorder="1"/>
    <xf numFmtId="40" fontId="18" fillId="0" borderId="0" xfId="0" applyNumberFormat="1" applyFont="1" applyFill="1"/>
    <xf numFmtId="40" fontId="18" fillId="0" borderId="0" xfId="0" applyNumberFormat="1" applyFont="1" applyFill="1" applyBorder="1"/>
    <xf numFmtId="38" fontId="16" fillId="0" borderId="0" xfId="0" applyNumberFormat="1" applyFont="1" applyAlignment="1">
      <alignment horizontal="left"/>
    </xf>
    <xf numFmtId="38" fontId="18" fillId="0" borderId="0" xfId="0" applyNumberFormat="1" applyFont="1" applyFill="1" applyAlignment="1">
      <alignment horizontal="center"/>
    </xf>
    <xf numFmtId="38" fontId="16" fillId="0" borderId="0" xfId="0" applyNumberFormat="1" applyFont="1" applyFill="1" applyAlignment="1">
      <alignment horizontal="center"/>
    </xf>
    <xf numFmtId="38" fontId="18" fillId="0" borderId="0" xfId="0" applyNumberFormat="1" applyFont="1" applyFill="1" applyBorder="1"/>
    <xf numFmtId="38" fontId="21" fillId="0" borderId="0" xfId="0" applyNumberFormat="1" applyFont="1" applyFill="1"/>
    <xf numFmtId="38" fontId="20" fillId="0" borderId="0" xfId="0" applyNumberFormat="1" applyFont="1" applyFill="1"/>
    <xf numFmtId="38" fontId="16" fillId="0" borderId="79" xfId="0" applyNumberFormat="1" applyFont="1" applyFill="1" applyBorder="1" applyAlignment="1">
      <alignment horizontal="left" vertical="top" wrapText="1"/>
    </xf>
    <xf numFmtId="38" fontId="16" fillId="8" borderId="0" xfId="0" applyNumberFormat="1" applyFont="1" applyFill="1"/>
    <xf numFmtId="38" fontId="21" fillId="8" borderId="0" xfId="0" applyNumberFormat="1" applyFont="1" applyFill="1"/>
    <xf numFmtId="38" fontId="18" fillId="8" borderId="0" xfId="0" applyNumberFormat="1" applyFont="1" applyFill="1"/>
    <xf numFmtId="0" fontId="0" fillId="0" borderId="0" xfId="0"/>
    <xf numFmtId="0" fontId="0" fillId="0" borderId="0" xfId="0" applyBorder="1"/>
    <xf numFmtId="169" fontId="24" fillId="10" borderId="0" xfId="2" applyNumberFormat="1" applyFont="1"/>
    <xf numFmtId="0" fontId="26" fillId="13" borderId="4" xfId="0" applyFont="1" applyFill="1" applyBorder="1" applyAlignment="1">
      <alignment vertical="center"/>
    </xf>
    <xf numFmtId="0" fontId="0" fillId="14" borderId="0" xfId="0" applyFill="1"/>
    <xf numFmtId="0" fontId="10" fillId="14" borderId="0" xfId="0" applyFont="1" applyFill="1"/>
    <xf numFmtId="0" fontId="0" fillId="0" borderId="0" xfId="0" applyFont="1" applyAlignment="1">
      <alignment vertical="center"/>
    </xf>
    <xf numFmtId="0" fontId="26" fillId="13" borderId="5" xfId="0" applyFont="1" applyFill="1" applyBorder="1" applyAlignment="1">
      <alignment vertical="center"/>
    </xf>
    <xf numFmtId="0" fontId="27" fillId="7" borderId="4" xfId="0" applyFont="1" applyFill="1" applyBorder="1" applyAlignment="1">
      <alignment horizontal="left" vertical="center" wrapText="1"/>
    </xf>
    <xf numFmtId="0" fontId="27" fillId="7" borderId="2" xfId="0" applyFont="1" applyFill="1" applyBorder="1" applyAlignment="1">
      <alignment horizontal="left" vertical="center" wrapText="1"/>
    </xf>
    <xf numFmtId="0" fontId="23" fillId="14" borderId="0" xfId="0" applyFont="1" applyFill="1"/>
    <xf numFmtId="0" fontId="28" fillId="15" borderId="0" xfId="0" applyFont="1" applyFill="1"/>
    <xf numFmtId="0" fontId="27" fillId="0" borderId="0" xfId="0" applyFont="1"/>
    <xf numFmtId="0" fontId="27" fillId="15" borderId="0" xfId="0" applyFont="1" applyFill="1"/>
    <xf numFmtId="169" fontId="27" fillId="0" borderId="0" xfId="0" applyNumberFormat="1" applyFont="1" applyFill="1" applyBorder="1" applyAlignment="1" applyProtection="1"/>
    <xf numFmtId="0" fontId="27" fillId="0" borderId="0" xfId="0" applyNumberFormat="1" applyFont="1" applyFill="1" applyBorder="1" applyAlignment="1" applyProtection="1"/>
    <xf numFmtId="169" fontId="27" fillId="0" borderId="0" xfId="0" applyNumberFormat="1" applyFont="1"/>
    <xf numFmtId="0" fontId="30" fillId="0" borderId="0" xfId="0" applyFont="1"/>
    <xf numFmtId="169" fontId="24" fillId="15" borderId="0" xfId="2" applyNumberFormat="1" applyFont="1" applyFill="1" applyAlignment="1">
      <alignment vertical="center"/>
    </xf>
    <xf numFmtId="169" fontId="24" fillId="0" borderId="0" xfId="2" applyNumberFormat="1" applyFont="1" applyFill="1" applyAlignment="1">
      <alignment vertical="center"/>
    </xf>
    <xf numFmtId="0" fontId="26" fillId="13" borderId="5" xfId="0" applyFont="1" applyFill="1" applyBorder="1" applyAlignment="1">
      <alignment horizontal="center" vertical="center"/>
    </xf>
    <xf numFmtId="0" fontId="27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7" fillId="7" borderId="4" xfId="0" quotePrefix="1" applyFont="1" applyFill="1" applyBorder="1" applyAlignment="1">
      <alignment horizontal="center" vertical="center" wrapText="1"/>
    </xf>
    <xf numFmtId="169" fontId="24" fillId="0" borderId="0" xfId="2" applyNumberFormat="1" applyFont="1" applyFill="1" applyBorder="1" applyAlignment="1">
      <alignment vertical="center"/>
    </xf>
    <xf numFmtId="0" fontId="26" fillId="13" borderId="19" xfId="0" applyFont="1" applyFill="1" applyBorder="1" applyAlignment="1">
      <alignment horizontal="center" vertical="center"/>
    </xf>
    <xf numFmtId="9" fontId="23" fillId="14" borderId="0" xfId="0" applyNumberFormat="1" applyFont="1" applyFill="1"/>
    <xf numFmtId="0" fontId="24" fillId="18" borderId="0" xfId="0" applyFont="1" applyFill="1"/>
    <xf numFmtId="0" fontId="24" fillId="15" borderId="0" xfId="0" applyFont="1" applyFill="1"/>
    <xf numFmtId="0" fontId="27" fillId="0" borderId="0" xfId="0" applyFont="1" applyBorder="1"/>
    <xf numFmtId="0" fontId="29" fillId="2" borderId="0" xfId="0" applyFont="1" applyFill="1" applyBorder="1" applyProtection="1">
      <protection locked="0"/>
    </xf>
    <xf numFmtId="0" fontId="34" fillId="2" borderId="0" xfId="0" applyNumberFormat="1" applyFont="1" applyFill="1" applyBorder="1" applyAlignment="1" applyProtection="1">
      <alignment horizontal="left"/>
      <protection locked="0"/>
    </xf>
    <xf numFmtId="0" fontId="27" fillId="0" borderId="0" xfId="0" applyNumberFormat="1" applyFont="1" applyFill="1" applyBorder="1" applyAlignment="1" applyProtection="1">
      <protection locked="0"/>
    </xf>
    <xf numFmtId="0" fontId="27" fillId="2" borderId="0" xfId="0" applyFont="1" applyFill="1" applyBorder="1" applyProtection="1">
      <protection locked="0"/>
    </xf>
    <xf numFmtId="0" fontId="34" fillId="2" borderId="0" xfId="0" applyFont="1" applyFill="1" applyBorder="1" applyAlignment="1" applyProtection="1">
      <alignment horizontal="left"/>
      <protection locked="0"/>
    </xf>
    <xf numFmtId="0" fontId="29" fillId="2" borderId="2" xfId="0" applyFont="1" applyFill="1" applyBorder="1" applyProtection="1">
      <protection locked="0"/>
    </xf>
    <xf numFmtId="0" fontId="34" fillId="2" borderId="2" xfId="0" applyNumberFormat="1" applyFont="1" applyFill="1" applyBorder="1" applyAlignment="1" applyProtection="1">
      <alignment horizontal="left"/>
      <protection locked="0"/>
    </xf>
    <xf numFmtId="0" fontId="34" fillId="0" borderId="0" xfId="0" applyNumberFormat="1" applyFont="1" applyFill="1" applyBorder="1" applyAlignment="1" applyProtection="1">
      <protection locked="0"/>
    </xf>
    <xf numFmtId="167" fontId="27" fillId="0" borderId="0" xfId="0" applyNumberFormat="1" applyFont="1"/>
    <xf numFmtId="2" fontId="27" fillId="0" borderId="0" xfId="0" applyNumberFormat="1" applyFont="1" applyFill="1" applyBorder="1" applyAlignment="1" applyProtection="1">
      <protection locked="0"/>
    </xf>
    <xf numFmtId="0" fontId="27" fillId="0" borderId="0" xfId="0" applyFont="1" applyFill="1"/>
    <xf numFmtId="0" fontId="27" fillId="0" borderId="0" xfId="0" applyNumberFormat="1" applyFont="1" applyFill="1" applyBorder="1" applyAlignment="1" applyProtection="1">
      <alignment horizontal="center" wrapText="1"/>
    </xf>
    <xf numFmtId="0" fontId="27" fillId="0" borderId="0" xfId="0" applyNumberFormat="1" applyFont="1" applyFill="1" applyBorder="1" applyAlignment="1" applyProtection="1">
      <alignment horizontal="center" vertical="center"/>
      <protection locked="0"/>
    </xf>
    <xf numFmtId="0" fontId="27" fillId="0" borderId="0" xfId="0" applyFont="1" applyAlignment="1">
      <alignment vertical="center"/>
    </xf>
    <xf numFmtId="0" fontId="27" fillId="0" borderId="0" xfId="0" quotePrefix="1" applyFont="1" applyBorder="1"/>
    <xf numFmtId="169" fontId="24" fillId="10" borderId="0" xfId="2" applyNumberFormat="1"/>
    <xf numFmtId="0" fontId="35" fillId="3" borderId="0" xfId="0" applyNumberFormat="1" applyFont="1" applyFill="1" applyBorder="1" applyAlignment="1" applyProtection="1">
      <alignment vertical="center"/>
    </xf>
    <xf numFmtId="0" fontId="29" fillId="0" borderId="0" xfId="0" applyNumberFormat="1" applyFont="1" applyFill="1" applyBorder="1" applyAlignment="1" applyProtection="1">
      <alignment horizontal="lef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7" fillId="0" borderId="0" xfId="0" applyNumberFormat="1" applyFont="1" applyFill="1" applyBorder="1" applyAlignment="1" applyProtection="1">
      <alignment vertical="center"/>
    </xf>
    <xf numFmtId="169" fontId="24" fillId="10" borderId="0" xfId="2" applyNumberFormat="1" applyFont="1" applyAlignment="1">
      <alignment vertical="center"/>
    </xf>
    <xf numFmtId="169" fontId="27" fillId="0" borderId="0" xfId="0" applyNumberFormat="1" applyFont="1" applyAlignment="1">
      <alignment vertical="center"/>
    </xf>
    <xf numFmtId="0" fontId="34" fillId="0" borderId="0" xfId="0" applyFont="1"/>
    <xf numFmtId="0" fontId="8" fillId="0" borderId="0" xfId="0" applyFont="1"/>
    <xf numFmtId="0" fontId="41" fillId="15" borderId="0" xfId="0" applyFont="1" applyFill="1" applyAlignment="1">
      <alignment vertical="center"/>
    </xf>
    <xf numFmtId="0" fontId="41" fillId="18" borderId="0" xfId="0" applyFont="1" applyFill="1" applyAlignment="1">
      <alignment vertical="center"/>
    </xf>
    <xf numFmtId="0" fontId="34" fillId="14" borderId="0" xfId="0" applyFont="1" applyFill="1"/>
    <xf numFmtId="0" fontId="27" fillId="14" borderId="0" xfId="0" applyFont="1" applyFill="1"/>
    <xf numFmtId="169" fontId="24" fillId="15" borderId="0" xfId="2" applyNumberFormat="1" applyFont="1" applyFill="1" applyAlignment="1"/>
    <xf numFmtId="0" fontId="27" fillId="0" borderId="0" xfId="0" applyFont="1" applyFill="1" applyBorder="1"/>
    <xf numFmtId="2" fontId="27" fillId="0" borderId="0" xfId="0" applyNumberFormat="1" applyFont="1" applyFill="1" applyBorder="1" applyAlignment="1" applyProtection="1">
      <alignment horizontal="right"/>
    </xf>
    <xf numFmtId="0" fontId="43" fillId="0" borderId="0" xfId="0" applyFont="1"/>
    <xf numFmtId="0" fontId="42" fillId="0" borderId="0" xfId="0" applyFont="1" applyFill="1" applyAlignment="1">
      <alignment horizontal="left"/>
    </xf>
    <xf numFmtId="0" fontId="36" fillId="0" borderId="0" xfId="0" applyFont="1" applyFill="1"/>
    <xf numFmtId="0" fontId="27" fillId="0" borderId="0" xfId="0" applyFont="1"/>
    <xf numFmtId="0" fontId="27" fillId="0" borderId="0" xfId="0" applyFont="1"/>
    <xf numFmtId="0" fontId="27" fillId="0" borderId="0" xfId="0" quotePrefix="1" applyFont="1"/>
    <xf numFmtId="0" fontId="7" fillId="20" borderId="0" xfId="0" applyFont="1" applyFill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26" fillId="20" borderId="0" xfId="0" applyFont="1" applyFill="1" applyBorder="1" applyAlignment="1">
      <alignment vertical="center"/>
    </xf>
    <xf numFmtId="0" fontId="45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47" fillId="6" borderId="0" xfId="0" applyFont="1" applyFill="1" applyAlignment="1">
      <alignment vertical="center"/>
    </xf>
    <xf numFmtId="0" fontId="47" fillId="20" borderId="0" xfId="0" applyFont="1" applyFill="1" applyAlignment="1">
      <alignment vertical="center"/>
    </xf>
    <xf numFmtId="0" fontId="7" fillId="0" borderId="0" xfId="0" applyFont="1"/>
    <xf numFmtId="0" fontId="23" fillId="0" borderId="14" xfId="0" applyFont="1" applyBorder="1"/>
    <xf numFmtId="0" fontId="23" fillId="0" borderId="13" xfId="0" applyFont="1" applyBorder="1"/>
    <xf numFmtId="0" fontId="23" fillId="0" borderId="148" xfId="0" applyFont="1" applyBorder="1"/>
    <xf numFmtId="164" fontId="30" fillId="0" borderId="0" xfId="0" applyNumberFormat="1" applyFont="1" applyFill="1" applyAlignment="1">
      <alignment horizontal="center" vertical="center"/>
    </xf>
    <xf numFmtId="0" fontId="30" fillId="0" borderId="0" xfId="0" applyFont="1" applyFill="1" applyAlignment="1">
      <alignment vertical="center"/>
    </xf>
    <xf numFmtId="0" fontId="9" fillId="0" borderId="0" xfId="0" applyFont="1"/>
    <xf numFmtId="169" fontId="48" fillId="10" borderId="0" xfId="2" applyNumberFormat="1" applyFont="1"/>
    <xf numFmtId="0" fontId="34" fillId="2" borderId="4" xfId="0" applyFont="1" applyFill="1" applyBorder="1" applyAlignment="1">
      <alignment vertical="center"/>
    </xf>
    <xf numFmtId="0" fontId="34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49" fillId="0" borderId="16" xfId="0" applyFont="1" applyBorder="1" applyAlignment="1">
      <alignment vertical="center"/>
    </xf>
    <xf numFmtId="38" fontId="18" fillId="21" borderId="109" xfId="0" applyNumberFormat="1" applyFont="1" applyFill="1" applyBorder="1" applyAlignment="1">
      <alignment horizontal="center" textRotation="90" wrapText="1"/>
    </xf>
    <xf numFmtId="38" fontId="18" fillId="21" borderId="110" xfId="0" applyNumberFormat="1" applyFont="1" applyFill="1" applyBorder="1" applyAlignment="1">
      <alignment horizontal="center" textRotation="90" wrapText="1"/>
    </xf>
    <xf numFmtId="38" fontId="18" fillId="21" borderId="112" xfId="0" applyNumberFormat="1" applyFont="1" applyFill="1" applyBorder="1" applyAlignment="1">
      <alignment horizontal="center" textRotation="90" wrapText="1"/>
    </xf>
    <xf numFmtId="38" fontId="18" fillId="21" borderId="152" xfId="0" applyNumberFormat="1" applyFont="1" applyFill="1" applyBorder="1" applyAlignment="1">
      <alignment horizontal="center" textRotation="90" wrapText="1"/>
    </xf>
    <xf numFmtId="38" fontId="16" fillId="21" borderId="0" xfId="0" applyNumberFormat="1" applyFont="1" applyFill="1" applyAlignment="1">
      <alignment horizontal="left"/>
    </xf>
    <xf numFmtId="38" fontId="18" fillId="21" borderId="21" xfId="0" applyNumberFormat="1" applyFont="1" applyFill="1" applyBorder="1" applyAlignment="1">
      <alignment horizontal="center" textRotation="90" wrapText="1"/>
    </xf>
    <xf numFmtId="38" fontId="18" fillId="21" borderId="22" xfId="0" applyNumberFormat="1" applyFont="1" applyFill="1" applyBorder="1" applyAlignment="1">
      <alignment horizontal="center" textRotation="90" wrapText="1"/>
    </xf>
    <xf numFmtId="38" fontId="18" fillId="21" borderId="23" xfId="0" applyNumberFormat="1" applyFont="1" applyFill="1" applyBorder="1" applyAlignment="1">
      <alignment horizontal="center" textRotation="90" wrapText="1"/>
    </xf>
    <xf numFmtId="38" fontId="18" fillId="21" borderId="25" xfId="0" applyNumberFormat="1" applyFont="1" applyFill="1" applyBorder="1" applyAlignment="1">
      <alignment horizontal="center" textRotation="90" wrapText="1"/>
    </xf>
    <xf numFmtId="38" fontId="18" fillId="0" borderId="28" xfId="0" applyNumberFormat="1" applyFont="1" applyBorder="1" applyAlignment="1">
      <alignment horizontal="center"/>
    </xf>
    <xf numFmtId="38" fontId="18" fillId="0" borderId="29" xfId="0" applyNumberFormat="1" applyFont="1" applyBorder="1" applyAlignment="1">
      <alignment horizontal="center"/>
    </xf>
    <xf numFmtId="38" fontId="18" fillId="0" borderId="30" xfId="0" applyNumberFormat="1" applyFont="1" applyBorder="1" applyAlignment="1">
      <alignment horizontal="center"/>
    </xf>
    <xf numFmtId="38" fontId="18" fillId="0" borderId="31" xfId="0" applyNumberFormat="1" applyFont="1" applyBorder="1" applyAlignment="1">
      <alignment horizontal="center"/>
    </xf>
    <xf numFmtId="38" fontId="16" fillId="0" borderId="32" xfId="0" applyNumberFormat="1" applyFont="1" applyBorder="1" applyAlignment="1">
      <alignment horizontal="center"/>
    </xf>
    <xf numFmtId="38" fontId="18" fillId="0" borderId="33" xfId="0" applyNumberFormat="1" applyFont="1" applyBorder="1" applyAlignment="1">
      <alignment horizontal="center"/>
    </xf>
    <xf numFmtId="38" fontId="16" fillId="0" borderId="30" xfId="0" applyNumberFormat="1" applyFont="1" applyBorder="1" applyAlignment="1">
      <alignment horizontal="center"/>
    </xf>
    <xf numFmtId="38" fontId="16" fillId="22" borderId="31" xfId="0" applyNumberFormat="1" applyFont="1" applyFill="1" applyBorder="1" applyAlignment="1">
      <alignment horizontal="center"/>
    </xf>
    <xf numFmtId="38" fontId="16" fillId="0" borderId="31" xfId="0" applyNumberFormat="1" applyFont="1" applyBorder="1" applyAlignment="1">
      <alignment horizontal="center"/>
    </xf>
    <xf numFmtId="38" fontId="16" fillId="0" borderId="34" xfId="0" applyNumberFormat="1" applyFont="1" applyBorder="1" applyAlignment="1">
      <alignment horizontal="center"/>
    </xf>
    <xf numFmtId="38" fontId="18" fillId="0" borderId="27" xfId="0" applyNumberFormat="1" applyFont="1" applyBorder="1" applyAlignment="1">
      <alignment horizontal="center"/>
    </xf>
    <xf numFmtId="38" fontId="16" fillId="0" borderId="35" xfId="0" applyNumberFormat="1" applyFont="1" applyBorder="1" applyAlignment="1">
      <alignment horizontal="center"/>
    </xf>
    <xf numFmtId="38" fontId="16" fillId="0" borderId="33" xfId="0" applyNumberFormat="1" applyFont="1" applyBorder="1" applyAlignment="1">
      <alignment horizontal="center"/>
    </xf>
    <xf numFmtId="38" fontId="16" fillId="0" borderId="36" xfId="0" applyNumberFormat="1" applyFont="1" applyBorder="1" applyAlignment="1">
      <alignment horizontal="center"/>
    </xf>
    <xf numFmtId="38" fontId="18" fillId="0" borderId="38" xfId="0" applyNumberFormat="1" applyFont="1" applyBorder="1" applyAlignment="1">
      <alignment horizontal="center"/>
    </xf>
    <xf numFmtId="38" fontId="18" fillId="0" borderId="39" xfId="0" applyNumberFormat="1" applyFont="1" applyBorder="1" applyAlignment="1">
      <alignment horizontal="center"/>
    </xf>
    <xf numFmtId="38" fontId="18" fillId="0" borderId="40" xfId="0" applyNumberFormat="1" applyFont="1" applyBorder="1" applyAlignment="1">
      <alignment horizontal="center"/>
    </xf>
    <xf numFmtId="38" fontId="18" fillId="0" borderId="41" xfId="0" applyNumberFormat="1" applyFont="1" applyBorder="1" applyAlignment="1">
      <alignment horizontal="center"/>
    </xf>
    <xf numFmtId="38" fontId="16" fillId="0" borderId="41" xfId="0" applyNumberFormat="1" applyFont="1" applyBorder="1" applyAlignment="1">
      <alignment horizontal="center"/>
    </xf>
    <xf numFmtId="38" fontId="18" fillId="0" borderId="42" xfId="0" applyNumberFormat="1" applyFont="1" applyBorder="1" applyAlignment="1">
      <alignment horizontal="center"/>
    </xf>
    <xf numFmtId="38" fontId="16" fillId="0" borderId="40" xfId="0" applyNumberFormat="1" applyFont="1" applyBorder="1" applyAlignment="1">
      <alignment horizontal="center"/>
    </xf>
    <xf numFmtId="38" fontId="16" fillId="22" borderId="43" xfId="0" applyNumberFormat="1" applyFont="1" applyFill="1" applyBorder="1" applyAlignment="1">
      <alignment horizontal="center"/>
    </xf>
    <xf numFmtId="38" fontId="16" fillId="0" borderId="43" xfId="0" applyNumberFormat="1" applyFont="1" applyBorder="1" applyAlignment="1">
      <alignment horizontal="center"/>
    </xf>
    <xf numFmtId="38" fontId="18" fillId="0" borderId="37" xfId="0" applyNumberFormat="1" applyFont="1" applyBorder="1" applyAlignment="1">
      <alignment horizontal="center"/>
    </xf>
    <xf numFmtId="38" fontId="16" fillId="0" borderId="44" xfId="0" applyNumberFormat="1" applyFont="1" applyBorder="1" applyAlignment="1">
      <alignment horizontal="center"/>
    </xf>
    <xf numFmtId="38" fontId="16" fillId="0" borderId="42" xfId="0" applyNumberFormat="1" applyFont="1" applyBorder="1" applyAlignment="1">
      <alignment horizontal="center"/>
    </xf>
    <xf numFmtId="38" fontId="16" fillId="0" borderId="45" xfId="0" applyNumberFormat="1" applyFont="1" applyBorder="1" applyAlignment="1">
      <alignment horizontal="center"/>
    </xf>
    <xf numFmtId="38" fontId="18" fillId="0" borderId="43" xfId="0" applyNumberFormat="1" applyFont="1" applyBorder="1" applyAlignment="1">
      <alignment horizontal="center"/>
    </xf>
    <xf numFmtId="38" fontId="18" fillId="0" borderId="47" xfId="0" applyNumberFormat="1" applyFont="1" applyBorder="1" applyAlignment="1">
      <alignment horizontal="center"/>
    </xf>
    <xf numFmtId="38" fontId="18" fillId="0" borderId="48" xfId="0" applyNumberFormat="1" applyFont="1" applyBorder="1" applyAlignment="1">
      <alignment horizontal="center"/>
    </xf>
    <xf numFmtId="38" fontId="16" fillId="0" borderId="49" xfId="0" applyNumberFormat="1" applyFont="1" applyBorder="1" applyAlignment="1">
      <alignment horizontal="center"/>
    </xf>
    <xf numFmtId="38" fontId="18" fillId="0" borderId="50" xfId="0" applyNumberFormat="1" applyFont="1" applyBorder="1" applyAlignment="1">
      <alignment horizontal="center"/>
    </xf>
    <xf numFmtId="38" fontId="16" fillId="0" borderId="48" xfId="0" applyNumberFormat="1" applyFont="1" applyBorder="1" applyAlignment="1">
      <alignment horizontal="center"/>
    </xf>
    <xf numFmtId="38" fontId="16" fillId="22" borderId="48" xfId="0" applyNumberFormat="1" applyFont="1" applyFill="1" applyBorder="1" applyAlignment="1">
      <alignment horizontal="center"/>
    </xf>
    <xf numFmtId="38" fontId="18" fillId="0" borderId="46" xfId="0" applyNumberFormat="1" applyFont="1" applyBorder="1" applyAlignment="1">
      <alignment horizontal="center"/>
    </xf>
    <xf numFmtId="38" fontId="16" fillId="0" borderId="51" xfId="0" applyNumberFormat="1" applyFont="1" applyBorder="1" applyAlignment="1">
      <alignment horizontal="center"/>
    </xf>
    <xf numFmtId="38" fontId="16" fillId="0" borderId="52" xfId="0" applyNumberFormat="1" applyFont="1" applyBorder="1" applyAlignment="1">
      <alignment horizontal="center"/>
    </xf>
    <xf numFmtId="38" fontId="16" fillId="0" borderId="50" xfId="0" applyNumberFormat="1" applyFont="1" applyBorder="1" applyAlignment="1">
      <alignment horizontal="center"/>
    </xf>
    <xf numFmtId="38" fontId="16" fillId="0" borderId="53" xfId="0" applyNumberFormat="1" applyFont="1" applyBorder="1" applyAlignment="1">
      <alignment horizontal="center"/>
    </xf>
    <xf numFmtId="38" fontId="18" fillId="0" borderId="54" xfId="0" applyNumberFormat="1" applyFont="1" applyBorder="1" applyAlignment="1">
      <alignment horizontal="center"/>
    </xf>
    <xf numFmtId="38" fontId="18" fillId="0" borderId="55" xfId="0" applyNumberFormat="1" applyFont="1" applyBorder="1" applyAlignment="1">
      <alignment horizontal="center"/>
    </xf>
    <xf numFmtId="38" fontId="18" fillId="0" borderId="18" xfId="0" applyNumberFormat="1" applyFont="1" applyBorder="1" applyAlignment="1">
      <alignment horizontal="center"/>
    </xf>
    <xf numFmtId="38" fontId="18" fillId="0" borderId="34" xfId="0" applyNumberFormat="1" applyFont="1" applyBorder="1" applyAlignment="1">
      <alignment horizontal="center"/>
    </xf>
    <xf numFmtId="38" fontId="18" fillId="0" borderId="56" xfId="0" applyNumberFormat="1" applyFont="1" applyBorder="1" applyAlignment="1">
      <alignment horizontal="center"/>
    </xf>
    <xf numFmtId="38" fontId="18" fillId="22" borderId="34" xfId="0" applyNumberFormat="1" applyFont="1" applyFill="1" applyBorder="1" applyAlignment="1">
      <alignment horizontal="center"/>
    </xf>
    <xf numFmtId="38" fontId="18" fillId="0" borderId="57" xfId="0" applyNumberFormat="1" applyFont="1" applyBorder="1" applyAlignment="1">
      <alignment horizontal="center"/>
    </xf>
    <xf numFmtId="38" fontId="18" fillId="0" borderId="58" xfId="0" applyNumberFormat="1" applyFont="1" applyBorder="1" applyAlignment="1">
      <alignment horizontal="center"/>
    </xf>
    <xf numFmtId="38" fontId="18" fillId="0" borderId="59" xfId="0" applyNumberFormat="1" applyFont="1" applyBorder="1" applyAlignment="1">
      <alignment horizontal="center"/>
    </xf>
    <xf numFmtId="38" fontId="18" fillId="0" borderId="60" xfId="0" applyNumberFormat="1" applyFont="1" applyBorder="1" applyAlignment="1">
      <alignment horizontal="center"/>
    </xf>
    <xf numFmtId="38" fontId="18" fillId="0" borderId="61" xfId="0" applyNumberFormat="1" applyFont="1" applyBorder="1" applyAlignment="1">
      <alignment horizontal="center"/>
    </xf>
    <xf numFmtId="38" fontId="18" fillId="0" borderId="4" xfId="0" applyNumberFormat="1" applyFont="1" applyBorder="1" applyAlignment="1">
      <alignment horizontal="center"/>
    </xf>
    <xf numFmtId="38" fontId="18" fillId="0" borderId="62" xfId="0" applyNumberFormat="1" applyFont="1" applyBorder="1" applyAlignment="1">
      <alignment horizontal="center"/>
    </xf>
    <xf numFmtId="38" fontId="18" fillId="0" borderId="63" xfId="0" applyNumberFormat="1" applyFont="1" applyBorder="1" applyAlignment="1">
      <alignment horizontal="center"/>
    </xf>
    <xf numFmtId="38" fontId="18" fillId="0" borderId="11" xfId="0" applyNumberFormat="1" applyFont="1" applyBorder="1" applyAlignment="1">
      <alignment horizontal="center"/>
    </xf>
    <xf numFmtId="38" fontId="18" fillId="22" borderId="62" xfId="0" applyNumberFormat="1" applyFont="1" applyFill="1" applyBorder="1" applyAlignment="1">
      <alignment horizontal="center"/>
    </xf>
    <xf numFmtId="38" fontId="16" fillId="0" borderId="11" xfId="0" applyNumberFormat="1" applyFont="1" applyBorder="1" applyAlignment="1">
      <alignment horizontal="center"/>
    </xf>
    <xf numFmtId="38" fontId="18" fillId="0" borderId="64" xfId="0" applyNumberFormat="1" applyFont="1" applyBorder="1" applyAlignment="1">
      <alignment horizontal="center"/>
    </xf>
    <xf numFmtId="38" fontId="18" fillId="0" borderId="65" xfId="0" applyNumberFormat="1" applyFont="1" applyBorder="1" applyAlignment="1">
      <alignment horizontal="center"/>
    </xf>
    <xf numFmtId="38" fontId="18" fillId="0" borderId="66" xfId="0" applyNumberFormat="1" applyFont="1" applyBorder="1" applyAlignment="1">
      <alignment horizontal="center"/>
    </xf>
    <xf numFmtId="38" fontId="18" fillId="0" borderId="67" xfId="0" applyNumberFormat="1" applyFont="1" applyBorder="1" applyAlignment="1">
      <alignment horizontal="center"/>
    </xf>
    <xf numFmtId="38" fontId="18" fillId="0" borderId="68" xfId="0" applyNumberFormat="1" applyFont="1" applyBorder="1" applyAlignment="1">
      <alignment horizontal="center"/>
    </xf>
    <xf numFmtId="38" fontId="18" fillId="0" borderId="70" xfId="0" applyNumberFormat="1" applyFont="1" applyBorder="1" applyAlignment="1">
      <alignment horizontal="center"/>
    </xf>
    <xf numFmtId="38" fontId="18" fillId="0" borderId="71" xfId="0" applyNumberFormat="1" applyFont="1" applyBorder="1" applyAlignment="1">
      <alignment horizontal="center"/>
    </xf>
    <xf numFmtId="38" fontId="16" fillId="0" borderId="72" xfId="0" applyNumberFormat="1" applyFont="1" applyBorder="1" applyAlignment="1">
      <alignment horizontal="center"/>
    </xf>
    <xf numFmtId="38" fontId="16" fillId="0" borderId="73" xfId="0" applyNumberFormat="1" applyFont="1" applyBorder="1" applyAlignment="1">
      <alignment horizontal="center"/>
    </xf>
    <xf numFmtId="38" fontId="16" fillId="0" borderId="74" xfId="0" applyNumberFormat="1" applyFont="1" applyBorder="1" applyAlignment="1">
      <alignment horizontal="center"/>
    </xf>
    <xf numFmtId="38" fontId="18" fillId="0" borderId="75" xfId="0" applyNumberFormat="1" applyFont="1" applyBorder="1" applyAlignment="1">
      <alignment horizontal="center"/>
    </xf>
    <xf numFmtId="38" fontId="16" fillId="22" borderId="73" xfId="0" applyNumberFormat="1" applyFont="1" applyFill="1" applyBorder="1" applyAlignment="1">
      <alignment horizontal="center"/>
    </xf>
    <xf numFmtId="38" fontId="18" fillId="0" borderId="69" xfId="0" applyNumberFormat="1" applyFont="1" applyBorder="1" applyAlignment="1">
      <alignment horizontal="center"/>
    </xf>
    <xf numFmtId="38" fontId="16" fillId="0" borderId="76" xfId="0" applyNumberFormat="1" applyFont="1" applyBorder="1" applyAlignment="1">
      <alignment horizontal="center"/>
    </xf>
    <xf numFmtId="38" fontId="16" fillId="0" borderId="75" xfId="0" applyNumberFormat="1" applyFont="1" applyBorder="1" applyAlignment="1">
      <alignment horizontal="center"/>
    </xf>
    <xf numFmtId="38" fontId="16" fillId="0" borderId="77" xfId="0" applyNumberFormat="1" applyFont="1" applyBorder="1" applyAlignment="1">
      <alignment horizontal="center"/>
    </xf>
    <xf numFmtId="38" fontId="16" fillId="0" borderId="78" xfId="0" applyNumberFormat="1" applyFont="1" applyBorder="1" applyAlignment="1">
      <alignment horizontal="center"/>
    </xf>
    <xf numFmtId="38" fontId="18" fillId="0" borderId="80" xfId="0" applyNumberFormat="1" applyFont="1" applyBorder="1" applyAlignment="1">
      <alignment horizontal="center"/>
    </xf>
    <xf numFmtId="38" fontId="18" fillId="0" borderId="81" xfId="0" applyNumberFormat="1" applyFont="1" applyBorder="1" applyAlignment="1">
      <alignment horizontal="center"/>
    </xf>
    <xf numFmtId="38" fontId="16" fillId="0" borderId="82" xfId="0" applyNumberFormat="1" applyFont="1" applyBorder="1" applyAlignment="1">
      <alignment horizontal="center"/>
    </xf>
    <xf numFmtId="38" fontId="16" fillId="0" borderId="83" xfId="0" applyNumberFormat="1" applyFont="1" applyBorder="1" applyAlignment="1">
      <alignment horizontal="center"/>
    </xf>
    <xf numFmtId="38" fontId="16" fillId="0" borderId="84" xfId="0" applyNumberFormat="1" applyFont="1" applyBorder="1" applyAlignment="1">
      <alignment horizontal="center"/>
    </xf>
    <xf numFmtId="38" fontId="18" fillId="0" borderId="85" xfId="0" applyNumberFormat="1" applyFont="1" applyBorder="1" applyAlignment="1">
      <alignment horizontal="center"/>
    </xf>
    <xf numFmtId="38" fontId="16" fillId="22" borderId="83" xfId="0" applyNumberFormat="1" applyFont="1" applyFill="1" applyBorder="1" applyAlignment="1">
      <alignment horizontal="center"/>
    </xf>
    <xf numFmtId="38" fontId="18" fillId="0" borderId="79" xfId="0" applyNumberFormat="1" applyFont="1" applyBorder="1" applyAlignment="1">
      <alignment horizontal="center"/>
    </xf>
    <xf numFmtId="38" fontId="16" fillId="0" borderId="86" xfId="0" applyNumberFormat="1" applyFont="1" applyBorder="1" applyAlignment="1">
      <alignment horizontal="center"/>
    </xf>
    <xf numFmtId="38" fontId="16" fillId="0" borderId="85" xfId="0" applyNumberFormat="1" applyFont="1" applyBorder="1" applyAlignment="1">
      <alignment horizontal="center"/>
    </xf>
    <xf numFmtId="38" fontId="16" fillId="0" borderId="87" xfId="0" applyNumberFormat="1" applyFont="1" applyBorder="1" applyAlignment="1">
      <alignment horizontal="center"/>
    </xf>
    <xf numFmtId="38" fontId="18" fillId="0" borderId="20" xfId="0" applyNumberFormat="1" applyFont="1" applyBorder="1" applyAlignment="1">
      <alignment horizontal="center"/>
    </xf>
    <xf numFmtId="38" fontId="18" fillId="0" borderId="88" xfId="0" applyNumberFormat="1" applyFont="1" applyBorder="1" applyAlignment="1">
      <alignment horizontal="center"/>
    </xf>
    <xf numFmtId="38" fontId="18" fillId="0" borderId="89" xfId="0" applyNumberFormat="1" applyFont="1" applyBorder="1" applyAlignment="1">
      <alignment horizontal="center"/>
    </xf>
    <xf numFmtId="38" fontId="18" fillId="0" borderId="90" xfId="0" applyNumberFormat="1" applyFont="1" applyBorder="1" applyAlignment="1">
      <alignment horizontal="center"/>
    </xf>
    <xf numFmtId="38" fontId="18" fillId="0" borderId="91" xfId="0" applyNumberFormat="1" applyFont="1" applyBorder="1" applyAlignment="1">
      <alignment horizontal="center"/>
    </xf>
    <xf numFmtId="38" fontId="18" fillId="0" borderId="13" xfId="0" applyNumberFormat="1" applyFont="1" applyBorder="1" applyAlignment="1">
      <alignment horizontal="center"/>
    </xf>
    <xf numFmtId="38" fontId="18" fillId="22" borderId="90" xfId="0" applyNumberFormat="1" applyFont="1" applyFill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38" fontId="18" fillId="0" borderId="12" xfId="0" applyNumberFormat="1" applyFont="1" applyBorder="1" applyAlignment="1">
      <alignment horizontal="center"/>
    </xf>
    <xf numFmtId="38" fontId="18" fillId="0" borderId="92" xfId="0" applyNumberFormat="1" applyFont="1" applyBorder="1" applyAlignment="1">
      <alignment horizontal="center"/>
    </xf>
    <xf numFmtId="38" fontId="18" fillId="0" borderId="93" xfId="0" applyNumberFormat="1" applyFont="1" applyBorder="1" applyAlignment="1">
      <alignment horizontal="center"/>
    </xf>
    <xf numFmtId="38" fontId="16" fillId="0" borderId="94" xfId="0" applyNumberFormat="1" applyFont="1" applyBorder="1" applyAlignment="1">
      <alignment horizontal="center"/>
    </xf>
    <xf numFmtId="1" fontId="16" fillId="0" borderId="42" xfId="0" applyNumberFormat="1" applyFont="1" applyBorder="1" applyAlignment="1">
      <alignment horizontal="center"/>
    </xf>
    <xf numFmtId="38" fontId="16" fillId="0" borderId="0" xfId="0" applyNumberFormat="1" applyFont="1"/>
    <xf numFmtId="38" fontId="18" fillId="0" borderId="95" xfId="0" applyNumberFormat="1" applyFont="1" applyBorder="1" applyAlignment="1">
      <alignment horizontal="center"/>
    </xf>
    <xf numFmtId="38" fontId="18" fillId="0" borderId="96" xfId="0" applyNumberFormat="1" applyFont="1" applyBorder="1" applyAlignment="1">
      <alignment horizontal="center"/>
    </xf>
    <xf numFmtId="38" fontId="16" fillId="0" borderId="97" xfId="0" applyNumberFormat="1" applyFont="1" applyBorder="1" applyAlignment="1">
      <alignment horizontal="center"/>
    </xf>
    <xf numFmtId="38" fontId="16" fillId="0" borderId="98" xfId="0" applyNumberFormat="1" applyFont="1" applyBorder="1" applyAlignment="1">
      <alignment horizontal="center"/>
    </xf>
    <xf numFmtId="38" fontId="16" fillId="0" borderId="99" xfId="0" applyNumberFormat="1" applyFont="1" applyBorder="1" applyAlignment="1">
      <alignment horizontal="center"/>
    </xf>
    <xf numFmtId="38" fontId="18" fillId="0" borderId="14" xfId="0" applyNumberFormat="1" applyFont="1" applyBorder="1" applyAlignment="1">
      <alignment horizontal="center"/>
    </xf>
    <xf numFmtId="38" fontId="16" fillId="22" borderId="98" xfId="0" applyNumberFormat="1" applyFont="1" applyFill="1" applyBorder="1" applyAlignment="1">
      <alignment horizontal="center"/>
    </xf>
    <xf numFmtId="38" fontId="18" fillId="0" borderId="3" xfId="0" applyNumberFormat="1" applyFont="1" applyBorder="1" applyAlignment="1">
      <alignment horizontal="center"/>
    </xf>
    <xf numFmtId="38" fontId="16" fillId="0" borderId="16" xfId="0" applyNumberFormat="1" applyFont="1" applyBorder="1" applyAlignment="1">
      <alignment horizontal="center"/>
    </xf>
    <xf numFmtId="38" fontId="16" fillId="0" borderId="92" xfId="0" applyNumberFormat="1" applyFont="1" applyBorder="1" applyAlignment="1">
      <alignment horizontal="center"/>
    </xf>
    <xf numFmtId="38" fontId="16" fillId="0" borderId="14" xfId="0" applyNumberFormat="1" applyFont="1" applyBorder="1" applyAlignment="1">
      <alignment horizontal="center"/>
    </xf>
    <xf numFmtId="38" fontId="16" fillId="0" borderId="100" xfId="0" applyNumberFormat="1" applyFont="1" applyBorder="1" applyAlignment="1">
      <alignment horizontal="center"/>
    </xf>
    <xf numFmtId="38" fontId="18" fillId="0" borderId="101" xfId="0" applyNumberFormat="1" applyFont="1" applyBorder="1" applyAlignment="1">
      <alignment horizontal="center"/>
    </xf>
    <xf numFmtId="38" fontId="18" fillId="0" borderId="102" xfId="0" applyNumberFormat="1" applyFont="1" applyBorder="1" applyAlignment="1">
      <alignment horizontal="center"/>
    </xf>
    <xf numFmtId="38" fontId="18" fillId="0" borderId="73" xfId="0" applyNumberFormat="1" applyFont="1" applyBorder="1" applyAlignment="1">
      <alignment horizontal="center"/>
    </xf>
    <xf numFmtId="38" fontId="16" fillId="0" borderId="69" xfId="0" applyNumberFormat="1" applyFont="1" applyBorder="1" applyAlignment="1">
      <alignment horizontal="center"/>
    </xf>
    <xf numFmtId="38" fontId="18" fillId="0" borderId="17" xfId="0" applyNumberFormat="1" applyFont="1" applyBorder="1" applyAlignment="1">
      <alignment horizontal="center"/>
    </xf>
    <xf numFmtId="38" fontId="18" fillId="0" borderId="103" xfId="0" applyNumberFormat="1" applyFont="1" applyBorder="1" applyAlignment="1">
      <alignment horizontal="center"/>
    </xf>
    <xf numFmtId="38" fontId="16" fillId="0" borderId="91" xfId="0" applyNumberFormat="1" applyFont="1" applyBorder="1" applyAlignment="1">
      <alignment horizontal="center"/>
    </xf>
    <xf numFmtId="38" fontId="16" fillId="0" borderId="0" xfId="0" applyNumberFormat="1" applyFont="1" applyAlignment="1">
      <alignment horizontal="center"/>
    </xf>
    <xf numFmtId="38" fontId="16" fillId="22" borderId="90" xfId="0" applyNumberFormat="1" applyFont="1" applyFill="1" applyBorder="1" applyAlignment="1">
      <alignment horizontal="center"/>
    </xf>
    <xf numFmtId="38" fontId="16" fillId="0" borderId="90" xfId="0" applyNumberFormat="1" applyFont="1" applyBorder="1" applyAlignment="1">
      <alignment horizontal="center"/>
    </xf>
    <xf numFmtId="38" fontId="16" fillId="0" borderId="12" xfId="0" applyNumberFormat="1" applyFont="1" applyBorder="1" applyAlignment="1">
      <alignment horizontal="center"/>
    </xf>
    <xf numFmtId="38" fontId="16" fillId="0" borderId="89" xfId="0" applyNumberFormat="1" applyFont="1" applyBorder="1" applyAlignment="1">
      <alignment horizontal="center"/>
    </xf>
    <xf numFmtId="38" fontId="16" fillId="0" borderId="13" xfId="0" applyNumberFormat="1" applyFont="1" applyBorder="1" applyAlignment="1">
      <alignment horizontal="center"/>
    </xf>
    <xf numFmtId="38" fontId="16" fillId="0" borderId="93" xfId="0" applyNumberFormat="1" applyFont="1" applyBorder="1" applyAlignment="1">
      <alignment horizontal="center"/>
    </xf>
    <xf numFmtId="38" fontId="18" fillId="0" borderId="104" xfId="0" applyNumberFormat="1" applyFont="1" applyBorder="1" applyAlignment="1">
      <alignment horizontal="center"/>
    </xf>
    <xf numFmtId="38" fontId="16" fillId="0" borderId="105" xfId="0" applyNumberFormat="1" applyFont="1" applyBorder="1" applyAlignment="1">
      <alignment horizontal="center"/>
    </xf>
    <xf numFmtId="38" fontId="16" fillId="0" borderId="46" xfId="0" applyNumberFormat="1" applyFont="1" applyBorder="1" applyAlignment="1">
      <alignment horizontal="center"/>
    </xf>
    <xf numFmtId="38" fontId="16" fillId="22" borderId="52" xfId="0" applyNumberFormat="1" applyFont="1" applyFill="1" applyBorder="1" applyAlignment="1">
      <alignment horizontal="center"/>
    </xf>
    <xf numFmtId="38" fontId="18" fillId="0" borderId="107" xfId="0" applyNumberFormat="1" applyFont="1" applyBorder="1" applyAlignment="1">
      <alignment horizontal="center"/>
    </xf>
    <xf numFmtId="38" fontId="18" fillId="0" borderId="108" xfId="0" applyNumberFormat="1" applyFont="1" applyBorder="1" applyAlignment="1">
      <alignment horizontal="center"/>
    </xf>
    <xf numFmtId="38" fontId="18" fillId="0" borderId="109" xfId="0" applyNumberFormat="1" applyFont="1" applyBorder="1" applyAlignment="1">
      <alignment horizontal="center"/>
    </xf>
    <xf numFmtId="38" fontId="18" fillId="0" borderId="110" xfId="0" applyNumberFormat="1" applyFont="1" applyBorder="1" applyAlignment="1">
      <alignment horizontal="center"/>
    </xf>
    <xf numFmtId="38" fontId="18" fillId="0" borderId="111" xfId="0" applyNumberFormat="1" applyFont="1" applyBorder="1" applyAlignment="1">
      <alignment horizontal="center"/>
    </xf>
    <xf numFmtId="38" fontId="18" fillId="22" borderId="110" xfId="0" applyNumberFormat="1" applyFont="1" applyFill="1" applyBorder="1" applyAlignment="1">
      <alignment horizontal="center"/>
    </xf>
    <xf numFmtId="38" fontId="18" fillId="0" borderId="106" xfId="0" applyNumberFormat="1" applyFont="1" applyBorder="1" applyAlignment="1">
      <alignment horizontal="center"/>
    </xf>
    <xf numFmtId="38" fontId="18" fillId="0" borderId="112" xfId="0" applyNumberFormat="1" applyFont="1" applyBorder="1" applyAlignment="1">
      <alignment horizontal="center"/>
    </xf>
    <xf numFmtId="38" fontId="18" fillId="0" borderId="113" xfId="0" applyNumberFormat="1" applyFont="1" applyBorder="1" applyAlignment="1">
      <alignment horizontal="center"/>
    </xf>
    <xf numFmtId="38" fontId="16" fillId="0" borderId="95" xfId="0" applyNumberFormat="1" applyFont="1" applyBorder="1" applyAlignment="1">
      <alignment horizontal="center"/>
    </xf>
    <xf numFmtId="38" fontId="18" fillId="0" borderId="114" xfId="0" applyNumberFormat="1" applyFont="1" applyBorder="1" applyAlignment="1">
      <alignment horizontal="center"/>
    </xf>
    <xf numFmtId="38" fontId="18" fillId="0" borderId="122" xfId="0" applyNumberFormat="1" applyFont="1" applyBorder="1" applyAlignment="1">
      <alignment horizontal="center"/>
    </xf>
    <xf numFmtId="38" fontId="18" fillId="0" borderId="140" xfId="0" applyNumberFormat="1" applyFont="1" applyBorder="1" applyAlignment="1">
      <alignment horizontal="center"/>
    </xf>
    <xf numFmtId="38" fontId="16" fillId="0" borderId="0" xfId="0" applyNumberFormat="1" applyFont="1" applyAlignment="1">
      <alignment horizontal="left"/>
    </xf>
    <xf numFmtId="170" fontId="18" fillId="0" borderId="0" xfId="0" applyNumberFormat="1" applyFont="1" applyAlignment="1">
      <alignment horizontal="left"/>
    </xf>
    <xf numFmtId="170" fontId="16" fillId="23" borderId="0" xfId="0" applyNumberFormat="1" applyFont="1" applyFill="1" applyAlignment="1">
      <alignment horizontal="left"/>
    </xf>
    <xf numFmtId="170" fontId="16" fillId="7" borderId="0" xfId="0" applyNumberFormat="1" applyFont="1" applyFill="1" applyAlignment="1">
      <alignment horizontal="left"/>
    </xf>
    <xf numFmtId="38" fontId="16" fillId="22" borderId="0" xfId="0" applyNumberFormat="1" applyFont="1" applyFill="1" applyAlignment="1">
      <alignment horizontal="left"/>
    </xf>
    <xf numFmtId="170" fontId="16" fillId="9" borderId="0" xfId="0" applyNumberFormat="1" applyFont="1" applyFill="1" applyAlignment="1">
      <alignment horizontal="left"/>
    </xf>
    <xf numFmtId="0" fontId="50" fillId="0" borderId="147" xfId="3" applyBorder="1" applyAlignment="1">
      <alignment horizontal="left"/>
    </xf>
    <xf numFmtId="38" fontId="18" fillId="24" borderId="140" xfId="0" applyNumberFormat="1" applyFont="1" applyFill="1" applyBorder="1" applyAlignment="1">
      <alignment horizontal="center"/>
    </xf>
    <xf numFmtId="38" fontId="18" fillId="25" borderId="111" xfId="0" applyNumberFormat="1" applyFont="1" applyFill="1" applyBorder="1" applyAlignment="1">
      <alignment horizontal="center" textRotation="90" wrapText="1"/>
    </xf>
    <xf numFmtId="38" fontId="18" fillId="25" borderId="151" xfId="0" applyNumberFormat="1" applyFont="1" applyFill="1" applyBorder="1" applyAlignment="1">
      <alignment horizontal="center" textRotation="90" wrapText="1"/>
    </xf>
    <xf numFmtId="38" fontId="18" fillId="25" borderId="24" xfId="0" applyNumberFormat="1" applyFont="1" applyFill="1" applyBorder="1" applyAlignment="1">
      <alignment horizontal="center" textRotation="90" wrapText="1"/>
    </xf>
    <xf numFmtId="38" fontId="18" fillId="25" borderId="2" xfId="0" applyNumberFormat="1" applyFont="1" applyFill="1" applyBorder="1" applyAlignment="1">
      <alignment horizontal="center" textRotation="90" wrapText="1"/>
    </xf>
    <xf numFmtId="38" fontId="18" fillId="25" borderId="0" xfId="0" applyNumberFormat="1" applyFont="1" applyFill="1"/>
    <xf numFmtId="38" fontId="18" fillId="25" borderId="108" xfId="0" applyNumberFormat="1" applyFont="1" applyFill="1" applyBorder="1" applyAlignment="1">
      <alignment horizontal="center" textRotation="90" wrapText="1"/>
    </xf>
    <xf numFmtId="38" fontId="18" fillId="25" borderId="5" xfId="0" applyNumberFormat="1" applyFont="1" applyFill="1" applyBorder="1" applyAlignment="1">
      <alignment horizontal="left"/>
    </xf>
    <xf numFmtId="38" fontId="18" fillId="25" borderId="0" xfId="0" applyNumberFormat="1" applyFont="1" applyFill="1" applyBorder="1" applyAlignment="1">
      <alignment horizontal="left"/>
    </xf>
    <xf numFmtId="38" fontId="18" fillId="25" borderId="10" xfId="0" applyNumberFormat="1" applyFont="1" applyFill="1" applyBorder="1" applyAlignment="1">
      <alignment horizontal="left"/>
    </xf>
    <xf numFmtId="38" fontId="18" fillId="25" borderId="3" xfId="0" applyNumberFormat="1" applyFont="1" applyFill="1" applyBorder="1" applyAlignment="1">
      <alignment horizontal="left"/>
    </xf>
    <xf numFmtId="38" fontId="18" fillId="25" borderId="79" xfId="0" applyNumberFormat="1" applyFont="1" applyFill="1" applyBorder="1" applyAlignment="1">
      <alignment horizontal="left" vertical="top" wrapText="1"/>
    </xf>
    <xf numFmtId="0" fontId="50" fillId="0" borderId="0" xfId="3"/>
    <xf numFmtId="0" fontId="22" fillId="28" borderId="1" xfId="0" applyFont="1" applyFill="1" applyBorder="1" applyAlignment="1">
      <alignment horizontal="center"/>
    </xf>
    <xf numFmtId="0" fontId="52" fillId="26" borderId="1" xfId="0" applyFont="1" applyFill="1" applyBorder="1" applyAlignment="1">
      <alignment horizontal="center"/>
    </xf>
    <xf numFmtId="0" fontId="10" fillId="0" borderId="11" xfId="0" applyFont="1" applyBorder="1"/>
    <xf numFmtId="0" fontId="10" fillId="0" borderId="61" xfId="0" applyFont="1" applyBorder="1"/>
    <xf numFmtId="0" fontId="10" fillId="0" borderId="0" xfId="0" applyFont="1"/>
    <xf numFmtId="0" fontId="52" fillId="26" borderId="19" xfId="0" applyFont="1" applyFill="1" applyBorder="1"/>
    <xf numFmtId="0" fontId="10" fillId="25" borderId="142" xfId="0" applyFont="1" applyFill="1" applyBorder="1"/>
    <xf numFmtId="0" fontId="10" fillId="0" borderId="159" xfId="0" applyFont="1" applyBorder="1"/>
    <xf numFmtId="0" fontId="10" fillId="0" borderId="153" xfId="0" applyFont="1" applyBorder="1" applyAlignment="1">
      <alignment horizontal="right"/>
    </xf>
    <xf numFmtId="0" fontId="10" fillId="0" borderId="160" xfId="0" applyFont="1" applyBorder="1" applyAlignment="1">
      <alignment horizontal="right"/>
    </xf>
    <xf numFmtId="0" fontId="10" fillId="0" borderId="157" xfId="0" applyFont="1" applyBorder="1" applyAlignment="1">
      <alignment horizontal="right" vertical="top"/>
    </xf>
    <xf numFmtId="0" fontId="10" fillId="0" borderId="25" xfId="0" applyFont="1" applyBorder="1"/>
    <xf numFmtId="0" fontId="10" fillId="0" borderId="155" xfId="0" applyFont="1" applyBorder="1"/>
    <xf numFmtId="0" fontId="22" fillId="25" borderId="142" xfId="0" applyFont="1" applyFill="1" applyBorder="1"/>
    <xf numFmtId="0" fontId="53" fillId="27" borderId="154" xfId="0" applyFont="1" applyFill="1" applyBorder="1" applyAlignment="1">
      <alignment horizontal="right"/>
    </xf>
    <xf numFmtId="0" fontId="53" fillId="0" borderId="140" xfId="0" applyFont="1" applyBorder="1" applyAlignment="1">
      <alignment horizontal="right" vertical="top"/>
    </xf>
    <xf numFmtId="0" fontId="53" fillId="27" borderId="140" xfId="0" applyFont="1" applyFill="1" applyBorder="1" applyAlignment="1">
      <alignment horizontal="right" vertical="top"/>
    </xf>
    <xf numFmtId="0" fontId="51" fillId="0" borderId="140" xfId="0" applyFont="1" applyBorder="1" applyAlignment="1">
      <alignment horizontal="right" vertical="top"/>
    </xf>
    <xf numFmtId="0" fontId="51" fillId="27" borderId="140" xfId="0" applyFont="1" applyFill="1" applyBorder="1" applyAlignment="1">
      <alignment horizontal="right" vertical="top"/>
    </xf>
    <xf numFmtId="0" fontId="52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2" fillId="25" borderId="156" xfId="0" applyFont="1" applyFill="1" applyBorder="1" applyAlignment="1">
      <alignment horizontal="center"/>
    </xf>
    <xf numFmtId="0" fontId="22" fillId="25" borderId="157" xfId="0" applyFont="1" applyFill="1" applyBorder="1" applyAlignment="1">
      <alignment horizontal="center"/>
    </xf>
    <xf numFmtId="0" fontId="22" fillId="25" borderId="156" xfId="0" applyFont="1" applyFill="1" applyBorder="1" applyAlignment="1"/>
    <xf numFmtId="0" fontId="22" fillId="28" borderId="113" xfId="0" applyFont="1" applyFill="1" applyBorder="1" applyAlignment="1">
      <alignment horizontal="center" wrapText="1"/>
    </xf>
    <xf numFmtId="0" fontId="22" fillId="28" borderId="146" xfId="0" applyFont="1" applyFill="1" applyBorder="1" applyAlignment="1">
      <alignment horizontal="center" wrapText="1"/>
    </xf>
    <xf numFmtId="0" fontId="52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0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0" fillId="0" borderId="153" xfId="0" applyFont="1" applyBorder="1" applyAlignment="1">
      <alignment horizontal="right" vertical="top"/>
    </xf>
    <xf numFmtId="3" fontId="10" fillId="25" borderId="162" xfId="0" applyNumberFormat="1" applyFont="1" applyFill="1" applyBorder="1"/>
    <xf numFmtId="3" fontId="10" fillId="25" borderId="111" xfId="0" applyNumberFormat="1" applyFont="1" applyFill="1" applyBorder="1"/>
    <xf numFmtId="3" fontId="10" fillId="25" borderId="141" xfId="0" applyNumberFormat="1" applyFont="1" applyFill="1" applyBorder="1"/>
    <xf numFmtId="3" fontId="10" fillId="25" borderId="153" xfId="0" applyNumberFormat="1" applyFont="1" applyFill="1" applyBorder="1"/>
    <xf numFmtId="3" fontId="10" fillId="25" borderId="108" xfId="0" applyNumberFormat="1" applyFont="1" applyFill="1" applyBorder="1"/>
    <xf numFmtId="3" fontId="23" fillId="25" borderId="153" xfId="0" applyNumberFormat="1" applyFont="1" applyFill="1" applyBorder="1"/>
    <xf numFmtId="171" fontId="23" fillId="25" borderId="153" xfId="0" applyNumberFormat="1" applyFont="1" applyFill="1" applyBorder="1"/>
    <xf numFmtId="3" fontId="9" fillId="0" borderId="15" xfId="0" applyNumberFormat="1" applyFont="1" applyBorder="1"/>
    <xf numFmtId="3" fontId="9" fillId="0" borderId="1" xfId="0" applyNumberFormat="1" applyFont="1" applyBorder="1"/>
    <xf numFmtId="3" fontId="9" fillId="0" borderId="19" xfId="0" applyNumberFormat="1" applyFont="1" applyBorder="1"/>
    <xf numFmtId="171" fontId="9" fillId="0" borderId="93" xfId="0" applyNumberFormat="1" applyFont="1" applyBorder="1"/>
    <xf numFmtId="3" fontId="9" fillId="0" borderId="157" xfId="0" applyNumberFormat="1" applyFont="1" applyBorder="1"/>
    <xf numFmtId="3" fontId="9" fillId="0" borderId="136" xfId="0" applyNumberFormat="1" applyFont="1" applyBorder="1"/>
    <xf numFmtId="3" fontId="0" fillId="0" borderId="0" xfId="0" applyNumberFormat="1"/>
    <xf numFmtId="0" fontId="55" fillId="0" borderId="0" xfId="0" quotePrefix="1" applyFont="1" applyAlignment="1">
      <alignment horizontal="left"/>
    </xf>
    <xf numFmtId="0" fontId="38" fillId="0" borderId="0" xfId="0" quotePrefix="1" applyFont="1" applyAlignment="1">
      <alignment horizontal="left" vertical="top"/>
    </xf>
    <xf numFmtId="0" fontId="56" fillId="0" borderId="0" xfId="0" applyFont="1" applyAlignment="1">
      <alignment horizontal="left" vertical="top"/>
    </xf>
    <xf numFmtId="0" fontId="52" fillId="28" borderId="67" xfId="3" applyFont="1" applyFill="1" applyBorder="1" applyAlignment="1">
      <alignment horizontal="center"/>
    </xf>
    <xf numFmtId="0" fontId="52" fillId="28" borderId="18" xfId="3" applyFont="1" applyFill="1" applyBorder="1" applyAlignment="1">
      <alignment horizontal="center"/>
    </xf>
    <xf numFmtId="0" fontId="52" fillId="28" borderId="143" xfId="3" applyFont="1" applyFill="1" applyBorder="1" applyAlignment="1">
      <alignment horizontal="center"/>
    </xf>
    <xf numFmtId="0" fontId="22" fillId="28" borderId="59" xfId="0" applyFont="1" applyFill="1" applyBorder="1" applyAlignment="1">
      <alignment horizontal="center"/>
    </xf>
    <xf numFmtId="0" fontId="22" fillId="28" borderId="18" xfId="0" applyFont="1" applyFill="1" applyBorder="1" applyAlignment="1">
      <alignment horizontal="center"/>
    </xf>
    <xf numFmtId="0" fontId="22" fillId="28" borderId="143" xfId="0" applyFont="1" applyFill="1" applyBorder="1" applyAlignment="1">
      <alignment horizontal="center"/>
    </xf>
    <xf numFmtId="0" fontId="22" fillId="28" borderId="136" xfId="0" applyFont="1" applyFill="1" applyBorder="1" applyAlignment="1">
      <alignment horizontal="center"/>
    </xf>
    <xf numFmtId="0" fontId="22" fillId="28" borderId="19" xfId="0" applyFont="1" applyFill="1" applyBorder="1" applyAlignment="1">
      <alignment horizontal="center"/>
    </xf>
    <xf numFmtId="0" fontId="52" fillId="28" borderId="113" xfId="0" applyNumberFormat="1" applyFont="1" applyFill="1" applyBorder="1" applyAlignment="1">
      <alignment horizontal="center"/>
    </xf>
    <xf numFmtId="0" fontId="52" fillId="28" borderId="146" xfId="0" applyNumberFormat="1" applyFont="1" applyFill="1" applyBorder="1" applyAlignment="1">
      <alignment horizontal="center"/>
    </xf>
    <xf numFmtId="0" fontId="24" fillId="28" borderId="0" xfId="0" applyFont="1" applyFill="1"/>
    <xf numFmtId="0" fontId="53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3" fillId="0" borderId="95" xfId="0" applyFont="1" applyBorder="1" applyAlignment="1">
      <alignment horizontal="right" vertical="top"/>
    </xf>
    <xf numFmtId="0" fontId="0" fillId="8" borderId="0" xfId="0" applyFill="1"/>
    <xf numFmtId="0" fontId="52" fillId="28" borderId="55" xfId="0" applyFont="1" applyFill="1" applyBorder="1"/>
    <xf numFmtId="0" fontId="52" fillId="28" borderId="56" xfId="0" applyFont="1" applyFill="1" applyBorder="1"/>
    <xf numFmtId="0" fontId="51" fillId="0" borderId="157" xfId="0" applyFont="1" applyBorder="1" applyAlignment="1">
      <alignment horizontal="right" vertical="top"/>
    </xf>
    <xf numFmtId="0" fontId="51" fillId="27" borderId="157" xfId="0" applyFont="1" applyFill="1" applyBorder="1" applyAlignment="1">
      <alignment horizontal="right" vertical="top"/>
    </xf>
    <xf numFmtId="0" fontId="10" fillId="25" borderId="61" xfId="0" applyFont="1" applyFill="1" applyBorder="1"/>
    <xf numFmtId="0" fontId="10" fillId="25" borderId="11" xfId="0" applyFont="1" applyFill="1" applyBorder="1"/>
    <xf numFmtId="0" fontId="10" fillId="25" borderId="60" xfId="0" applyFont="1" applyFill="1" applyBorder="1"/>
    <xf numFmtId="0" fontId="52" fillId="28" borderId="12" xfId="0" applyFont="1" applyFill="1" applyBorder="1" applyAlignment="1"/>
    <xf numFmtId="0" fontId="52" fillId="28" borderId="17" xfId="0" applyFont="1" applyFill="1" applyBorder="1" applyAlignment="1"/>
    <xf numFmtId="0" fontId="52" fillId="28" borderId="0" xfId="0" applyFont="1" applyFill="1" applyBorder="1" applyAlignment="1"/>
    <xf numFmtId="0" fontId="52" fillId="28" borderId="88" xfId="0" applyFont="1" applyFill="1" applyBorder="1" applyAlignment="1">
      <alignment horizontal="center"/>
    </xf>
    <xf numFmtId="0" fontId="52" fillId="26" borderId="20" xfId="0" applyFont="1" applyFill="1" applyBorder="1"/>
    <xf numFmtId="0" fontId="51" fillId="27" borderId="1" xfId="0" applyFont="1" applyFill="1" applyBorder="1" applyAlignment="1">
      <alignment horizontal="right"/>
    </xf>
    <xf numFmtId="0" fontId="51" fillId="0" borderId="1" xfId="0" applyFont="1" applyBorder="1" applyAlignment="1">
      <alignment horizontal="right" vertical="top"/>
    </xf>
    <xf numFmtId="0" fontId="51" fillId="27" borderId="1" xfId="0" applyFont="1" applyFill="1" applyBorder="1" applyAlignment="1">
      <alignment horizontal="right" vertical="top"/>
    </xf>
    <xf numFmtId="0" fontId="52" fillId="26" borderId="7" xfId="0" applyFont="1" applyFill="1" applyBorder="1" applyAlignment="1">
      <alignment horizontal="right"/>
    </xf>
    <xf numFmtId="0" fontId="53" fillId="27" borderId="157" xfId="0" applyFont="1" applyFill="1" applyBorder="1" applyAlignment="1">
      <alignment horizontal="right"/>
    </xf>
    <xf numFmtId="0" fontId="53" fillId="0" borderId="157" xfId="0" applyFont="1" applyBorder="1" applyAlignment="1">
      <alignment horizontal="right" vertical="top"/>
    </xf>
    <xf numFmtId="0" fontId="53" fillId="27" borderId="157" xfId="0" applyFont="1" applyFill="1" applyBorder="1" applyAlignment="1">
      <alignment horizontal="right" vertical="top"/>
    </xf>
    <xf numFmtId="0" fontId="53" fillId="0" borderId="142" xfId="0" applyFont="1" applyBorder="1" applyAlignment="1">
      <alignment horizontal="right" vertical="top"/>
    </xf>
    <xf numFmtId="0" fontId="52" fillId="28" borderId="7" xfId="0" applyFont="1" applyFill="1" applyBorder="1"/>
    <xf numFmtId="0" fontId="51" fillId="27" borderId="157" xfId="0" applyFont="1" applyFill="1" applyBorder="1" applyAlignment="1">
      <alignment horizontal="right"/>
    </xf>
    <xf numFmtId="0" fontId="52" fillId="28" borderId="54" xfId="0" applyFont="1" applyFill="1" applyBorder="1"/>
    <xf numFmtId="0" fontId="51" fillId="27" borderId="136" xfId="0" applyFont="1" applyFill="1" applyBorder="1" applyAlignment="1">
      <alignment horizontal="right"/>
    </xf>
    <xf numFmtId="0" fontId="51" fillId="27" borderId="140" xfId="0" applyFont="1" applyFill="1" applyBorder="1" applyAlignment="1">
      <alignment horizontal="right"/>
    </xf>
    <xf numFmtId="0" fontId="51" fillId="0" borderId="136" xfId="0" applyFont="1" applyBorder="1" applyAlignment="1">
      <alignment horizontal="right" vertical="top"/>
    </xf>
    <xf numFmtId="0" fontId="51" fillId="27" borderId="136" xfId="0" applyFont="1" applyFill="1" applyBorder="1" applyAlignment="1">
      <alignment horizontal="right" vertical="top"/>
    </xf>
    <xf numFmtId="0" fontId="52" fillId="28" borderId="7" xfId="0" applyFont="1" applyFill="1" applyBorder="1"/>
    <xf numFmtId="0" fontId="53" fillId="27" borderId="163" xfId="0" applyFont="1" applyFill="1" applyBorder="1" applyAlignment="1">
      <alignment horizontal="right" vertical="top"/>
    </xf>
    <xf numFmtId="0" fontId="53" fillId="0" borderId="140" xfId="0" applyFont="1" applyBorder="1" applyAlignment="1">
      <alignment horizontal="right" vertical="top"/>
    </xf>
    <xf numFmtId="0" fontId="53" fillId="0" borderId="163" xfId="0" applyFont="1" applyBorder="1" applyAlignment="1">
      <alignment horizontal="right" vertical="top"/>
    </xf>
    <xf numFmtId="0" fontId="53" fillId="0" borderId="95" xfId="0" applyFont="1" applyBorder="1" applyAlignment="1">
      <alignment horizontal="right" vertical="top"/>
    </xf>
    <xf numFmtId="0" fontId="54" fillId="0" borderId="93" xfId="0" applyFont="1" applyBorder="1" applyAlignment="1">
      <alignment vertical="center"/>
    </xf>
    <xf numFmtId="167" fontId="54" fillId="0" borderId="0" xfId="0" applyNumberFormat="1" applyFont="1" applyBorder="1" applyAlignment="1">
      <alignment vertical="center"/>
    </xf>
    <xf numFmtId="1" fontId="54" fillId="0" borderId="145" xfId="0" applyNumberFormat="1" applyFont="1" applyBorder="1" applyAlignment="1">
      <alignment vertical="center"/>
    </xf>
    <xf numFmtId="0" fontId="55" fillId="0" borderId="26" xfId="0" applyFont="1" applyBorder="1" applyAlignment="1">
      <alignment vertical="center"/>
    </xf>
    <xf numFmtId="0" fontId="55" fillId="0" borderId="2" xfId="0" applyFont="1" applyBorder="1" applyAlignment="1">
      <alignment vertical="center"/>
    </xf>
    <xf numFmtId="1" fontId="54" fillId="0" borderId="93" xfId="0" applyNumberFormat="1" applyFont="1" applyBorder="1" applyAlignment="1">
      <alignment vertical="center"/>
    </xf>
    <xf numFmtId="1" fontId="55" fillId="0" borderId="26" xfId="0" applyNumberFormat="1" applyFont="1" applyBorder="1" applyAlignment="1">
      <alignment vertical="center"/>
    </xf>
    <xf numFmtId="1" fontId="55" fillId="0" borderId="144" xfId="0" applyNumberFormat="1" applyFont="1" applyBorder="1" applyAlignment="1">
      <alignment vertical="center"/>
    </xf>
    <xf numFmtId="0" fontId="54" fillId="0" borderId="9" xfId="0" applyFont="1" applyBorder="1" applyAlignment="1">
      <alignment vertical="center"/>
    </xf>
    <xf numFmtId="0" fontId="55" fillId="30" borderId="8" xfId="0" applyFont="1" applyFill="1" applyBorder="1" applyAlignment="1">
      <alignment vertical="center"/>
    </xf>
    <xf numFmtId="0" fontId="55" fillId="0" borderId="113" xfId="0" quotePrefix="1" applyFont="1" applyBorder="1" applyAlignment="1">
      <alignment horizontal="center"/>
    </xf>
    <xf numFmtId="0" fontId="55" fillId="0" borderId="106" xfId="0" quotePrefix="1" applyFont="1" applyBorder="1" applyAlignment="1">
      <alignment horizontal="center"/>
    </xf>
    <xf numFmtId="0" fontId="55" fillId="0" borderId="153" xfId="0" applyFont="1" applyBorder="1" applyAlignment="1">
      <alignment horizontal="center"/>
    </xf>
    <xf numFmtId="0" fontId="23" fillId="25" borderId="0" xfId="0" applyFont="1" applyFill="1"/>
    <xf numFmtId="167" fontId="53" fillId="0" borderId="163" xfId="0" applyNumberFormat="1" applyFont="1" applyBorder="1" applyAlignment="1">
      <alignment horizontal="right" vertical="top"/>
    </xf>
    <xf numFmtId="167" fontId="53" fillId="0" borderId="140" xfId="0" applyNumberFormat="1" applyFont="1" applyBorder="1" applyAlignment="1">
      <alignment horizontal="right" vertical="top"/>
    </xf>
    <xf numFmtId="167" fontId="53" fillId="0" borderId="95" xfId="0" applyNumberFormat="1" applyFont="1" applyBorder="1" applyAlignment="1">
      <alignment horizontal="right" vertical="top"/>
    </xf>
    <xf numFmtId="0" fontId="23" fillId="28" borderId="164" xfId="0" applyFont="1" applyFill="1" applyBorder="1"/>
    <xf numFmtId="0" fontId="23" fillId="28" borderId="24" xfId="0" applyFont="1" applyFill="1" applyBorder="1"/>
    <xf numFmtId="0" fontId="23" fillId="28" borderId="25" xfId="0" applyFont="1" applyFill="1" applyBorder="1"/>
    <xf numFmtId="0" fontId="23" fillId="28" borderId="8" xfId="0" applyFont="1" applyFill="1" applyBorder="1" applyAlignment="1">
      <alignment horizontal="right"/>
    </xf>
    <xf numFmtId="2" fontId="55" fillId="0" borderId="2" xfId="0" applyNumberFormat="1" applyFont="1" applyBorder="1" applyAlignment="1">
      <alignment vertical="center"/>
    </xf>
    <xf numFmtId="172" fontId="18" fillId="0" borderId="55" xfId="0" applyNumberFormat="1" applyFont="1" applyBorder="1" applyAlignment="1">
      <alignment horizontal="center"/>
    </xf>
    <xf numFmtId="172" fontId="18" fillId="0" borderId="57" xfId="0" applyNumberFormat="1" applyFont="1" applyBorder="1" applyAlignment="1">
      <alignment horizontal="center"/>
    </xf>
    <xf numFmtId="172" fontId="18" fillId="0" borderId="34" xfId="0" applyNumberFormat="1" applyFont="1" applyBorder="1" applyAlignment="1">
      <alignment horizontal="center"/>
    </xf>
    <xf numFmtId="172" fontId="18" fillId="0" borderId="66" xfId="0" applyNumberFormat="1" applyFont="1" applyBorder="1" applyAlignment="1">
      <alignment horizontal="center"/>
    </xf>
    <xf numFmtId="172" fontId="18" fillId="0" borderId="56" xfId="0" applyNumberFormat="1" applyFont="1" applyBorder="1" applyAlignment="1">
      <alignment horizontal="center"/>
    </xf>
    <xf numFmtId="172" fontId="18" fillId="22" borderId="34" xfId="0" applyNumberFormat="1" applyFont="1" applyFill="1" applyBorder="1" applyAlignment="1">
      <alignment horizontal="center"/>
    </xf>
    <xf numFmtId="172" fontId="18" fillId="0" borderId="18" xfId="0" applyNumberFormat="1" applyFont="1" applyBorder="1" applyAlignment="1">
      <alignment horizontal="center"/>
    </xf>
    <xf numFmtId="172" fontId="18" fillId="0" borderId="67" xfId="0" applyNumberFormat="1" applyFont="1" applyBorder="1" applyAlignment="1">
      <alignment horizontal="center"/>
    </xf>
    <xf numFmtId="172" fontId="18" fillId="0" borderId="59" xfId="0" applyNumberFormat="1" applyFont="1" applyBorder="1" applyAlignment="1">
      <alignment horizontal="center"/>
    </xf>
    <xf numFmtId="172" fontId="16" fillId="0" borderId="96" xfId="0" applyNumberFormat="1" applyFont="1" applyBorder="1" applyAlignment="1">
      <alignment horizontal="center"/>
    </xf>
    <xf numFmtId="172" fontId="16" fillId="0" borderId="97" xfId="0" applyNumberFormat="1" applyFont="1" applyBorder="1" applyAlignment="1">
      <alignment horizontal="center"/>
    </xf>
    <xf numFmtId="172" fontId="16" fillId="0" borderId="98" xfId="0" applyNumberFormat="1" applyFont="1" applyBorder="1" applyAlignment="1">
      <alignment horizontal="center"/>
    </xf>
    <xf numFmtId="172" fontId="16" fillId="0" borderId="99" xfId="0" applyNumberFormat="1" applyFont="1" applyBorder="1" applyAlignment="1">
      <alignment horizontal="center"/>
    </xf>
    <xf numFmtId="172" fontId="16" fillId="0" borderId="14" xfId="0" applyNumberFormat="1" applyFont="1" applyBorder="1" applyAlignment="1">
      <alignment horizontal="center"/>
    </xf>
    <xf numFmtId="172" fontId="16" fillId="22" borderId="98" xfId="0" applyNumberFormat="1" applyFont="1" applyFill="1" applyBorder="1" applyAlignment="1">
      <alignment horizontal="center"/>
    </xf>
    <xf numFmtId="172" fontId="16" fillId="0" borderId="3" xfId="0" applyNumberFormat="1" applyFont="1" applyBorder="1" applyAlignment="1">
      <alignment horizontal="center"/>
    </xf>
    <xf numFmtId="172" fontId="16" fillId="0" borderId="16" xfId="0" applyNumberFormat="1" applyFont="1" applyBorder="1" applyAlignment="1">
      <alignment horizontal="center"/>
    </xf>
    <xf numFmtId="172" fontId="16" fillId="0" borderId="100" xfId="0" applyNumberFormat="1" applyFont="1" applyBorder="1" applyAlignment="1">
      <alignment horizontal="center"/>
    </xf>
    <xf numFmtId="172" fontId="18" fillId="22" borderId="57" xfId="0" applyNumberFormat="1" applyFont="1" applyFill="1" applyBorder="1" applyAlignment="1">
      <alignment horizontal="center"/>
    </xf>
    <xf numFmtId="172" fontId="18" fillId="0" borderId="111" xfId="0" applyNumberFormat="1" applyFont="1" applyBorder="1" applyAlignment="1">
      <alignment horizontal="center"/>
    </xf>
    <xf numFmtId="172" fontId="18" fillId="0" borderId="113" xfId="0" applyNumberFormat="1" applyFont="1" applyBorder="1" applyAlignment="1">
      <alignment horizontal="center"/>
    </xf>
    <xf numFmtId="172" fontId="18" fillId="0" borderId="115" xfId="0" applyNumberFormat="1" applyFont="1" applyBorder="1" applyAlignment="1">
      <alignment horizontal="center"/>
    </xf>
    <xf numFmtId="172" fontId="18" fillId="0" borderId="116" xfId="0" applyNumberFormat="1" applyFont="1" applyBorder="1" applyAlignment="1">
      <alignment horizontal="center"/>
    </xf>
    <xf numFmtId="172" fontId="18" fillId="0" borderId="117" xfId="0" applyNumberFormat="1" applyFont="1" applyBorder="1" applyAlignment="1">
      <alignment horizontal="center"/>
    </xf>
    <xf numFmtId="172" fontId="18" fillId="0" borderId="118" xfId="0" applyNumberFormat="1" applyFont="1" applyBorder="1" applyAlignment="1">
      <alignment horizontal="center"/>
    </xf>
    <xf numFmtId="172" fontId="18" fillId="0" borderId="119" xfId="0" applyNumberFormat="1" applyFont="1" applyBorder="1" applyAlignment="1">
      <alignment horizontal="center"/>
    </xf>
    <xf numFmtId="172" fontId="18" fillId="22" borderId="116" xfId="0" applyNumberFormat="1" applyFont="1" applyFill="1" applyBorder="1" applyAlignment="1">
      <alignment horizontal="center"/>
    </xf>
    <xf numFmtId="172" fontId="18" fillId="0" borderId="10" xfId="0" applyNumberFormat="1" applyFont="1" applyBorder="1" applyAlignment="1">
      <alignment horizontal="center"/>
    </xf>
    <xf numFmtId="172" fontId="18" fillId="0" borderId="120" xfId="0" applyNumberFormat="1" applyFont="1" applyBorder="1" applyAlignment="1">
      <alignment horizontal="center"/>
    </xf>
    <xf numFmtId="172" fontId="18" fillId="0" borderId="68" xfId="0" applyNumberFormat="1" applyFont="1" applyBorder="1" applyAlignment="1">
      <alignment horizontal="center"/>
    </xf>
    <xf numFmtId="172" fontId="18" fillId="0" borderId="123" xfId="0" applyNumberFormat="1" applyFont="1" applyBorder="1" applyAlignment="1">
      <alignment horizontal="center"/>
    </xf>
    <xf numFmtId="172" fontId="16" fillId="0" borderId="78" xfId="0" applyNumberFormat="1" applyFont="1" applyBorder="1" applyAlignment="1">
      <alignment horizontal="center"/>
    </xf>
    <xf numFmtId="172" fontId="16" fillId="0" borderId="124" xfId="0" applyNumberFormat="1" applyFont="1" applyBorder="1" applyAlignment="1">
      <alignment horizontal="center"/>
    </xf>
    <xf numFmtId="172" fontId="18" fillId="0" borderId="125" xfId="0" applyNumberFormat="1" applyFont="1" applyBorder="1" applyAlignment="1">
      <alignment horizontal="center"/>
    </xf>
    <xf numFmtId="172" fontId="16" fillId="0" borderId="126" xfId="0" applyNumberFormat="1" applyFont="1" applyBorder="1" applyAlignment="1">
      <alignment horizontal="center"/>
    </xf>
    <xf numFmtId="172" fontId="16" fillId="22" borderId="78" xfId="0" applyNumberFormat="1" applyFont="1" applyFill="1" applyBorder="1" applyAlignment="1">
      <alignment horizontal="center"/>
    </xf>
    <xf numFmtId="172" fontId="18" fillId="7" borderId="125" xfId="0" applyNumberFormat="1" applyFont="1" applyFill="1" applyBorder="1" applyAlignment="1">
      <alignment horizontal="center"/>
    </xf>
    <xf numFmtId="172" fontId="16" fillId="7" borderId="75" xfId="0" applyNumberFormat="1" applyFont="1" applyFill="1" applyBorder="1" applyAlignment="1">
      <alignment horizontal="center"/>
    </xf>
    <xf numFmtId="172" fontId="18" fillId="0" borderId="121" xfId="0" applyNumberFormat="1" applyFont="1" applyBorder="1" applyAlignment="1">
      <alignment horizontal="center"/>
    </xf>
    <xf numFmtId="172" fontId="16" fillId="0" borderId="127" xfId="0" applyNumberFormat="1" applyFont="1" applyBorder="1" applyAlignment="1">
      <alignment horizontal="center"/>
    </xf>
    <xf numFmtId="172" fontId="16" fillId="0" borderId="69" xfId="0" applyNumberFormat="1" applyFont="1" applyBorder="1" applyAlignment="1">
      <alignment horizontal="center"/>
    </xf>
    <xf numFmtId="172" fontId="16" fillId="0" borderId="75" xfId="0" applyNumberFormat="1" applyFont="1" applyBorder="1" applyAlignment="1">
      <alignment horizontal="center"/>
    </xf>
    <xf numFmtId="172" fontId="16" fillId="0" borderId="77" xfId="0" applyNumberFormat="1" applyFont="1" applyBorder="1" applyAlignment="1">
      <alignment horizontal="center"/>
    </xf>
    <xf numFmtId="172" fontId="18" fillId="0" borderId="39" xfId="0" applyNumberFormat="1" applyFont="1" applyBorder="1" applyAlignment="1">
      <alignment horizontal="center"/>
    </xf>
    <xf numFmtId="172" fontId="16" fillId="0" borderId="43" xfId="0" applyNumberFormat="1" applyFont="1" applyBorder="1" applyAlignment="1">
      <alignment horizontal="center"/>
    </xf>
    <xf numFmtId="172" fontId="16" fillId="0" borderId="41" xfId="0" applyNumberFormat="1" applyFont="1" applyBorder="1" applyAlignment="1">
      <alignment horizontal="center"/>
    </xf>
    <xf numFmtId="172" fontId="18" fillId="0" borderId="42" xfId="0" applyNumberFormat="1" applyFont="1" applyBorder="1" applyAlignment="1">
      <alignment horizontal="center"/>
    </xf>
    <xf numFmtId="172" fontId="16" fillId="0" borderId="40" xfId="0" applyNumberFormat="1" applyFont="1" applyBorder="1" applyAlignment="1">
      <alignment horizontal="center"/>
    </xf>
    <xf numFmtId="172" fontId="16" fillId="22" borderId="43" xfId="0" applyNumberFormat="1" applyFont="1" applyFill="1" applyBorder="1" applyAlignment="1">
      <alignment horizontal="center"/>
    </xf>
    <xf numFmtId="172" fontId="18" fillId="7" borderId="42" xfId="0" applyNumberFormat="1" applyFont="1" applyFill="1" applyBorder="1" applyAlignment="1">
      <alignment horizontal="center"/>
    </xf>
    <xf numFmtId="172" fontId="16" fillId="7" borderId="42" xfId="0" applyNumberFormat="1" applyFont="1" applyFill="1" applyBorder="1" applyAlignment="1">
      <alignment horizontal="center"/>
    </xf>
    <xf numFmtId="172" fontId="18" fillId="0" borderId="37" xfId="0" applyNumberFormat="1" applyFont="1" applyBorder="1" applyAlignment="1">
      <alignment horizontal="center"/>
    </xf>
    <xf numFmtId="172" fontId="16" fillId="0" borderId="44" xfId="0" applyNumberFormat="1" applyFont="1" applyBorder="1" applyAlignment="1">
      <alignment horizontal="center"/>
    </xf>
    <xf numFmtId="172" fontId="16" fillId="0" borderId="37" xfId="0" applyNumberFormat="1" applyFont="1" applyBorder="1" applyAlignment="1">
      <alignment horizontal="center"/>
    </xf>
    <xf numFmtId="172" fontId="16" fillId="0" borderId="42" xfId="0" applyNumberFormat="1" applyFont="1" applyBorder="1" applyAlignment="1">
      <alignment horizontal="center"/>
    </xf>
    <xf numFmtId="172" fontId="16" fillId="0" borderId="45" xfId="0" applyNumberFormat="1" applyFont="1" applyBorder="1" applyAlignment="1">
      <alignment horizontal="center"/>
    </xf>
    <xf numFmtId="172" fontId="16" fillId="7" borderId="125" xfId="0" applyNumberFormat="1" applyFont="1" applyFill="1" applyBorder="1" applyAlignment="1">
      <alignment horizontal="center"/>
    </xf>
    <xf numFmtId="172" fontId="16" fillId="0" borderId="121" xfId="0" applyNumberFormat="1" applyFont="1" applyBorder="1" applyAlignment="1">
      <alignment horizontal="center"/>
    </xf>
    <xf numFmtId="172" fontId="16" fillId="0" borderId="125" xfId="0" applyNumberFormat="1" applyFont="1" applyBorder="1" applyAlignment="1">
      <alignment horizontal="center"/>
    </xf>
    <xf numFmtId="172" fontId="16" fillId="7" borderId="13" xfId="0" applyNumberFormat="1" applyFont="1" applyFill="1" applyBorder="1" applyAlignment="1">
      <alignment horizontal="center"/>
    </xf>
    <xf numFmtId="172" fontId="16" fillId="0" borderId="0" xfId="0" applyNumberFormat="1" applyFont="1" applyAlignment="1">
      <alignment horizontal="center"/>
    </xf>
    <xf numFmtId="172" fontId="16" fillId="0" borderId="13" xfId="0" applyNumberFormat="1" applyFont="1" applyBorder="1" applyAlignment="1">
      <alignment horizontal="center"/>
    </xf>
    <xf numFmtId="172" fontId="18" fillId="0" borderId="128" xfId="0" applyNumberFormat="1" applyFont="1" applyBorder="1" applyAlignment="1">
      <alignment horizontal="center"/>
    </xf>
    <xf numFmtId="172" fontId="16" fillId="0" borderId="129" xfId="0" applyNumberFormat="1" applyFont="1" applyBorder="1" applyAlignment="1">
      <alignment horizontal="center"/>
    </xf>
    <xf numFmtId="172" fontId="16" fillId="0" borderId="130" xfId="0" applyNumberFormat="1" applyFont="1" applyBorder="1" applyAlignment="1">
      <alignment horizontal="center"/>
    </xf>
    <xf numFmtId="172" fontId="18" fillId="0" borderId="131" xfId="0" applyNumberFormat="1" applyFont="1" applyBorder="1" applyAlignment="1">
      <alignment horizontal="center"/>
    </xf>
    <xf numFmtId="172" fontId="16" fillId="0" borderId="132" xfId="0" applyNumberFormat="1" applyFont="1" applyBorder="1" applyAlignment="1">
      <alignment horizontal="center"/>
    </xf>
    <xf numFmtId="172" fontId="16" fillId="22" borderId="129" xfId="0" applyNumberFormat="1" applyFont="1" applyFill="1" applyBorder="1" applyAlignment="1">
      <alignment horizontal="center"/>
    </xf>
    <xf numFmtId="172" fontId="18" fillId="7" borderId="131" xfId="0" applyNumberFormat="1" applyFont="1" applyFill="1" applyBorder="1" applyAlignment="1">
      <alignment horizontal="center"/>
    </xf>
    <xf numFmtId="172" fontId="16" fillId="7" borderId="85" xfId="0" applyNumberFormat="1" applyFont="1" applyFill="1" applyBorder="1" applyAlignment="1">
      <alignment horizontal="center"/>
    </xf>
    <xf numFmtId="172" fontId="18" fillId="0" borderId="133" xfId="0" applyNumberFormat="1" applyFont="1" applyBorder="1" applyAlignment="1">
      <alignment horizontal="center"/>
    </xf>
    <xf numFmtId="172" fontId="16" fillId="0" borderId="134" xfId="0" applyNumberFormat="1" applyFont="1" applyBorder="1" applyAlignment="1">
      <alignment horizontal="center"/>
    </xf>
    <xf numFmtId="172" fontId="16" fillId="0" borderId="90" xfId="0" applyNumberFormat="1" applyFont="1" applyBorder="1" applyAlignment="1">
      <alignment horizontal="center"/>
    </xf>
    <xf numFmtId="172" fontId="16" fillId="0" borderId="79" xfId="0" applyNumberFormat="1" applyFont="1" applyBorder="1" applyAlignment="1">
      <alignment horizontal="center"/>
    </xf>
    <xf numFmtId="172" fontId="16" fillId="0" borderId="85" xfId="0" applyNumberFormat="1" applyFont="1" applyBorder="1" applyAlignment="1">
      <alignment horizontal="center"/>
    </xf>
    <xf numFmtId="172" fontId="16" fillId="0" borderId="135" xfId="0" applyNumberFormat="1" applyFont="1" applyBorder="1" applyAlignment="1">
      <alignment horizontal="center"/>
    </xf>
    <xf numFmtId="172" fontId="18" fillId="0" borderId="136" xfId="0" applyNumberFormat="1" applyFont="1" applyBorder="1" applyAlignment="1">
      <alignment horizontal="center"/>
    </xf>
    <xf numFmtId="172" fontId="18" fillId="0" borderId="92" xfId="0" applyNumberFormat="1" applyFont="1" applyBorder="1" applyAlignment="1">
      <alignment horizontal="center"/>
    </xf>
    <xf numFmtId="172" fontId="18" fillId="0" borderId="137" xfId="0" applyNumberFormat="1" applyFont="1" applyBorder="1" applyAlignment="1">
      <alignment horizontal="center"/>
    </xf>
    <xf numFmtId="172" fontId="18" fillId="0" borderId="1" xfId="0" applyNumberFormat="1" applyFont="1" applyBorder="1" applyAlignment="1">
      <alignment horizontal="center"/>
    </xf>
    <xf numFmtId="172" fontId="18" fillId="0" borderId="138" xfId="0" applyNumberFormat="1" applyFont="1" applyBorder="1" applyAlignment="1">
      <alignment horizontal="center"/>
    </xf>
    <xf numFmtId="172" fontId="18" fillId="22" borderId="92" xfId="0" applyNumberFormat="1" applyFont="1" applyFill="1" applyBorder="1" applyAlignment="1">
      <alignment horizontal="center"/>
    </xf>
    <xf numFmtId="172" fontId="18" fillId="0" borderId="5" xfId="0" applyNumberFormat="1" applyFont="1" applyBorder="1" applyAlignment="1">
      <alignment horizontal="center"/>
    </xf>
    <xf numFmtId="172" fontId="18" fillId="0" borderId="19" xfId="0" applyNumberFormat="1" applyFont="1" applyBorder="1" applyAlignment="1">
      <alignment horizontal="center"/>
    </xf>
    <xf numFmtId="172" fontId="18" fillId="0" borderId="139" xfId="0" applyNumberFormat="1" applyFont="1" applyBorder="1" applyAlignment="1">
      <alignment horizontal="center"/>
    </xf>
    <xf numFmtId="172" fontId="18" fillId="0" borderId="71" xfId="0" applyNumberFormat="1" applyFont="1" applyBorder="1" applyAlignment="1">
      <alignment horizontal="center"/>
    </xf>
    <xf numFmtId="172" fontId="18" fillId="0" borderId="72" xfId="0" applyNumberFormat="1" applyFont="1" applyBorder="1" applyAlignment="1">
      <alignment horizontal="center"/>
    </xf>
    <xf numFmtId="172" fontId="18" fillId="0" borderId="73" xfId="0" applyNumberFormat="1" applyFont="1" applyBorder="1" applyAlignment="1">
      <alignment horizontal="center"/>
    </xf>
    <xf numFmtId="172" fontId="16" fillId="0" borderId="74" xfId="0" applyNumberFormat="1" applyFont="1" applyBorder="1" applyAlignment="1">
      <alignment horizontal="center"/>
    </xf>
    <xf numFmtId="172" fontId="18" fillId="0" borderId="75" xfId="0" applyNumberFormat="1" applyFont="1" applyBorder="1" applyAlignment="1">
      <alignment horizontal="center"/>
    </xf>
    <xf numFmtId="172" fontId="16" fillId="0" borderId="72" xfId="0" applyNumberFormat="1" applyFont="1" applyBorder="1" applyAlignment="1">
      <alignment horizontal="center"/>
    </xf>
    <xf numFmtId="172" fontId="16" fillId="22" borderId="73" xfId="0" applyNumberFormat="1" applyFont="1" applyFill="1" applyBorder="1" applyAlignment="1">
      <alignment horizontal="center"/>
    </xf>
    <xf numFmtId="172" fontId="16" fillId="0" borderId="73" xfId="0" applyNumberFormat="1" applyFont="1" applyBorder="1" applyAlignment="1">
      <alignment horizontal="center"/>
    </xf>
    <xf numFmtId="172" fontId="18" fillId="0" borderId="69" xfId="0" applyNumberFormat="1" applyFont="1" applyBorder="1" applyAlignment="1">
      <alignment horizontal="center"/>
    </xf>
    <xf numFmtId="172" fontId="16" fillId="0" borderId="76" xfId="0" applyNumberFormat="1" applyFont="1" applyBorder="1" applyAlignment="1">
      <alignment horizontal="center"/>
    </xf>
    <xf numFmtId="172" fontId="16" fillId="0" borderId="94" xfId="0" applyNumberFormat="1" applyFont="1" applyBorder="1" applyAlignment="1">
      <alignment horizontal="center"/>
    </xf>
    <xf numFmtId="172" fontId="18" fillId="0" borderId="126" xfId="0" applyNumberFormat="1" applyFont="1" applyBorder="1" applyAlignment="1">
      <alignment horizontal="center"/>
    </xf>
    <xf numFmtId="172" fontId="18" fillId="0" borderId="78" xfId="0" applyNumberFormat="1" applyFont="1" applyBorder="1" applyAlignment="1">
      <alignment horizontal="center"/>
    </xf>
    <xf numFmtId="172" fontId="18" fillId="0" borderId="40" xfId="0" applyNumberFormat="1" applyFont="1" applyBorder="1" applyAlignment="1">
      <alignment horizontal="center"/>
    </xf>
    <xf numFmtId="172" fontId="18" fillId="0" borderId="43" xfId="0" applyNumberFormat="1" applyFont="1" applyBorder="1" applyAlignment="1">
      <alignment horizontal="center"/>
    </xf>
    <xf numFmtId="172" fontId="18" fillId="0" borderId="81" xfId="0" applyNumberFormat="1" applyFont="1" applyBorder="1" applyAlignment="1">
      <alignment horizontal="center"/>
    </xf>
    <xf numFmtId="172" fontId="18" fillId="0" borderId="82" xfId="0" applyNumberFormat="1" applyFont="1" applyBorder="1" applyAlignment="1">
      <alignment horizontal="center"/>
    </xf>
    <xf numFmtId="172" fontId="18" fillId="0" borderId="83" xfId="0" applyNumberFormat="1" applyFont="1" applyBorder="1" applyAlignment="1">
      <alignment horizontal="center"/>
    </xf>
    <xf numFmtId="172" fontId="16" fillId="0" borderId="84" xfId="0" applyNumberFormat="1" applyFont="1" applyBorder="1" applyAlignment="1">
      <alignment horizontal="center"/>
    </xf>
    <xf numFmtId="172" fontId="18" fillId="0" borderId="85" xfId="0" applyNumberFormat="1" applyFont="1" applyBorder="1" applyAlignment="1">
      <alignment horizontal="center"/>
    </xf>
    <xf numFmtId="172" fontId="16" fillId="0" borderId="82" xfId="0" applyNumberFormat="1" applyFont="1" applyBorder="1" applyAlignment="1">
      <alignment horizontal="center"/>
    </xf>
    <xf numFmtId="172" fontId="16" fillId="22" borderId="83" xfId="0" applyNumberFormat="1" applyFont="1" applyFill="1" applyBorder="1" applyAlignment="1">
      <alignment horizontal="center"/>
    </xf>
    <xf numFmtId="172" fontId="16" fillId="0" borderId="83" xfId="0" applyNumberFormat="1" applyFont="1" applyBorder="1" applyAlignment="1">
      <alignment horizontal="center"/>
    </xf>
    <xf numFmtId="172" fontId="18" fillId="0" borderId="79" xfId="0" applyNumberFormat="1" applyFont="1" applyBorder="1" applyAlignment="1">
      <alignment horizontal="center"/>
    </xf>
    <xf numFmtId="172" fontId="16" fillId="0" borderId="86" xfId="0" applyNumberFormat="1" applyFont="1" applyBorder="1" applyAlignment="1">
      <alignment horizontal="center"/>
    </xf>
    <xf numFmtId="172" fontId="16" fillId="0" borderId="87" xfId="0" applyNumberFormat="1" applyFont="1" applyBorder="1" applyAlignment="1">
      <alignment horizontal="center"/>
    </xf>
    <xf numFmtId="172" fontId="18" fillId="24" borderId="136" xfId="0" applyNumberFormat="1" applyFont="1" applyFill="1" applyBorder="1" applyAlignment="1">
      <alignment horizontal="center"/>
    </xf>
    <xf numFmtId="172" fontId="18" fillId="24" borderId="138" xfId="0" applyNumberFormat="1" applyFont="1" applyFill="1" applyBorder="1" applyAlignment="1">
      <alignment horizontal="center"/>
    </xf>
    <xf numFmtId="172" fontId="18" fillId="24" borderId="41" xfId="0" applyNumberFormat="1" applyFont="1" applyFill="1" applyBorder="1" applyAlignment="1">
      <alignment horizontal="center"/>
    </xf>
    <xf numFmtId="172" fontId="18" fillId="24" borderId="137" xfId="0" applyNumberFormat="1" applyFont="1" applyFill="1" applyBorder="1" applyAlignment="1">
      <alignment horizontal="center"/>
    </xf>
    <xf numFmtId="172" fontId="18" fillId="24" borderId="1" xfId="0" applyNumberFormat="1" applyFont="1" applyFill="1" applyBorder="1" applyAlignment="1">
      <alignment horizontal="center"/>
    </xf>
    <xf numFmtId="172" fontId="18" fillId="24" borderId="92" xfId="0" applyNumberFormat="1" applyFont="1" applyFill="1" applyBorder="1" applyAlignment="1">
      <alignment horizontal="center"/>
    </xf>
    <xf numFmtId="172" fontId="18" fillId="24" borderId="5" xfId="0" applyNumberFormat="1" applyFont="1" applyFill="1" applyBorder="1" applyAlignment="1">
      <alignment horizontal="center"/>
    </xf>
    <xf numFmtId="172" fontId="18" fillId="24" borderId="19" xfId="0" applyNumberFormat="1" applyFont="1" applyFill="1" applyBorder="1" applyAlignment="1">
      <alignment horizontal="center"/>
    </xf>
    <xf numFmtId="172" fontId="18" fillId="24" borderId="93" xfId="0" applyNumberFormat="1" applyFont="1" applyFill="1" applyBorder="1" applyAlignment="1">
      <alignment horizontal="center"/>
    </xf>
    <xf numFmtId="172" fontId="18" fillId="22" borderId="138" xfId="0" applyNumberFormat="1" applyFont="1" applyFill="1" applyBorder="1" applyAlignment="1">
      <alignment horizontal="center"/>
    </xf>
    <xf numFmtId="172" fontId="18" fillId="0" borderId="96" xfId="0" applyNumberFormat="1" applyFont="1" applyBorder="1" applyAlignment="1">
      <alignment horizontal="center"/>
    </xf>
    <xf numFmtId="172" fontId="18" fillId="0" borderId="97" xfId="0" applyNumberFormat="1" applyFont="1" applyBorder="1" applyAlignment="1">
      <alignment horizontal="center"/>
    </xf>
    <xf numFmtId="172" fontId="18" fillId="0" borderId="98" xfId="0" applyNumberFormat="1" applyFont="1" applyBorder="1" applyAlignment="1">
      <alignment horizontal="center"/>
    </xf>
    <xf numFmtId="172" fontId="18" fillId="0" borderId="99" xfId="0" applyNumberFormat="1" applyFont="1" applyBorder="1" applyAlignment="1">
      <alignment horizontal="center"/>
    </xf>
    <xf numFmtId="172" fontId="18" fillId="0" borderId="14" xfId="0" applyNumberFormat="1" applyFont="1" applyBorder="1" applyAlignment="1">
      <alignment horizontal="center"/>
    </xf>
    <xf numFmtId="172" fontId="18" fillId="22" borderId="98" xfId="0" applyNumberFormat="1" applyFont="1" applyFill="1" applyBorder="1" applyAlignment="1">
      <alignment horizontal="center"/>
    </xf>
    <xf numFmtId="172" fontId="18" fillId="0" borderId="3" xfId="0" applyNumberFormat="1" applyFont="1" applyBorder="1" applyAlignment="1">
      <alignment horizontal="center"/>
    </xf>
    <xf numFmtId="172" fontId="18" fillId="0" borderId="16" xfId="0" applyNumberFormat="1" applyFont="1" applyBorder="1" applyAlignment="1">
      <alignment horizontal="center"/>
    </xf>
    <xf numFmtId="172" fontId="18" fillId="0" borderId="93" xfId="0" applyNumberFormat="1" applyFont="1" applyBorder="1" applyAlignment="1">
      <alignment horizontal="center"/>
    </xf>
    <xf numFmtId="172" fontId="18" fillId="0" borderId="87" xfId="0" applyNumberFormat="1" applyFont="1" applyBorder="1" applyAlignment="1">
      <alignment horizontal="center"/>
    </xf>
    <xf numFmtId="172" fontId="18" fillId="0" borderId="108" xfId="0" applyNumberFormat="1" applyFont="1" applyBorder="1" applyAlignment="1">
      <alignment horizontal="center"/>
    </xf>
    <xf numFmtId="172" fontId="18" fillId="0" borderId="109" xfId="0" applyNumberFormat="1" applyFont="1" applyBorder="1" applyAlignment="1">
      <alignment horizontal="center"/>
    </xf>
    <xf numFmtId="172" fontId="18" fillId="0" borderId="110" xfId="0" applyNumberFormat="1" applyFont="1" applyBorder="1" applyAlignment="1">
      <alignment horizontal="center"/>
    </xf>
    <xf numFmtId="172" fontId="18" fillId="0" borderId="112" xfId="0" applyNumberFormat="1" applyFont="1" applyBorder="1" applyAlignment="1">
      <alignment horizontal="center"/>
    </xf>
    <xf numFmtId="172" fontId="18" fillId="22" borderId="110" xfId="0" applyNumberFormat="1" applyFont="1" applyFill="1" applyBorder="1" applyAlignment="1">
      <alignment horizontal="center"/>
    </xf>
    <xf numFmtId="172" fontId="18" fillId="0" borderId="106" xfId="0" applyNumberFormat="1" applyFont="1" applyBorder="1" applyAlignment="1">
      <alignment horizontal="center"/>
    </xf>
    <xf numFmtId="172" fontId="18" fillId="0" borderId="141" xfId="0" applyNumberFormat="1" applyFont="1" applyBorder="1" applyAlignment="1">
      <alignment horizontal="center"/>
    </xf>
    <xf numFmtId="3" fontId="0" fillId="0" borderId="0" xfId="0" applyNumberFormat="1"/>
    <xf numFmtId="3" fontId="10" fillId="0" borderId="0" xfId="0" applyNumberFormat="1" applyFont="1"/>
    <xf numFmtId="0" fontId="57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3" fillId="11" borderId="113" xfId="0" applyFont="1" applyFill="1" applyBorder="1" applyAlignment="1">
      <alignment horizontal="center" vertical="center"/>
    </xf>
    <xf numFmtId="0" fontId="23" fillId="11" borderId="141" xfId="0" applyFont="1" applyFill="1" applyBorder="1" applyAlignment="1">
      <alignment horizontal="center" vertical="center"/>
    </xf>
    <xf numFmtId="0" fontId="23" fillId="11" borderId="107" xfId="0" applyFont="1" applyFill="1" applyBorder="1" applyAlignment="1">
      <alignment horizontal="center" vertical="center"/>
    </xf>
    <xf numFmtId="0" fontId="57" fillId="11" borderId="12" xfId="0" applyFont="1" applyFill="1" applyBorder="1" applyAlignment="1">
      <alignment vertical="center"/>
    </xf>
    <xf numFmtId="0" fontId="23" fillId="29" borderId="115" xfId="0" quotePrefix="1" applyFont="1" applyFill="1" applyBorder="1" applyAlignment="1">
      <alignment horizontal="right" vertical="top"/>
    </xf>
    <xf numFmtId="0" fontId="23" fillId="29" borderId="114" xfId="0" quotePrefix="1" applyFont="1" applyFill="1" applyBorder="1" applyAlignment="1">
      <alignment horizontal="right" vertical="top"/>
    </xf>
    <xf numFmtId="0" fontId="23" fillId="27" borderId="136" xfId="0" quotePrefix="1" applyFont="1" applyFill="1" applyBorder="1" applyAlignment="1">
      <alignment horizontal="right" vertical="top"/>
    </xf>
    <xf numFmtId="0" fontId="23" fillId="27" borderId="140" xfId="0" quotePrefix="1" applyFont="1" applyFill="1" applyBorder="1" applyAlignment="1">
      <alignment horizontal="right" vertical="top"/>
    </xf>
    <xf numFmtId="0" fontId="23" fillId="29" borderId="136" xfId="0" quotePrefix="1" applyFont="1" applyFill="1" applyBorder="1" applyAlignment="1">
      <alignment horizontal="right" vertical="top"/>
    </xf>
    <xf numFmtId="0" fontId="23" fillId="29" borderId="140" xfId="0" quotePrefix="1" applyFont="1" applyFill="1" applyBorder="1" applyAlignment="1">
      <alignment horizontal="right" vertical="top"/>
    </xf>
    <xf numFmtId="0" fontId="23" fillId="27" borderId="108" xfId="0" quotePrefix="1" applyFont="1" applyFill="1" applyBorder="1" applyAlignment="1">
      <alignment horizontal="right" vertical="top"/>
    </xf>
    <xf numFmtId="0" fontId="58" fillId="27" borderId="111" xfId="0" applyFont="1" applyFill="1" applyBorder="1" applyAlignment="1">
      <alignment vertical="center"/>
    </xf>
    <xf numFmtId="0" fontId="22" fillId="31" borderId="153" xfId="0" applyFont="1" applyFill="1" applyBorder="1" applyAlignment="1">
      <alignment vertical="center"/>
    </xf>
    <xf numFmtId="0" fontId="23" fillId="0" borderId="59" xfId="0" applyFont="1" applyBorder="1" applyAlignment="1">
      <alignment horizontal="right"/>
    </xf>
    <xf numFmtId="0" fontId="23" fillId="0" borderId="143" xfId="0" applyFont="1" applyBorder="1" applyAlignment="1">
      <alignment horizontal="right"/>
    </xf>
    <xf numFmtId="0" fontId="23" fillId="0" borderId="93" xfId="0" applyFont="1" applyBorder="1" applyAlignment="1">
      <alignment horizontal="right"/>
    </xf>
    <xf numFmtId="0" fontId="23" fillId="0" borderId="145" xfId="0" applyFont="1" applyBorder="1" applyAlignment="1">
      <alignment horizontal="right"/>
    </xf>
    <xf numFmtId="1" fontId="23" fillId="33" borderId="136" xfId="0" quotePrefix="1" applyNumberFormat="1" applyFont="1" applyFill="1" applyBorder="1" applyAlignment="1">
      <alignment horizontal="right" vertical="top"/>
    </xf>
    <xf numFmtId="0" fontId="51" fillId="12" borderId="12" xfId="0" applyFont="1" applyFill="1" applyBorder="1" applyAlignment="1">
      <alignment vertical="center"/>
    </xf>
    <xf numFmtId="0" fontId="27" fillId="7" borderId="155" xfId="0" applyFont="1" applyFill="1" applyBorder="1" applyAlignment="1">
      <alignment horizontal="center" vertical="center" wrapText="1"/>
    </xf>
    <xf numFmtId="1" fontId="23" fillId="17" borderId="115" xfId="0" applyNumberFormat="1" applyFont="1" applyFill="1" applyBorder="1" applyAlignment="1">
      <alignment horizontal="right" vertical="center"/>
    </xf>
    <xf numFmtId="1" fontId="23" fillId="17" borderId="136" xfId="0" applyNumberFormat="1" applyFont="1" applyFill="1" applyBorder="1" applyAlignment="1">
      <alignment horizontal="right" vertical="center"/>
    </xf>
    <xf numFmtId="0" fontId="23" fillId="29" borderId="96" xfId="0" quotePrefix="1" applyFont="1" applyFill="1" applyBorder="1" applyAlignment="1">
      <alignment horizontal="right" vertical="top"/>
    </xf>
    <xf numFmtId="0" fontId="23" fillId="29" borderId="95" xfId="0" quotePrefix="1" applyFont="1" applyFill="1" applyBorder="1" applyAlignment="1">
      <alignment horizontal="right" vertical="top"/>
    </xf>
    <xf numFmtId="0" fontId="23" fillId="29" borderId="61" xfId="0" quotePrefix="1" applyFont="1" applyFill="1" applyBorder="1" applyAlignment="1">
      <alignment horizontal="right" vertical="top"/>
    </xf>
    <xf numFmtId="0" fontId="23" fillId="29" borderId="60" xfId="0" quotePrefix="1" applyFont="1" applyFill="1" applyBorder="1" applyAlignment="1">
      <alignment horizontal="right" vertical="top"/>
    </xf>
    <xf numFmtId="3" fontId="22" fillId="31" borderId="153" xfId="0" applyNumberFormat="1" applyFont="1" applyFill="1" applyBorder="1" applyAlignment="1">
      <alignment horizontal="right" vertical="center"/>
    </xf>
    <xf numFmtId="0" fontId="23" fillId="0" borderId="113" xfId="0" applyFont="1" applyBorder="1" applyAlignment="1">
      <alignment horizontal="right"/>
    </xf>
    <xf numFmtId="3" fontId="23" fillId="0" borderId="106" xfId="0" applyNumberFormat="1" applyFont="1" applyBorder="1" applyAlignment="1">
      <alignment horizontal="right"/>
    </xf>
    <xf numFmtId="0" fontId="23" fillId="0" borderId="106" xfId="0" applyFont="1" applyBorder="1" applyAlignment="1">
      <alignment horizontal="right"/>
    </xf>
    <xf numFmtId="0" fontId="23" fillId="12" borderId="59" xfId="0" applyFont="1" applyFill="1" applyBorder="1" applyAlignment="1">
      <alignment vertical="center"/>
    </xf>
    <xf numFmtId="0" fontId="23" fillId="12" borderId="67" xfId="0" applyFont="1" applyFill="1" applyBorder="1" applyAlignment="1">
      <alignment vertical="center"/>
    </xf>
    <xf numFmtId="0" fontId="23" fillId="12" borderId="54" xfId="0" applyFont="1" applyFill="1" applyBorder="1" applyAlignment="1">
      <alignment vertical="center"/>
    </xf>
    <xf numFmtId="1" fontId="23" fillId="17" borderId="96" xfId="0" applyNumberFormat="1" applyFont="1" applyFill="1" applyBorder="1" applyAlignment="1">
      <alignment horizontal="right" vertical="center"/>
    </xf>
    <xf numFmtId="1" fontId="23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6" fillId="26" borderId="165" xfId="0" quotePrefix="1" applyFont="1" applyFill="1" applyBorder="1" applyAlignment="1">
      <alignment horizontal="center"/>
    </xf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3" fontId="6" fillId="27" borderId="167" xfId="0" applyNumberFormat="1" applyFont="1" applyFill="1" applyBorder="1" applyAlignment="1"/>
    <xf numFmtId="3" fontId="6" fillId="29" borderId="167" xfId="0" applyNumberFormat="1" applyFont="1" applyFill="1" applyBorder="1" applyAlignment="1"/>
    <xf numFmtId="0" fontId="0" fillId="0" borderId="0" xfId="0"/>
    <xf numFmtId="49" fontId="60" fillId="0" borderId="0" xfId="0" applyNumberFormat="1" applyFont="1"/>
    <xf numFmtId="0" fontId="60" fillId="0" borderId="0" xfId="0" applyFont="1"/>
    <xf numFmtId="0" fontId="15" fillId="0" borderId="0" xfId="0" applyFont="1"/>
    <xf numFmtId="0" fontId="15" fillId="0" borderId="0" xfId="0" quotePrefix="1" applyFont="1"/>
    <xf numFmtId="0" fontId="27" fillId="0" borderId="18" xfId="0" applyFont="1" applyBorder="1"/>
    <xf numFmtId="0" fontId="27" fillId="0" borderId="18" xfId="0" quotePrefix="1" applyFont="1" applyBorder="1"/>
    <xf numFmtId="0" fontId="27" fillId="0" borderId="2" xfId="0" applyFont="1" applyBorder="1"/>
    <xf numFmtId="0" fontId="27" fillId="0" borderId="2" xfId="0" quotePrefix="1" applyFont="1" applyBorder="1"/>
    <xf numFmtId="164" fontId="10" fillId="13" borderId="1" xfId="0" applyNumberFormat="1" applyFont="1" applyFill="1" applyBorder="1" applyAlignment="1">
      <alignment vertical="center"/>
    </xf>
    <xf numFmtId="0" fontId="59" fillId="11" borderId="59" xfId="0" applyFont="1" applyFill="1" applyBorder="1" applyAlignment="1">
      <alignment vertical="center"/>
    </xf>
    <xf numFmtId="0" fontId="59" fillId="11" borderId="18" xfId="0" applyFont="1" applyFill="1" applyBorder="1" applyAlignment="1">
      <alignment vertical="center"/>
    </xf>
    <xf numFmtId="0" fontId="59" fillId="11" borderId="143" xfId="0" applyFont="1" applyFill="1" applyBorder="1" applyAlignment="1">
      <alignment vertical="center"/>
    </xf>
    <xf numFmtId="0" fontId="59" fillId="11" borderId="26" xfId="0" applyFont="1" applyFill="1" applyBorder="1" applyAlignment="1">
      <alignment vertical="center"/>
    </xf>
    <xf numFmtId="0" fontId="59" fillId="11" borderId="2" xfId="0" applyFont="1" applyFill="1" applyBorder="1" applyAlignment="1">
      <alignment vertical="center"/>
    </xf>
    <xf numFmtId="0" fontId="59" fillId="11" borderId="144" xfId="0" applyFont="1" applyFill="1" applyBorder="1" applyAlignment="1">
      <alignment vertical="center"/>
    </xf>
    <xf numFmtId="0" fontId="40" fillId="0" borderId="168" xfId="0" applyNumberFormat="1" applyFont="1" applyBorder="1" applyAlignment="1"/>
    <xf numFmtId="0" fontId="40" fillId="34" borderId="168" xfId="0" applyNumberFormat="1" applyFont="1" applyFill="1" applyBorder="1" applyAlignment="1"/>
    <xf numFmtId="0" fontId="22" fillId="30" borderId="8" xfId="0" applyNumberFormat="1" applyFont="1" applyFill="1" applyBorder="1" applyAlignment="1" applyProtection="1">
      <protection locked="0"/>
    </xf>
    <xf numFmtId="38" fontId="22" fillId="30" borderId="8" xfId="0" applyNumberFormat="1" applyFont="1" applyFill="1" applyBorder="1" applyAlignment="1" applyProtection="1">
      <alignment vertical="center" wrapText="1"/>
    </xf>
    <xf numFmtId="2" fontId="22" fillId="30" borderId="144" xfId="0" applyNumberFormat="1" applyFont="1" applyFill="1" applyBorder="1" applyAlignment="1" applyProtection="1">
      <alignment horizontal="right"/>
      <protection locked="0"/>
    </xf>
    <xf numFmtId="0" fontId="2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0" fillId="0" borderId="157" xfId="0" applyNumberFormat="1" applyFont="1" applyBorder="1" applyAlignment="1"/>
    <xf numFmtId="0" fontId="34" fillId="2" borderId="2" xfId="0" applyNumberFormat="1" applyFont="1" applyFill="1" applyBorder="1" applyAlignment="1" applyProtection="1">
      <alignment horizontal="center"/>
      <protection locked="0"/>
    </xf>
    <xf numFmtId="0" fontId="34" fillId="2" borderId="144" xfId="0" applyNumberFormat="1" applyFont="1" applyFill="1" applyBorder="1" applyAlignment="1" applyProtection="1">
      <alignment horizontal="center"/>
      <protection locked="0"/>
    </xf>
    <xf numFmtId="49" fontId="15" fillId="0" borderId="0" xfId="0" applyNumberFormat="1" applyFont="1"/>
    <xf numFmtId="2" fontId="40" fillId="0" borderId="168" xfId="0" applyNumberFormat="1" applyFont="1" applyBorder="1" applyAlignment="1"/>
    <xf numFmtId="2" fontId="40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7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7" fillId="0" borderId="169" xfId="0" applyFont="1" applyBorder="1" applyAlignment="1">
      <alignment vertical="center"/>
    </xf>
    <xf numFmtId="0" fontId="57" fillId="0" borderId="170" xfId="0" applyFont="1" applyBorder="1" applyAlignment="1">
      <alignment vertical="center"/>
    </xf>
    <xf numFmtId="0" fontId="57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7" fillId="11" borderId="156" xfId="0" applyFont="1" applyFill="1" applyBorder="1" applyAlignment="1">
      <alignment vertical="center"/>
    </xf>
    <xf numFmtId="0" fontId="57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2" fillId="20" borderId="157" xfId="0" applyFont="1" applyFill="1" applyBorder="1" applyAlignment="1">
      <alignment vertical="center"/>
    </xf>
    <xf numFmtId="0" fontId="32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1" fillId="7" borderId="2" xfId="0" applyNumberFormat="1" applyFont="1" applyFill="1" applyBorder="1" applyAlignment="1">
      <alignment horizontal="center" vertical="center" wrapText="1"/>
    </xf>
    <xf numFmtId="169" fontId="11" fillId="7" borderId="4" xfId="0" applyNumberFormat="1" applyFont="1" applyFill="1" applyBorder="1" applyAlignment="1">
      <alignment horizontal="center" vertical="center" wrapText="1"/>
    </xf>
    <xf numFmtId="0" fontId="26" fillId="13" borderId="3" xfId="0" applyFont="1" applyFill="1" applyBorder="1" applyAlignment="1">
      <alignment vertical="center"/>
    </xf>
    <xf numFmtId="0" fontId="6" fillId="6" borderId="0" xfId="0" applyFont="1" applyFill="1" applyAlignment="1">
      <alignment vertical="center"/>
    </xf>
    <xf numFmtId="0" fontId="6" fillId="20" borderId="0" xfId="0" applyFont="1" applyFill="1" applyAlignment="1">
      <alignment vertical="center"/>
    </xf>
    <xf numFmtId="0" fontId="6" fillId="0" borderId="0" xfId="0" applyFont="1"/>
    <xf numFmtId="0" fontId="6" fillId="0" borderId="0" xfId="0" applyFont="1" applyBorder="1"/>
    <xf numFmtId="169" fontId="6" fillId="0" borderId="0" xfId="0" applyNumberFormat="1" applyFont="1"/>
    <xf numFmtId="0" fontId="6" fillId="0" borderId="0" xfId="0" applyFont="1"/>
    <xf numFmtId="164" fontId="6" fillId="0" borderId="0" xfId="0" applyNumberFormat="1" applyFont="1" applyFill="1" applyAlignment="1">
      <alignment horizontal="left" vertical="center"/>
    </xf>
    <xf numFmtId="164" fontId="6" fillId="0" borderId="0" xfId="0" applyNumberFormat="1" applyFont="1" applyFill="1" applyAlignment="1">
      <alignment horizontal="center" vertical="center"/>
    </xf>
    <xf numFmtId="3" fontId="6" fillId="0" borderId="0" xfId="0" applyNumberFormat="1" applyFont="1"/>
    <xf numFmtId="0" fontId="6" fillId="29" borderId="118" xfId="0" quotePrefix="1" applyFont="1" applyFill="1" applyBorder="1" applyAlignment="1">
      <alignment horizontal="right" vertical="top"/>
    </xf>
    <xf numFmtId="0" fontId="6" fillId="27" borderId="1" xfId="0" quotePrefix="1" applyFont="1" applyFill="1" applyBorder="1" applyAlignment="1">
      <alignment horizontal="right" vertical="top"/>
    </xf>
    <xf numFmtId="0" fontId="6" fillId="29" borderId="1" xfId="0" quotePrefix="1" applyFont="1" applyFill="1" applyBorder="1" applyAlignment="1">
      <alignment horizontal="right" vertical="top"/>
    </xf>
    <xf numFmtId="0" fontId="6" fillId="29" borderId="14" xfId="0" quotePrefix="1" applyFont="1" applyFill="1" applyBorder="1" applyAlignment="1">
      <alignment horizontal="right" vertical="top"/>
    </xf>
    <xf numFmtId="0" fontId="6" fillId="29" borderId="11" xfId="0" quotePrefix="1" applyFont="1" applyFill="1" applyBorder="1" applyAlignment="1">
      <alignment horizontal="right" vertical="top"/>
    </xf>
    <xf numFmtId="0" fontId="6" fillId="8" borderId="0" xfId="0" applyFont="1" applyFill="1"/>
    <xf numFmtId="0" fontId="6" fillId="0" borderId="59" xfId="0" applyFont="1" applyBorder="1"/>
    <xf numFmtId="0" fontId="6" fillId="0" borderId="93" xfId="0" applyFont="1" applyBorder="1"/>
    <xf numFmtId="3" fontId="6" fillId="0" borderId="157" xfId="0" applyNumberFormat="1" applyFont="1" applyFill="1" applyBorder="1"/>
    <xf numFmtId="3" fontId="6" fillId="0" borderId="136" xfId="0" applyNumberFormat="1" applyFont="1" applyFill="1" applyBorder="1"/>
    <xf numFmtId="3" fontId="6" fillId="0" borderId="1" xfId="0" applyNumberFormat="1" applyFont="1" applyFill="1" applyBorder="1"/>
    <xf numFmtId="3" fontId="6" fillId="0" borderId="19" xfId="0" applyNumberFormat="1" applyFont="1" applyFill="1" applyBorder="1"/>
    <xf numFmtId="171" fontId="6" fillId="0" borderId="140" xfId="0" applyNumberFormat="1" applyFont="1" applyFill="1" applyBorder="1"/>
    <xf numFmtId="3" fontId="6" fillId="0" borderId="157" xfId="0" applyNumberFormat="1" applyFont="1" applyBorder="1"/>
    <xf numFmtId="4" fontId="6" fillId="0" borderId="107" xfId="0" applyNumberFormat="1" applyFont="1" applyFill="1" applyBorder="1"/>
    <xf numFmtId="0" fontId="6" fillId="15" borderId="0" xfId="0" applyFont="1" applyFill="1"/>
    <xf numFmtId="0" fontId="6" fillId="0" borderId="0" xfId="0" applyFont="1" applyFill="1" applyBorder="1"/>
    <xf numFmtId="0" fontId="40" fillId="34" borderId="0" xfId="0" applyNumberFormat="1" applyFont="1" applyFill="1" applyBorder="1" applyAlignment="1"/>
    <xf numFmtId="2" fontId="40" fillId="34" borderId="0" xfId="0" applyNumberFormat="1" applyFont="1" applyFill="1" applyBorder="1" applyAlignment="1"/>
    <xf numFmtId="0" fontId="40" fillId="0" borderId="0" xfId="0" applyNumberFormat="1" applyFont="1" applyBorder="1" applyAlignment="1"/>
    <xf numFmtId="2" fontId="40" fillId="0" borderId="0" xfId="0" applyNumberFormat="1" applyFont="1" applyBorder="1" applyAlignment="1"/>
    <xf numFmtId="0" fontId="30" fillId="2" borderId="7" xfId="0" applyFont="1" applyFill="1" applyBorder="1" applyAlignment="1">
      <alignment horizontal="left" vertical="center" wrapText="1"/>
    </xf>
    <xf numFmtId="0" fontId="40" fillId="34" borderId="9" xfId="0" applyNumberFormat="1" applyFont="1" applyFill="1" applyBorder="1" applyAlignment="1"/>
    <xf numFmtId="0" fontId="40" fillId="0" borderId="9" xfId="0" applyNumberFormat="1" applyFont="1" applyBorder="1" applyAlignment="1"/>
    <xf numFmtId="0" fontId="40" fillId="0" borderId="8" xfId="0" applyNumberFormat="1" applyFont="1" applyBorder="1" applyAlignment="1"/>
    <xf numFmtId="2" fontId="40" fillId="34" borderId="59" xfId="0" applyNumberFormat="1" applyFont="1" applyFill="1" applyBorder="1" applyAlignment="1"/>
    <xf numFmtId="2" fontId="40" fillId="34" borderId="18" xfId="0" applyNumberFormat="1" applyFont="1" applyFill="1" applyBorder="1" applyAlignment="1"/>
    <xf numFmtId="0" fontId="40" fillId="34" borderId="18" xfId="0" applyNumberFormat="1" applyFont="1" applyFill="1" applyBorder="1" applyAlignment="1"/>
    <xf numFmtId="2" fontId="40" fillId="34" borderId="143" xfId="0" applyNumberFormat="1" applyFont="1" applyFill="1" applyBorder="1" applyAlignment="1"/>
    <xf numFmtId="2" fontId="40" fillId="0" borderId="93" xfId="0" applyNumberFormat="1" applyFont="1" applyBorder="1" applyAlignment="1"/>
    <xf numFmtId="2" fontId="40" fillId="0" borderId="145" xfId="0" applyNumberFormat="1" applyFont="1" applyBorder="1" applyAlignment="1"/>
    <xf numFmtId="2" fontId="40" fillId="34" borderId="93" xfId="0" applyNumberFormat="1" applyFont="1" applyFill="1" applyBorder="1" applyAlignment="1"/>
    <xf numFmtId="2" fontId="40" fillId="34" borderId="145" xfId="0" applyNumberFormat="1" applyFont="1" applyFill="1" applyBorder="1" applyAlignment="1"/>
    <xf numFmtId="2" fontId="40" fillId="0" borderId="2" xfId="0" applyNumberFormat="1" applyFont="1" applyBorder="1" applyAlignment="1"/>
    <xf numFmtId="0" fontId="40" fillId="0" borderId="2" xfId="0" applyNumberFormat="1" applyFont="1" applyBorder="1" applyAlignment="1"/>
    <xf numFmtId="2" fontId="40" fillId="0" borderId="144" xfId="0" applyNumberFormat="1" applyFont="1" applyBorder="1" applyAlignment="1"/>
    <xf numFmtId="0" fontId="27" fillId="7" borderId="3" xfId="0" applyFont="1" applyFill="1" applyBorder="1" applyAlignment="1">
      <alignment horizontal="left" vertical="center" wrapText="1"/>
    </xf>
    <xf numFmtId="0" fontId="40" fillId="0" borderId="0" xfId="0" applyNumberFormat="1" applyFont="1" applyBorder="1" applyAlignment="1">
      <alignment horizontal="left"/>
    </xf>
    <xf numFmtId="0" fontId="26" fillId="13" borderId="5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0" fillId="36" borderId="0" xfId="0" applyFill="1"/>
    <xf numFmtId="0" fontId="30" fillId="36" borderId="0" xfId="0" applyFont="1" applyFill="1"/>
    <xf numFmtId="2" fontId="0" fillId="36" borderId="0" xfId="0" applyNumberFormat="1" applyFill="1"/>
    <xf numFmtId="0" fontId="56" fillId="26" borderId="165" xfId="0" quotePrefix="1" applyFont="1" applyFill="1" applyBorder="1" applyAlignment="1">
      <alignment horizontal="center" wrapText="1"/>
    </xf>
    <xf numFmtId="0" fontId="56" fillId="26" borderId="166" xfId="0" quotePrefix="1" applyFont="1" applyFill="1" applyBorder="1" applyAlignment="1">
      <alignment horizontal="center" wrapText="1"/>
    </xf>
    <xf numFmtId="165" fontId="23" fillId="14" borderId="0" xfId="0" applyNumberFormat="1" applyFont="1" applyFill="1"/>
    <xf numFmtId="0" fontId="5" fillId="29" borderId="167" xfId="0" applyNumberFormat="1" applyFont="1" applyFill="1" applyBorder="1" applyAlignment="1"/>
    <xf numFmtId="0" fontId="5" fillId="27" borderId="167" xfId="0" applyNumberFormat="1" applyFont="1" applyFill="1" applyBorder="1" applyAlignment="1"/>
    <xf numFmtId="0" fontId="34" fillId="2" borderId="113" xfId="0" applyNumberFormat="1" applyFont="1" applyFill="1" applyBorder="1" applyAlignment="1" applyProtection="1">
      <protection locked="0"/>
    </xf>
    <xf numFmtId="4" fontId="27" fillId="0" borderId="0" xfId="0" applyNumberFormat="1" applyFont="1"/>
    <xf numFmtId="4" fontId="34" fillId="0" borderId="0" xfId="0" applyNumberFormat="1" applyFont="1"/>
    <xf numFmtId="0" fontId="27" fillId="0" borderId="2" xfId="0" applyNumberFormat="1" applyFont="1" applyFill="1" applyBorder="1" applyAlignment="1" applyProtection="1">
      <protection locked="0"/>
    </xf>
    <xf numFmtId="0" fontId="27" fillId="0" borderId="144" xfId="0" applyNumberFormat="1" applyFont="1" applyFill="1" applyBorder="1" applyAlignment="1" applyProtection="1">
      <protection locked="0"/>
    </xf>
    <xf numFmtId="0" fontId="50" fillId="0" borderId="0" xfId="3" applyNumberFormat="1" applyFill="1" applyBorder="1" applyAlignment="1" applyProtection="1">
      <protection locked="0"/>
    </xf>
    <xf numFmtId="0" fontId="34" fillId="2" borderId="7" xfId="0" applyNumberFormat="1" applyFont="1" applyFill="1" applyBorder="1" applyAlignment="1" applyProtection="1">
      <alignment horizontal="center"/>
      <protection locked="0"/>
    </xf>
    <xf numFmtId="0" fontId="34" fillId="2" borderId="8" xfId="0" applyNumberFormat="1" applyFont="1" applyFill="1" applyBorder="1" applyAlignment="1" applyProtection="1">
      <alignment horizontal="center"/>
      <protection locked="0"/>
    </xf>
    <xf numFmtId="0" fontId="41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2" fillId="0" borderId="0" xfId="0" applyFont="1"/>
    <xf numFmtId="0" fontId="9" fillId="35" borderId="0" xfId="0" applyFont="1" applyFill="1"/>
    <xf numFmtId="10" fontId="0" fillId="0" borderId="0" xfId="0" applyNumberFormat="1"/>
    <xf numFmtId="3" fontId="6" fillId="17" borderId="118" xfId="0" applyNumberFormat="1" applyFont="1" applyFill="1" applyBorder="1" applyAlignment="1">
      <alignment vertical="center"/>
    </xf>
    <xf numFmtId="3" fontId="23" fillId="17" borderId="114" xfId="0" applyNumberFormat="1" applyFont="1" applyFill="1" applyBorder="1" applyAlignment="1">
      <alignment vertical="center"/>
    </xf>
    <xf numFmtId="3" fontId="6" fillId="33" borderId="1" xfId="0" quotePrefix="1" applyNumberFormat="1" applyFont="1" applyFill="1" applyBorder="1" applyAlignment="1">
      <alignment horizontal="right" vertical="top"/>
    </xf>
    <xf numFmtId="3" fontId="23" fillId="33" borderId="140" xfId="0" quotePrefix="1" applyNumberFormat="1" applyFont="1" applyFill="1" applyBorder="1" applyAlignment="1">
      <alignment horizontal="right" vertical="top"/>
    </xf>
    <xf numFmtId="3" fontId="6" fillId="17" borderId="1" xfId="0" applyNumberFormat="1" applyFont="1" applyFill="1" applyBorder="1" applyAlignment="1">
      <alignment vertical="center"/>
    </xf>
    <xf numFmtId="3" fontId="23" fillId="17" borderId="140" xfId="0" applyNumberFormat="1" applyFont="1" applyFill="1" applyBorder="1" applyAlignment="1">
      <alignment vertical="center"/>
    </xf>
    <xf numFmtId="3" fontId="6" fillId="17" borderId="14" xfId="0" applyNumberFormat="1" applyFont="1" applyFill="1" applyBorder="1" applyAlignment="1">
      <alignment vertical="center"/>
    </xf>
    <xf numFmtId="3" fontId="6" fillId="33" borderId="111" xfId="0" quotePrefix="1" applyNumberFormat="1" applyFont="1" applyFill="1" applyBorder="1" applyAlignment="1">
      <alignment horizontal="right" vertical="top"/>
    </xf>
    <xf numFmtId="3" fontId="22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1" fillId="17" borderId="1" xfId="0" applyNumberFormat="1" applyFont="1" applyFill="1" applyBorder="1" applyAlignment="1">
      <alignment horizontal="left" vertical="center"/>
    </xf>
    <xf numFmtId="3" fontId="51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2" fillId="30" borderId="144" xfId="0" applyNumberFormat="1" applyFont="1" applyFill="1" applyBorder="1"/>
    <xf numFmtId="0" fontId="9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9" fillId="0" borderId="145" xfId="0" applyFont="1" applyBorder="1"/>
    <xf numFmtId="10" fontId="9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2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3" fillId="17" borderId="136" xfId="0" applyNumberFormat="1" applyFont="1" applyFill="1" applyBorder="1" applyAlignment="1">
      <alignment horizontal="left" vertical="center"/>
    </xf>
    <xf numFmtId="2" fontId="53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4" fillId="0" borderId="0" xfId="0" applyFont="1"/>
    <xf numFmtId="3" fontId="51" fillId="17" borderId="15" xfId="0" applyNumberFormat="1" applyFont="1" applyFill="1" applyBorder="1" applyAlignment="1">
      <alignment horizontal="left" vertical="center"/>
    </xf>
    <xf numFmtId="3" fontId="51" fillId="33" borderId="15" xfId="0" quotePrefix="1" applyNumberFormat="1" applyFont="1" applyFill="1" applyBorder="1" applyAlignment="1">
      <alignment horizontal="left" vertical="top"/>
    </xf>
    <xf numFmtId="10" fontId="27" fillId="0" borderId="0" xfId="0" applyNumberFormat="1" applyFont="1" applyFill="1" applyBorder="1" applyAlignment="1" applyProtection="1">
      <protection locked="0"/>
    </xf>
    <xf numFmtId="0" fontId="30" fillId="6" borderId="0" xfId="0" applyFont="1" applyFill="1" applyBorder="1" applyAlignment="1">
      <alignment vertical="center"/>
    </xf>
    <xf numFmtId="0" fontId="27" fillId="14" borderId="65" xfId="0" applyFont="1" applyFill="1" applyBorder="1"/>
    <xf numFmtId="0" fontId="27" fillId="14" borderId="108" xfId="0" applyFont="1" applyFill="1" applyBorder="1" applyAlignment="1">
      <alignment horizontal="center"/>
    </xf>
    <xf numFmtId="0" fontId="27" fillId="14" borderId="111" xfId="0" applyFont="1" applyFill="1" applyBorder="1" applyAlignment="1">
      <alignment horizontal="center"/>
    </xf>
    <xf numFmtId="0" fontId="27" fillId="14" borderId="107" xfId="0" applyFont="1" applyFill="1" applyBorder="1" applyAlignment="1">
      <alignment horizontal="center"/>
    </xf>
    <xf numFmtId="1" fontId="30" fillId="19" borderId="113" xfId="0" applyNumberFormat="1" applyFont="1" applyFill="1" applyBorder="1" applyAlignment="1">
      <alignment horizontal="center"/>
    </xf>
    <xf numFmtId="1" fontId="30" fillId="19" borderId="106" xfId="0" applyNumberFormat="1" applyFont="1" applyFill="1" applyBorder="1" applyAlignment="1">
      <alignment horizontal="center"/>
    </xf>
    <xf numFmtId="1" fontId="30" fillId="19" borderId="146" xfId="0" applyNumberFormat="1" applyFont="1" applyFill="1" applyBorder="1" applyAlignment="1">
      <alignment horizontal="center"/>
    </xf>
    <xf numFmtId="166" fontId="40" fillId="0" borderId="0" xfId="0" applyNumberFormat="1" applyFont="1" applyBorder="1" applyAlignment="1"/>
    <xf numFmtId="166" fontId="40" fillId="0" borderId="2" xfId="0" applyNumberFormat="1" applyFont="1" applyBorder="1" applyAlignment="1"/>
    <xf numFmtId="0" fontId="40" fillId="34" borderId="7" xfId="0" applyNumberFormat="1" applyFont="1" applyFill="1" applyBorder="1" applyAlignment="1"/>
    <xf numFmtId="0" fontId="40" fillId="0" borderId="7" xfId="0" applyNumberFormat="1" applyFont="1" applyBorder="1" applyAlignment="1"/>
    <xf numFmtId="2" fontId="40" fillId="0" borderId="18" xfId="0" applyNumberFormat="1" applyFont="1" applyBorder="1" applyAlignment="1"/>
    <xf numFmtId="0" fontId="40" fillId="0" borderId="18" xfId="0" applyNumberFormat="1" applyFont="1" applyBorder="1" applyAlignment="1"/>
    <xf numFmtId="166" fontId="40" fillId="0" borderId="18" xfId="0" applyNumberFormat="1" applyFont="1" applyBorder="1" applyAlignment="1"/>
    <xf numFmtId="2" fontId="40" fillId="0" borderId="143" xfId="0" applyNumberFormat="1" applyFont="1" applyBorder="1" applyAlignment="1"/>
    <xf numFmtId="2" fontId="27" fillId="20" borderId="0" xfId="0" applyNumberFormat="1" applyFont="1" applyFill="1" applyBorder="1" applyAlignment="1" applyProtection="1">
      <alignment horizontal="left"/>
    </xf>
    <xf numFmtId="2" fontId="27" fillId="20" borderId="0" xfId="0" applyNumberFormat="1" applyFont="1" applyFill="1" applyBorder="1" applyAlignment="1" applyProtection="1">
      <alignment horizontal="right"/>
    </xf>
    <xf numFmtId="0" fontId="27" fillId="20" borderId="0" xfId="0" applyNumberFormat="1" applyFont="1" applyFill="1" applyBorder="1" applyAlignment="1" applyProtection="1"/>
    <xf numFmtId="0" fontId="27" fillId="20" borderId="0" xfId="0" applyNumberFormat="1" applyFont="1" applyFill="1" applyBorder="1" applyAlignment="1" applyProtection="1">
      <alignment horizontal="left"/>
    </xf>
    <xf numFmtId="0" fontId="3" fillId="9" borderId="0" xfId="0" applyFont="1" applyFill="1" applyAlignment="1">
      <alignment vertical="center"/>
    </xf>
    <xf numFmtId="0" fontId="33" fillId="6" borderId="0" xfId="0" applyFont="1" applyFill="1" applyAlignment="1">
      <alignment vertical="center"/>
    </xf>
    <xf numFmtId="0" fontId="3" fillId="6" borderId="0" xfId="0" applyFont="1" applyFill="1" applyAlignment="1">
      <alignment vertical="center"/>
    </xf>
    <xf numFmtId="0" fontId="3" fillId="0" borderId="0" xfId="0" applyFont="1"/>
    <xf numFmtId="0" fontId="26" fillId="0" borderId="19" xfId="0" applyFont="1" applyBorder="1" applyAlignment="1">
      <alignment vertical="center"/>
    </xf>
    <xf numFmtId="0" fontId="26" fillId="0" borderId="15" xfId="0" applyFont="1" applyBorder="1" applyAlignment="1">
      <alignment vertical="center"/>
    </xf>
    <xf numFmtId="0" fontId="27" fillId="0" borderId="14" xfId="0" applyFont="1" applyBorder="1" applyAlignment="1">
      <alignment vertical="center"/>
    </xf>
    <xf numFmtId="0" fontId="3" fillId="0" borderId="14" xfId="0" applyFont="1" applyBorder="1"/>
    <xf numFmtId="0" fontId="27" fillId="0" borderId="13" xfId="0" applyFont="1" applyBorder="1" applyAlignment="1">
      <alignment vertical="center"/>
    </xf>
    <xf numFmtId="0" fontId="3" fillId="0" borderId="13" xfId="0" applyFont="1" applyBorder="1"/>
    <xf numFmtId="0" fontId="3" fillId="32" borderId="142" xfId="0" applyFont="1" applyFill="1" applyBorder="1"/>
    <xf numFmtId="15" fontId="3" fillId="0" borderId="13" xfId="0" applyNumberFormat="1" applyFont="1" applyBorder="1"/>
    <xf numFmtId="0" fontId="27" fillId="0" borderId="148" xfId="0" applyFont="1" applyBorder="1" applyAlignment="1">
      <alignment vertical="center"/>
    </xf>
    <xf numFmtId="0" fontId="3" fillId="0" borderId="148" xfId="0" applyFont="1" applyBorder="1"/>
    <xf numFmtId="0" fontId="23" fillId="0" borderId="0" xfId="0" applyFont="1"/>
    <xf numFmtId="0" fontId="26" fillId="0" borderId="1" xfId="0" applyFont="1" applyBorder="1" applyAlignment="1">
      <alignment vertical="center"/>
    </xf>
    <xf numFmtId="0" fontId="3" fillId="0" borderId="149" xfId="0" quotePrefix="1" applyFont="1" applyBorder="1"/>
    <xf numFmtId="0" fontId="3" fillId="0" borderId="17" xfId="0" applyFont="1" applyBorder="1"/>
    <xf numFmtId="0" fontId="3" fillId="8" borderId="17" xfId="0" applyFont="1" applyFill="1" applyBorder="1"/>
    <xf numFmtId="0" fontId="3" fillId="0" borderId="147" xfId="0" applyFont="1" applyBorder="1" applyAlignment="1">
      <alignment horizontal="left"/>
    </xf>
    <xf numFmtId="0" fontId="26" fillId="0" borderId="14" xfId="0" applyFont="1" applyBorder="1" applyAlignment="1">
      <alignment vertical="center"/>
    </xf>
    <xf numFmtId="0" fontId="26" fillId="0" borderId="149" xfId="0" applyFont="1" applyBorder="1" applyAlignment="1">
      <alignment vertical="center"/>
    </xf>
    <xf numFmtId="0" fontId="3" fillId="0" borderId="14" xfId="0" applyFont="1" applyBorder="1" applyAlignment="1">
      <alignment horizontal="right"/>
    </xf>
    <xf numFmtId="0" fontId="3" fillId="0" borderId="13" xfId="0" applyFont="1" applyBorder="1" applyAlignment="1">
      <alignment horizontal="right"/>
    </xf>
    <xf numFmtId="0" fontId="3" fillId="0" borderId="17" xfId="0" applyFont="1" applyBorder="1" applyAlignment="1">
      <alignment horizontal="left"/>
    </xf>
    <xf numFmtId="17" fontId="3" fillId="0" borderId="13" xfId="0" applyNumberFormat="1" applyFont="1" applyBorder="1" applyAlignment="1">
      <alignment horizontal="right"/>
    </xf>
    <xf numFmtId="17" fontId="3" fillId="0" borderId="148" xfId="0" applyNumberFormat="1" applyFont="1" applyBorder="1" applyAlignment="1">
      <alignment horizontal="right"/>
    </xf>
    <xf numFmtId="15" fontId="3" fillId="0" borderId="14" xfId="0" applyNumberFormat="1" applyFont="1" applyBorder="1" applyAlignment="1">
      <alignment horizontal="right"/>
    </xf>
    <xf numFmtId="0" fontId="10" fillId="37" borderId="16" xfId="0" applyFont="1" applyFill="1" applyBorder="1" applyAlignment="1">
      <alignment horizontal="center"/>
    </xf>
    <xf numFmtId="0" fontId="10" fillId="37" borderId="3" xfId="0" applyFont="1" applyFill="1" applyBorder="1" applyAlignment="1">
      <alignment horizontal="center"/>
    </xf>
    <xf numFmtId="0" fontId="10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4" fillId="2" borderId="0" xfId="0" applyFont="1" applyFill="1" applyBorder="1" applyAlignment="1">
      <alignment vertical="center"/>
    </xf>
    <xf numFmtId="0" fontId="57" fillId="6" borderId="0" xfId="0" applyFont="1" applyFill="1" applyBorder="1" applyAlignment="1">
      <alignment vertical="center"/>
    </xf>
    <xf numFmtId="0" fontId="34" fillId="4" borderId="113" xfId="0" applyFont="1" applyFill="1" applyBorder="1" applyAlignment="1">
      <alignment horizontal="center" vertical="center" wrapText="1"/>
    </xf>
    <xf numFmtId="0" fontId="34" fillId="4" borderId="106" xfId="0" applyFont="1" applyFill="1" applyBorder="1" applyAlignment="1">
      <alignment horizontal="center" vertical="center" wrapText="1"/>
    </xf>
    <xf numFmtId="0" fontId="34" fillId="4" borderId="146" xfId="0" applyFont="1" applyFill="1" applyBorder="1" applyAlignment="1">
      <alignment horizontal="center" vertical="center" wrapText="1"/>
    </xf>
    <xf numFmtId="0" fontId="34" fillId="2" borderId="153" xfId="0" applyFont="1" applyFill="1" applyBorder="1" applyAlignment="1">
      <alignment vertical="center"/>
    </xf>
    <xf numFmtId="0" fontId="34" fillId="2" borderId="9" xfId="0" applyFont="1" applyFill="1" applyBorder="1" applyAlignment="1">
      <alignment vertical="center"/>
    </xf>
    <xf numFmtId="0" fontId="34" fillId="2" borderId="8" xfId="0" applyFont="1" applyFill="1" applyBorder="1" applyAlignment="1">
      <alignment vertical="center"/>
    </xf>
    <xf numFmtId="9" fontId="57" fillId="11" borderId="0" xfId="0" applyNumberFormat="1" applyFont="1" applyFill="1" applyBorder="1" applyAlignment="1">
      <alignment horizontal="center" vertical="center"/>
    </xf>
    <xf numFmtId="9" fontId="57" fillId="6" borderId="0" xfId="0" applyNumberFormat="1" applyFont="1" applyFill="1" applyBorder="1" applyAlignment="1">
      <alignment horizontal="center" vertical="center"/>
    </xf>
    <xf numFmtId="0" fontId="26" fillId="13" borderId="3" xfId="0" applyFont="1" applyFill="1" applyBorder="1" applyAlignment="1">
      <alignment horizontal="center" vertical="center"/>
    </xf>
    <xf numFmtId="0" fontId="57" fillId="12" borderId="0" xfId="0" applyFont="1" applyFill="1" applyBorder="1" applyAlignment="1">
      <alignment vertical="center"/>
    </xf>
    <xf numFmtId="4" fontId="57" fillId="12" borderId="0" xfId="0" applyNumberFormat="1" applyFont="1" applyFill="1" applyBorder="1" applyAlignment="1">
      <alignment vertical="center"/>
    </xf>
    <xf numFmtId="4" fontId="57" fillId="6" borderId="0" xfId="0" applyNumberFormat="1" applyFont="1" applyFill="1" applyBorder="1" applyAlignment="1">
      <alignment vertical="center"/>
    </xf>
    <xf numFmtId="0" fontId="9" fillId="4" borderId="174" xfId="0" applyFont="1" applyFill="1" applyBorder="1"/>
    <xf numFmtId="4" fontId="9" fillId="0" borderId="174" xfId="0" applyNumberFormat="1" applyFont="1" applyBorder="1"/>
    <xf numFmtId="4" fontId="0" fillId="0" borderId="0" xfId="0" applyNumberFormat="1"/>
    <xf numFmtId="4" fontId="9" fillId="0" borderId="0" xfId="0" applyNumberFormat="1" applyFont="1"/>
    <xf numFmtId="0" fontId="37" fillId="0" borderId="0" xfId="0" applyFont="1" applyAlignment="1">
      <alignment horizontal="center"/>
    </xf>
    <xf numFmtId="168" fontId="37" fillId="0" borderId="0" xfId="0" applyNumberFormat="1" applyFont="1" applyAlignment="1">
      <alignment horizontal="center"/>
    </xf>
    <xf numFmtId="0" fontId="52" fillId="30" borderId="0" xfId="0" applyFont="1" applyFill="1"/>
    <xf numFmtId="4" fontId="65" fillId="30" borderId="0" xfId="0" applyNumberFormat="1" applyFont="1" applyFill="1" applyBorder="1" applyAlignment="1">
      <alignment vertical="center"/>
    </xf>
    <xf numFmtId="1" fontId="40" fillId="0" borderId="0" xfId="0" applyNumberFormat="1" applyFont="1" applyBorder="1" applyAlignment="1"/>
    <xf numFmtId="1" fontId="40" fillId="34" borderId="0" xfId="0" applyNumberFormat="1" applyFont="1" applyFill="1" applyBorder="1" applyAlignment="1"/>
    <xf numFmtId="174" fontId="27" fillId="0" borderId="0" xfId="0" applyNumberFormat="1" applyFont="1"/>
    <xf numFmtId="0" fontId="61" fillId="38" borderId="0" xfId="0" applyFont="1" applyFill="1"/>
    <xf numFmtId="0" fontId="27" fillId="0" borderId="0" xfId="0" applyNumberFormat="1" applyFont="1"/>
    <xf numFmtId="167" fontId="57" fillId="12" borderId="0" xfId="0" applyNumberFormat="1" applyFont="1" applyFill="1" applyBorder="1" applyAlignment="1">
      <alignment vertical="center"/>
    </xf>
    <xf numFmtId="167" fontId="57" fillId="6" borderId="0" xfId="0" applyNumberFormat="1" applyFont="1" applyFill="1" applyBorder="1" applyAlignment="1">
      <alignment vertical="center"/>
    </xf>
    <xf numFmtId="0" fontId="27" fillId="0" borderId="18" xfId="0" applyFont="1" applyFill="1" applyBorder="1"/>
    <xf numFmtId="0" fontId="27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right" vertical="center"/>
    </xf>
    <xf numFmtId="0" fontId="34" fillId="2" borderId="143" xfId="0" applyNumberFormat="1" applyFont="1" applyFill="1" applyBorder="1" applyAlignment="1" applyProtection="1">
      <alignment horizontal="center"/>
      <protection locked="0"/>
    </xf>
    <xf numFmtId="173" fontId="6" fillId="17" borderId="118" xfId="0" applyNumberFormat="1" applyFont="1" applyFill="1" applyBorder="1" applyAlignment="1">
      <alignment vertical="center"/>
    </xf>
    <xf numFmtId="173" fontId="6" fillId="33" borderId="1" xfId="0" quotePrefix="1" applyNumberFormat="1" applyFont="1" applyFill="1" applyBorder="1" applyAlignment="1">
      <alignment horizontal="right" vertical="top"/>
    </xf>
    <xf numFmtId="173" fontId="6" fillId="17" borderId="1" xfId="0" applyNumberFormat="1" applyFont="1" applyFill="1" applyBorder="1" applyAlignment="1">
      <alignment vertical="center"/>
    </xf>
    <xf numFmtId="3" fontId="6" fillId="17" borderId="114" xfId="0" applyNumberFormat="1" applyFont="1" applyFill="1" applyBorder="1" applyAlignment="1">
      <alignment vertical="center"/>
    </xf>
    <xf numFmtId="3" fontId="6" fillId="33" borderId="140" xfId="0" quotePrefix="1" applyNumberFormat="1" applyFont="1" applyFill="1" applyBorder="1" applyAlignment="1">
      <alignment horizontal="right" vertical="top"/>
    </xf>
    <xf numFmtId="3" fontId="6" fillId="17" borderId="140" xfId="0" applyNumberFormat="1" applyFont="1" applyFill="1" applyBorder="1" applyAlignment="1">
      <alignment vertical="center"/>
    </xf>
    <xf numFmtId="1" fontId="23" fillId="17" borderId="61" xfId="0" applyNumberFormat="1" applyFont="1" applyFill="1" applyBorder="1" applyAlignment="1">
      <alignment horizontal="right" vertical="center"/>
    </xf>
    <xf numFmtId="173" fontId="6" fillId="17" borderId="11" xfId="0" applyNumberFormat="1" applyFont="1" applyFill="1" applyBorder="1" applyAlignment="1">
      <alignment vertical="center"/>
    </xf>
    <xf numFmtId="3" fontId="6" fillId="17" borderId="11" xfId="0" applyNumberFormat="1" applyFont="1" applyFill="1" applyBorder="1" applyAlignment="1">
      <alignment vertical="center"/>
    </xf>
    <xf numFmtId="3" fontId="6" fillId="17" borderId="60" xfId="0" applyNumberFormat="1" applyFont="1" applyFill="1" applyBorder="1" applyAlignment="1">
      <alignment vertical="center"/>
    </xf>
    <xf numFmtId="173" fontId="22" fillId="31" borderId="161" xfId="0" applyNumberFormat="1" applyFont="1" applyFill="1" applyBorder="1" applyAlignment="1">
      <alignment vertical="center"/>
    </xf>
    <xf numFmtId="0" fontId="9" fillId="36" borderId="0" xfId="0" applyFont="1" applyFill="1"/>
    <xf numFmtId="2" fontId="9" fillId="36" borderId="0" xfId="0" applyNumberFormat="1" applyFont="1" applyFill="1"/>
    <xf numFmtId="166" fontId="9" fillId="36" borderId="0" xfId="0" applyNumberFormat="1" applyFont="1" applyFill="1"/>
    <xf numFmtId="1" fontId="9" fillId="36" borderId="0" xfId="0" applyNumberFormat="1" applyFont="1" applyFill="1"/>
    <xf numFmtId="168" fontId="9" fillId="36" borderId="0" xfId="0" applyNumberFormat="1" applyFont="1" applyFill="1"/>
    <xf numFmtId="0" fontId="9" fillId="6" borderId="0" xfId="0" applyFont="1" applyFill="1"/>
    <xf numFmtId="2" fontId="9" fillId="0" borderId="0" xfId="0" applyNumberFormat="1" applyFont="1"/>
    <xf numFmtId="166" fontId="9" fillId="0" borderId="0" xfId="0" applyNumberFormat="1" applyFont="1"/>
    <xf numFmtId="10" fontId="51" fillId="6" borderId="0" xfId="1" applyNumberFormat="1" applyFont="1" applyFill="1"/>
    <xf numFmtId="0" fontId="51" fillId="6" borderId="0" xfId="0" applyFont="1" applyFill="1"/>
    <xf numFmtId="168" fontId="51" fillId="6" borderId="0" xfId="0" applyNumberFormat="1" applyFont="1" applyFill="1"/>
    <xf numFmtId="0" fontId="23" fillId="16" borderId="0" xfId="0" applyFont="1" applyFill="1"/>
    <xf numFmtId="11" fontId="23" fillId="16" borderId="0" xfId="0" applyNumberFormat="1" applyFont="1" applyFill="1"/>
    <xf numFmtId="166" fontId="22" fillId="30" borderId="0" xfId="0" applyNumberFormat="1" applyFont="1" applyFill="1"/>
    <xf numFmtId="0" fontId="27" fillId="36" borderId="0" xfId="0" applyFont="1" applyFill="1"/>
    <xf numFmtId="0" fontId="52" fillId="26" borderId="172" xfId="0" applyFont="1" applyFill="1" applyBorder="1" applyAlignment="1">
      <alignment wrapText="1"/>
    </xf>
    <xf numFmtId="10" fontId="51" fillId="36" borderId="0" xfId="1" applyNumberFormat="1" applyFont="1" applyFill="1"/>
    <xf numFmtId="167" fontId="9" fillId="36" borderId="0" xfId="0" applyNumberFormat="1" applyFont="1" applyFill="1"/>
    <xf numFmtId="167" fontId="9" fillId="6" borderId="0" xfId="0" applyNumberFormat="1" applyFont="1" applyFill="1"/>
    <xf numFmtId="167" fontId="22" fillId="30" borderId="0" xfId="0" applyNumberFormat="1" applyFont="1" applyFill="1"/>
    <xf numFmtId="0" fontId="34" fillId="2" borderId="59" xfId="0" applyNumberFormat="1" applyFont="1" applyFill="1" applyBorder="1" applyAlignment="1" applyProtection="1">
      <protection locked="0"/>
    </xf>
    <xf numFmtId="0" fontId="40" fillId="0" borderId="175" xfId="0" applyNumberFormat="1" applyFont="1" applyBorder="1" applyAlignment="1"/>
    <xf numFmtId="2" fontId="40" fillId="0" borderId="175" xfId="0" applyNumberFormat="1" applyFont="1" applyBorder="1" applyAlignment="1"/>
    <xf numFmtId="0" fontId="2" fillId="0" borderId="0" xfId="0" applyFont="1"/>
    <xf numFmtId="0" fontId="1" fillId="0" borderId="0" xfId="0" applyFont="1"/>
    <xf numFmtId="10" fontId="1" fillId="36" borderId="0" xfId="1" applyNumberFormat="1" applyFont="1" applyFill="1"/>
    <xf numFmtId="167" fontId="30" fillId="36" borderId="0" xfId="0" applyNumberFormat="1" applyFont="1" applyFill="1"/>
    <xf numFmtId="2" fontId="30" fillId="36" borderId="0" xfId="0" applyNumberFormat="1" applyFont="1" applyFill="1"/>
    <xf numFmtId="166" fontId="30" fillId="36" borderId="0" xfId="0" applyNumberFormat="1" applyFont="1" applyFill="1"/>
    <xf numFmtId="1" fontId="30" fillId="36" borderId="0" xfId="0" applyNumberFormat="1" applyFont="1" applyFill="1"/>
    <xf numFmtId="168" fontId="30" fillId="36" borderId="0" xfId="0" applyNumberFormat="1" applyFont="1" applyFill="1"/>
    <xf numFmtId="0" fontId="30" fillId="6" borderId="0" xfId="0" applyFont="1" applyFill="1"/>
    <xf numFmtId="10" fontId="1" fillId="6" borderId="0" xfId="1" applyNumberFormat="1" applyFont="1" applyFill="1"/>
    <xf numFmtId="167" fontId="30" fillId="6" borderId="0" xfId="0" applyNumberFormat="1" applyFont="1" applyFill="1"/>
    <xf numFmtId="2" fontId="30" fillId="0" borderId="0" xfId="0" applyNumberFormat="1" applyFont="1"/>
    <xf numFmtId="166" fontId="30" fillId="0" borderId="0" xfId="0" applyNumberFormat="1" applyFont="1"/>
    <xf numFmtId="0" fontId="1" fillId="6" borderId="0" xfId="0" applyFont="1" applyFill="1"/>
    <xf numFmtId="168" fontId="1" fillId="6" borderId="0" xfId="0" applyNumberFormat="1" applyFont="1" applyFill="1"/>
    <xf numFmtId="168" fontId="30" fillId="0" borderId="0" xfId="0" applyNumberFormat="1" applyFont="1"/>
    <xf numFmtId="0" fontId="1" fillId="35" borderId="0" xfId="0" applyFont="1" applyFill="1" applyBorder="1"/>
    <xf numFmtId="10" fontId="1" fillId="35" borderId="0" xfId="0" applyNumberFormat="1" applyFont="1" applyFill="1" applyBorder="1"/>
    <xf numFmtId="167" fontId="1" fillId="35" borderId="0" xfId="0" applyNumberFormat="1" applyFont="1" applyFill="1" applyBorder="1"/>
    <xf numFmtId="0" fontId="30" fillId="35" borderId="0" xfId="0" applyFont="1" applyFill="1"/>
    <xf numFmtId="166" fontId="67" fillId="0" borderId="0" xfId="0" applyNumberFormat="1" applyFont="1"/>
    <xf numFmtId="166" fontId="67" fillId="36" borderId="0" xfId="0" applyNumberFormat="1" applyFont="1" applyFill="1"/>
    <xf numFmtId="0" fontId="1" fillId="0" borderId="0" xfId="0" applyFont="1" applyFill="1" applyBorder="1"/>
    <xf numFmtId="169" fontId="1" fillId="0" borderId="0" xfId="0" applyNumberFormat="1" applyFont="1"/>
    <xf numFmtId="0" fontId="1" fillId="36" borderId="0" xfId="0" applyFont="1" applyFill="1"/>
    <xf numFmtId="0" fontId="30" fillId="7" borderId="2" xfId="0" applyFont="1" applyFill="1" applyBorder="1" applyAlignment="1">
      <alignment horizontal="left" vertical="center" wrapText="1"/>
    </xf>
    <xf numFmtId="0" fontId="30" fillId="7" borderId="4" xfId="0" applyFont="1" applyFill="1" applyBorder="1" applyAlignment="1">
      <alignment horizontal="left" vertical="center" wrapText="1"/>
    </xf>
    <xf numFmtId="0" fontId="26" fillId="14" borderId="0" xfId="0" applyFont="1" applyFill="1"/>
    <xf numFmtId="0" fontId="30" fillId="14" borderId="0" xfId="0" applyFont="1" applyFill="1"/>
    <xf numFmtId="0" fontId="34" fillId="2" borderId="18" xfId="0" applyNumberFormat="1" applyFont="1" applyFill="1" applyBorder="1" applyAlignment="1" applyProtection="1">
      <alignment horizontal="center"/>
      <protection locked="0"/>
    </xf>
    <xf numFmtId="0" fontId="34" fillId="2" borderId="113" xfId="0" applyNumberFormat="1" applyFont="1" applyFill="1" applyBorder="1" applyAlignment="1" applyProtection="1">
      <alignment horizontal="center"/>
      <protection locked="0"/>
    </xf>
    <xf numFmtId="0" fontId="34" fillId="2" borderId="106" xfId="0" applyNumberFormat="1" applyFont="1" applyFill="1" applyBorder="1" applyAlignment="1" applyProtection="1">
      <alignment horizontal="center"/>
      <protection locked="0"/>
    </xf>
    <xf numFmtId="0" fontId="34" fillId="2" borderId="146" xfId="0" applyNumberFormat="1" applyFont="1" applyFill="1" applyBorder="1" applyAlignment="1" applyProtection="1">
      <alignment horizontal="center"/>
      <protection locked="0"/>
    </xf>
    <xf numFmtId="0" fontId="27" fillId="39" borderId="0" xfId="0" applyNumberFormat="1" applyFont="1" applyFill="1" applyBorder="1" applyAlignment="1" applyProtection="1">
      <alignment horizontal="center" wrapText="1"/>
    </xf>
    <xf numFmtId="2" fontId="27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157" xfId="0" applyNumberFormat="1" applyFont="1" applyBorder="1" applyAlignment="1">
      <alignment horizontal="left"/>
    </xf>
    <xf numFmtId="2" fontId="40" fillId="0" borderId="157" xfId="0" applyNumberFormat="1" applyFont="1" applyBorder="1" applyAlignment="1"/>
    <xf numFmtId="2" fontId="27" fillId="2" borderId="176" xfId="0" applyNumberFormat="1" applyFont="1" applyFill="1" applyBorder="1" applyAlignment="1" applyProtection="1">
      <alignment vertical="center" wrapText="1"/>
      <protection locked="0"/>
    </xf>
    <xf numFmtId="9" fontId="68" fillId="0" borderId="157" xfId="0" applyNumberFormat="1" applyFont="1" applyBorder="1" applyAlignment="1">
      <alignment horizontal="left"/>
    </xf>
    <xf numFmtId="9" fontId="34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4" fillId="2" borderId="88" xfId="0" applyNumberFormat="1" applyFont="1" applyFill="1" applyBorder="1" applyAlignment="1" applyProtection="1">
      <protection locked="0"/>
    </xf>
    <xf numFmtId="0" fontId="34" fillId="2" borderId="13" xfId="0" applyNumberFormat="1" applyFont="1" applyFill="1" applyBorder="1" applyAlignment="1" applyProtection="1">
      <alignment horizontal="center"/>
      <protection locked="0"/>
    </xf>
    <xf numFmtId="0" fontId="34" fillId="2" borderId="20" xfId="0" applyNumberFormat="1" applyFont="1" applyFill="1" applyBorder="1" applyAlignment="1" applyProtection="1">
      <alignment horizontal="center"/>
      <protection locked="0"/>
    </xf>
    <xf numFmtId="0" fontId="2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158" xfId="0" applyNumberFormat="1" applyFont="1" applyBorder="1" applyAlignment="1">
      <alignment horizontal="left"/>
    </xf>
    <xf numFmtId="2" fontId="40" fillId="0" borderId="158" xfId="0" applyNumberFormat="1" applyFont="1" applyBorder="1" applyAlignment="1"/>
    <xf numFmtId="2" fontId="27" fillId="0" borderId="26" xfId="0" applyNumberFormat="1" applyFont="1" applyFill="1" applyBorder="1" applyAlignment="1" applyProtection="1">
      <protection locked="0"/>
    </xf>
    <xf numFmtId="165" fontId="34" fillId="0" borderId="2" xfId="0" applyNumberFormat="1" applyFont="1" applyFill="1" applyBorder="1" applyAlignment="1" applyProtection="1">
      <protection locked="0"/>
    </xf>
    <xf numFmtId="2" fontId="27" fillId="0" borderId="2" xfId="0" applyNumberFormat="1" applyFont="1" applyFill="1" applyBorder="1" applyAlignment="1" applyProtection="1">
      <protection locked="0"/>
    </xf>
    <xf numFmtId="165" fontId="27" fillId="0" borderId="2" xfId="0" applyNumberFormat="1" applyFont="1" applyFill="1" applyBorder="1" applyAlignment="1" applyProtection="1">
      <protection locked="0"/>
    </xf>
    <xf numFmtId="2" fontId="27" fillId="0" borderId="113" xfId="0" applyNumberFormat="1" applyFont="1" applyFill="1" applyBorder="1" applyAlignment="1" applyProtection="1">
      <protection locked="0"/>
    </xf>
    <xf numFmtId="2" fontId="27" fillId="0" borderId="106" xfId="0" applyNumberFormat="1" applyFont="1" applyFill="1" applyBorder="1" applyAlignment="1" applyProtection="1">
      <protection locked="0"/>
    </xf>
    <xf numFmtId="2" fontId="61" fillId="30" borderId="106" xfId="0" applyNumberFormat="1" applyFont="1" applyFill="1" applyBorder="1" applyAlignment="1" applyProtection="1">
      <protection locked="0"/>
    </xf>
    <xf numFmtId="2" fontId="61" fillId="30" borderId="146" xfId="0" applyNumberFormat="1" applyFont="1" applyFill="1" applyBorder="1" applyAlignment="1" applyProtection="1">
      <protection locked="0"/>
    </xf>
    <xf numFmtId="0" fontId="40" fillId="39" borderId="157" xfId="0" applyNumberFormat="1" applyFont="1" applyFill="1" applyBorder="1" applyAlignment="1"/>
    <xf numFmtId="165" fontId="69" fillId="0" borderId="0" xfId="0" applyNumberFormat="1" applyFont="1"/>
    <xf numFmtId="0" fontId="23" fillId="40" borderId="6" xfId="0" applyFont="1" applyFill="1" applyBorder="1" applyAlignment="1">
      <alignment horizontal="left" vertical="center"/>
    </xf>
    <xf numFmtId="0" fontId="23" fillId="40" borderId="6" xfId="0" applyFont="1" applyFill="1" applyBorder="1" applyAlignment="1" applyProtection="1">
      <alignment horizontal="left" vertical="center"/>
      <protection locked="0"/>
    </xf>
    <xf numFmtId="0" fontId="23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9" fillId="39" borderId="0" xfId="0" applyFont="1" applyFill="1"/>
    <xf numFmtId="2" fontId="9" fillId="39" borderId="0" xfId="0" applyNumberFormat="1" applyFont="1" applyFill="1"/>
    <xf numFmtId="0" fontId="40" fillId="6" borderId="0" xfId="0" applyFont="1" applyFill="1" applyAlignment="1">
      <alignment horizontal="left" vertical="center"/>
    </xf>
    <xf numFmtId="0" fontId="44" fillId="6" borderId="0" xfId="0" applyFont="1" applyFill="1" applyBorder="1" applyAlignment="1">
      <alignment horizontal="center" vertical="center"/>
    </xf>
    <xf numFmtId="0" fontId="26" fillId="6" borderId="0" xfId="0" applyFont="1" applyFill="1" applyBorder="1" applyAlignment="1">
      <alignment vertical="center"/>
    </xf>
    <xf numFmtId="0" fontId="30" fillId="6" borderId="0" xfId="0" applyFont="1" applyFill="1" applyBorder="1" applyAlignment="1">
      <alignment vertical="center"/>
    </xf>
    <xf numFmtId="0" fontId="27" fillId="0" borderId="0" xfId="0" applyFont="1" applyFill="1" applyAlignment="1">
      <alignment horizontal="left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5" xfId="0" applyNumberFormat="1" applyFont="1" applyFill="1" applyBorder="1" applyAlignment="1">
      <alignment horizontal="center" vertical="center"/>
    </xf>
    <xf numFmtId="164" fontId="10" fillId="13" borderId="15" xfId="0" applyNumberFormat="1" applyFont="1" applyFill="1" applyBorder="1" applyAlignment="1">
      <alignment horizontal="center" vertical="center"/>
    </xf>
    <xf numFmtId="164" fontId="10" fillId="13" borderId="12" xfId="0" applyNumberFormat="1" applyFont="1" applyFill="1" applyBorder="1" applyAlignment="1">
      <alignment horizontal="center" vertical="center"/>
    </xf>
    <xf numFmtId="164" fontId="10" fillId="13" borderId="0" xfId="0" applyNumberFormat="1" applyFont="1" applyFill="1" applyAlignment="1">
      <alignment horizontal="center" vertical="center"/>
    </xf>
    <xf numFmtId="0" fontId="61" fillId="35" borderId="59" xfId="0" applyNumberFormat="1" applyFont="1" applyFill="1" applyBorder="1" applyAlignment="1" applyProtection="1">
      <alignment horizontal="center" wrapText="1"/>
      <protection locked="0"/>
    </xf>
    <xf numFmtId="0" fontId="61" fillId="35" borderId="26" xfId="0" applyNumberFormat="1" applyFont="1" applyFill="1" applyBorder="1" applyAlignment="1" applyProtection="1">
      <alignment horizontal="center" wrapText="1"/>
      <protection locked="0"/>
    </xf>
    <xf numFmtId="2" fontId="27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7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4" fillId="2" borderId="59" xfId="0" applyNumberFormat="1" applyFont="1" applyFill="1" applyBorder="1" applyAlignment="1" applyProtection="1">
      <alignment horizontal="center"/>
      <protection locked="0"/>
    </xf>
    <xf numFmtId="0" fontId="34" fillId="2" borderId="26" xfId="0" applyNumberFormat="1" applyFont="1" applyFill="1" applyBorder="1" applyAlignment="1" applyProtection="1">
      <alignment horizontal="center"/>
      <protection locked="0"/>
    </xf>
    <xf numFmtId="0" fontId="34" fillId="2" borderId="113" xfId="0" applyNumberFormat="1" applyFont="1" applyFill="1" applyBorder="1" applyAlignment="1" applyProtection="1">
      <alignment horizontal="center"/>
      <protection locked="0"/>
    </xf>
    <xf numFmtId="0" fontId="34" fillId="2" borderId="106" xfId="0" applyNumberFormat="1" applyFont="1" applyFill="1" applyBorder="1" applyAlignment="1" applyProtection="1">
      <alignment horizontal="center"/>
      <protection locked="0"/>
    </xf>
    <xf numFmtId="0" fontId="34" fillId="2" borderId="146" xfId="0" applyNumberFormat="1" applyFont="1" applyFill="1" applyBorder="1" applyAlignment="1" applyProtection="1">
      <alignment horizontal="center"/>
      <protection locked="0"/>
    </xf>
    <xf numFmtId="0" fontId="41" fillId="18" borderId="0" xfId="0" applyFont="1" applyFill="1" applyAlignment="1">
      <alignment horizontal="center" vertical="center"/>
    </xf>
    <xf numFmtId="0" fontId="41" fillId="15" borderId="0" xfId="0" applyFont="1" applyFill="1" applyAlignment="1">
      <alignment horizontal="center" vertical="center"/>
    </xf>
    <xf numFmtId="0" fontId="35" fillId="3" borderId="0" xfId="0" applyNumberFormat="1" applyFont="1" applyFill="1" applyBorder="1" applyAlignment="1" applyProtection="1">
      <alignment horizontal="center" vertical="center"/>
    </xf>
    <xf numFmtId="0" fontId="24" fillId="28" borderId="0" xfId="0" applyFont="1" applyFill="1" applyAlignment="1">
      <alignment horizontal="center"/>
    </xf>
    <xf numFmtId="0" fontId="24" fillId="28" borderId="145" xfId="0" applyFont="1" applyFill="1" applyBorder="1" applyAlignment="1">
      <alignment horizontal="center"/>
    </xf>
    <xf numFmtId="0" fontId="23" fillId="12" borderId="113" xfId="0" applyFont="1" applyFill="1" applyBorder="1" applyAlignment="1">
      <alignment horizontal="center" vertical="center"/>
    </xf>
    <xf numFmtId="0" fontId="23" fillId="12" borderId="106" xfId="0" applyFont="1" applyFill="1" applyBorder="1" applyAlignment="1">
      <alignment horizontal="center" vertical="center"/>
    </xf>
    <xf numFmtId="0" fontId="23" fillId="12" borderId="146" xfId="0" applyFont="1" applyFill="1" applyBorder="1" applyAlignment="1">
      <alignment horizontal="center" vertical="center"/>
    </xf>
    <xf numFmtId="0" fontId="56" fillId="28" borderId="59" xfId="0" quotePrefix="1" applyFont="1" applyFill="1" applyBorder="1" applyAlignment="1">
      <alignment horizontal="center" vertical="center"/>
    </xf>
    <xf numFmtId="0" fontId="56" fillId="28" borderId="18" xfId="0" quotePrefix="1" applyFont="1" applyFill="1" applyBorder="1" applyAlignment="1">
      <alignment horizontal="center" vertical="center"/>
    </xf>
    <xf numFmtId="0" fontId="56" fillId="28" borderId="143" xfId="0" quotePrefix="1" applyFont="1" applyFill="1" applyBorder="1" applyAlignment="1">
      <alignment horizontal="center" vertical="center"/>
    </xf>
    <xf numFmtId="0" fontId="41" fillId="18" borderId="2" xfId="0" applyFont="1" applyFill="1" applyBorder="1" applyAlignment="1">
      <alignment horizontal="center" vertical="center"/>
    </xf>
    <xf numFmtId="0" fontId="52" fillId="28" borderId="113" xfId="0" applyFont="1" applyFill="1" applyBorder="1" applyAlignment="1">
      <alignment horizontal="center"/>
    </xf>
    <xf numFmtId="0" fontId="52" fillId="28" borderId="106" xfId="0" applyFont="1" applyFill="1" applyBorder="1" applyAlignment="1">
      <alignment horizontal="center"/>
    </xf>
    <xf numFmtId="0" fontId="52" fillId="28" borderId="146" xfId="0" applyFont="1" applyFill="1" applyBorder="1" applyAlignment="1">
      <alignment horizontal="center"/>
    </xf>
    <xf numFmtId="0" fontId="56" fillId="26" borderId="113" xfId="0" quotePrefix="1" applyFont="1" applyFill="1" applyBorder="1" applyAlignment="1">
      <alignment horizontal="center"/>
    </xf>
    <xf numFmtId="0" fontId="56" fillId="26" borderId="106" xfId="0" quotePrefix="1" applyFont="1" applyFill="1" applyBorder="1" applyAlignment="1">
      <alignment horizontal="center"/>
    </xf>
    <xf numFmtId="0" fontId="56" fillId="26" borderId="146" xfId="0" quotePrefix="1" applyFont="1" applyFill="1" applyBorder="1" applyAlignment="1">
      <alignment horizontal="center"/>
    </xf>
  </cellXfs>
  <cellStyles count="4"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406783" y="362358"/>
          <a:ext cx="160092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300-000089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300-00008B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300-00008C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300-00008D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300-00008E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300-000091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300-000092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300-000093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300-000094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300-000095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300-000096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300-000097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300-000098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300-000099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300-00009A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300-00009B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300-00009C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300-00009D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300-00009E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300-00009F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300-0000A0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300-0000A1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300-0000A2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300-0000A7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300-0000A8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300-0000AE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300-0000AF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300-0000B0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300-0000B1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300-0000B2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300-0000B3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300-0000B4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300-0000B5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300-0000B6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300-0000B7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00000000-0008-0000-0300-0000B9000000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0000000-0008-0000-0300-0000BA000000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00000000-0008-0000-0300-0000BB000000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6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8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08" t="s">
        <v>703</v>
      </c>
      <c r="B17" s="1008"/>
      <c r="C17" s="1008"/>
      <c r="D17" s="1008"/>
      <c r="E17" s="1008"/>
      <c r="F17" s="1008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09" t="s">
        <v>704</v>
      </c>
      <c r="C20" s="1009"/>
      <c r="D20" s="1009"/>
      <c r="E20" s="1009"/>
      <c r="F20" s="1009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705</v>
      </c>
      <c r="B21" s="1010" t="s">
        <v>1</v>
      </c>
      <c r="C21" s="1010"/>
      <c r="D21" s="1010"/>
      <c r="E21" s="1010"/>
      <c r="F21" s="1010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10" t="s">
        <v>706</v>
      </c>
      <c r="C22" s="1010"/>
      <c r="D22" s="1010"/>
      <c r="E22" s="1010"/>
      <c r="F22" s="1010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707</v>
      </c>
      <c r="B23" s="818" t="s">
        <v>708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709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11"/>
      <c r="B25" s="1011"/>
      <c r="C25" s="1011"/>
      <c r="D25" s="1011"/>
      <c r="E25" s="1011"/>
      <c r="F25" s="1011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07"/>
      <c r="B26" s="1007"/>
      <c r="C26" s="1007"/>
      <c r="D26" s="1007"/>
      <c r="E26" s="1007"/>
      <c r="F26" s="1007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710</v>
      </c>
      <c r="C3" s="843" t="s">
        <v>6</v>
      </c>
      <c r="D3" s="843" t="s">
        <v>7</v>
      </c>
      <c r="E3" s="841"/>
      <c r="F3" s="688"/>
      <c r="G3" s="684" t="s">
        <v>711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712</v>
      </c>
      <c r="D4" s="845"/>
      <c r="E4" s="841"/>
      <c r="F4" s="689"/>
      <c r="G4" s="685" t="s">
        <v>713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714</v>
      </c>
      <c r="D5" s="847"/>
      <c r="E5" s="841"/>
      <c r="F5" s="690"/>
      <c r="G5" s="685" t="s">
        <v>715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716</v>
      </c>
      <c r="C6" s="846" t="s">
        <v>717</v>
      </c>
      <c r="D6" s="847"/>
      <c r="E6" s="841"/>
      <c r="F6" s="691" t="s">
        <v>10</v>
      </c>
      <c r="G6" s="685" t="s">
        <v>718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719</v>
      </c>
      <c r="C7" s="846" t="s">
        <v>720</v>
      </c>
      <c r="D7" s="847"/>
      <c r="E7" s="841"/>
      <c r="F7" s="692"/>
      <c r="G7" s="685" t="s">
        <v>721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722</v>
      </c>
      <c r="C8" s="846" t="s">
        <v>723</v>
      </c>
      <c r="D8" s="847"/>
      <c r="E8" s="841"/>
      <c r="F8" s="693"/>
      <c r="G8" s="685" t="s">
        <v>724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725</v>
      </c>
      <c r="C9" s="846" t="s">
        <v>726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727</v>
      </c>
      <c r="C10" s="846" t="s">
        <v>728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729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730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731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732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733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734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710</v>
      </c>
      <c r="G17" s="843" t="s">
        <v>6</v>
      </c>
    </row>
    <row r="18" spans="1:7">
      <c r="A18" s="841"/>
      <c r="B18" s="143" t="s">
        <v>18</v>
      </c>
      <c r="C18" s="854" t="s">
        <v>735</v>
      </c>
      <c r="D18" s="841"/>
      <c r="E18" s="841"/>
      <c r="F18" s="144"/>
      <c r="G18" s="855" t="s">
        <v>736</v>
      </c>
    </row>
    <row r="19" spans="1:7">
      <c r="A19" s="841"/>
      <c r="B19" s="144" t="s">
        <v>737</v>
      </c>
      <c r="C19" s="855" t="s">
        <v>19</v>
      </c>
      <c r="D19" s="841"/>
      <c r="E19" s="841"/>
      <c r="F19" s="144"/>
      <c r="G19" s="855" t="s">
        <v>738</v>
      </c>
    </row>
    <row r="20" spans="1:7">
      <c r="A20" s="841"/>
      <c r="B20" s="144" t="s">
        <v>20</v>
      </c>
      <c r="C20" s="856" t="s">
        <v>585</v>
      </c>
      <c r="D20" s="841"/>
      <c r="E20" s="841"/>
      <c r="F20" s="145"/>
      <c r="G20" s="857" t="s">
        <v>739</v>
      </c>
    </row>
    <row r="21" spans="1:7">
      <c r="A21" s="841"/>
      <c r="B21" s="145" t="s">
        <v>740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741</v>
      </c>
      <c r="C23" s="152"/>
      <c r="D23" s="152"/>
      <c r="E23" s="841"/>
      <c r="F23" s="841"/>
      <c r="G23" s="841"/>
    </row>
    <row r="24" spans="1:7">
      <c r="A24" s="841"/>
      <c r="B24" s="858" t="s">
        <v>710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742</v>
      </c>
      <c r="D25" s="860"/>
      <c r="E25" s="841"/>
      <c r="F25" s="153" t="s">
        <v>743</v>
      </c>
      <c r="G25" s="152"/>
    </row>
    <row r="26" spans="1:7">
      <c r="A26" s="841"/>
      <c r="B26" s="144" t="s">
        <v>23</v>
      </c>
      <c r="C26" s="855" t="s">
        <v>744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745</v>
      </c>
    </row>
    <row r="28" spans="1:7">
      <c r="A28" s="841"/>
      <c r="B28" s="144" t="s">
        <v>29</v>
      </c>
      <c r="C28" s="862" t="s">
        <v>746</v>
      </c>
      <c r="D28" s="863">
        <v>43466</v>
      </c>
      <c r="E28" s="841"/>
      <c r="F28" s="144"/>
      <c r="G28" s="855"/>
    </row>
    <row r="29" spans="1:7">
      <c r="A29" s="841"/>
      <c r="B29" s="145" t="s">
        <v>747</v>
      </c>
      <c r="C29" s="310" t="s">
        <v>748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749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750</v>
      </c>
      <c r="C32" s="152"/>
      <c r="D32" s="152"/>
      <c r="E32" s="841"/>
      <c r="F32" s="841"/>
      <c r="G32" s="841"/>
    </row>
    <row r="33" spans="1:7">
      <c r="A33" s="841"/>
      <c r="B33" s="858" t="s">
        <v>751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752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9" t="str" cm="1">
        <f t="array" ref="C3">INDEX(C5:C7,$A$4)</f>
        <v>IE</v>
      </c>
      <c r="D3" s="999" t="str" cm="1">
        <f t="array" ref="D3">INDEX(D5:D7,$A$4)</f>
        <v>National</v>
      </c>
      <c r="E3" s="999" t="str" cm="1">
        <f t="array" ref="E3">INDEX(E5:E7,$A$4)</f>
        <v>IE-CW</v>
      </c>
      <c r="F3" s="999" t="str" cm="1">
        <f t="array" ref="F3">INDEX(F5:F7,$A$4)</f>
        <v>IE-D</v>
      </c>
      <c r="G3" s="999" t="str" cm="1">
        <f t="array" ref="G3">INDEX(G5:G7,$A$4)</f>
        <v>IE-KE</v>
      </c>
      <c r="H3" s="999" t="str" cm="1">
        <f t="array" ref="H3">INDEX(H5:H7,$A$4)</f>
        <v>IE-KK</v>
      </c>
      <c r="I3" s="999" t="str" cm="1">
        <f t="array" ref="I3">INDEX(I5:I7,$A$4)</f>
        <v>IE-LS</v>
      </c>
      <c r="J3" s="999" t="str" cm="1">
        <f t="array" ref="J3">INDEX(J5:J7,$A$4)</f>
        <v>IE-LD</v>
      </c>
      <c r="K3" s="999" t="str" cm="1">
        <f t="array" ref="K3">INDEX(K5:K7,$A$4)</f>
        <v>IE-LH</v>
      </c>
      <c r="L3" s="999" t="str" cm="1">
        <f t="array" ref="L3">INDEX(L5:L7,$A$4)</f>
        <v>IE-MH</v>
      </c>
      <c r="M3" s="999" t="str" cm="1">
        <f t="array" ref="M3">INDEX(M5:M7,$A$4)</f>
        <v>IE-OY</v>
      </c>
      <c r="N3" s="999" t="str" cm="1">
        <f t="array" ref="N3">INDEX(N5:N7,$A$4)</f>
        <v>IE-WH</v>
      </c>
      <c r="O3" s="999" t="str" cm="1">
        <f t="array" ref="O3">INDEX(O5:O7,$A$4)</f>
        <v>IE-WX</v>
      </c>
      <c r="P3" s="999" t="str" cm="1">
        <f t="array" ref="P3">INDEX(P5:P7,$A$4)</f>
        <v>IE-WW</v>
      </c>
      <c r="Q3" s="999" t="str" cm="1">
        <f t="array" ref="Q3">INDEX(Q5:Q7,$A$4)</f>
        <v>IE-CE</v>
      </c>
      <c r="R3" s="999" t="str" cm="1">
        <f t="array" ref="R3">INDEX(R5:R7,$A$4)</f>
        <v>IE-CO</v>
      </c>
      <c r="S3" s="999" t="str" cm="1">
        <f t="array" ref="S3">INDEX(S5:S7,$A$4)</f>
        <v>IE-KY</v>
      </c>
      <c r="T3" s="999" t="str" cm="1">
        <f t="array" ref="T3">INDEX(T5:T7,$A$4)</f>
        <v>IE-LK</v>
      </c>
      <c r="U3" s="999" t="str" cm="1">
        <f t="array" ref="U3">INDEX(U5:U7,$A$4)</f>
        <v>IE-TA</v>
      </c>
      <c r="V3" s="999" t="str" cm="1">
        <f t="array" ref="V3">INDEX(V5:V7,$A$4)</f>
        <v>IE-WD</v>
      </c>
      <c r="W3" s="999" t="str" cm="1">
        <f t="array" ref="W3">INDEX(W5:W7,$A$4)</f>
        <v>IE-G</v>
      </c>
      <c r="X3" s="999" t="str" cm="1">
        <f t="array" ref="X3">INDEX(X5:X7,$A$4)</f>
        <v>IE-LM</v>
      </c>
      <c r="Y3" s="999" t="str" cm="1">
        <f t="array" ref="Y3">INDEX(Y5:Y7,$A$4)</f>
        <v>IE-MO</v>
      </c>
      <c r="Z3" s="999" t="str" cm="1">
        <f t="array" ref="Z3">INDEX(Z5:Z7,$A$4)</f>
        <v>IE-RN</v>
      </c>
      <c r="AA3" s="999" t="str" cm="1">
        <f t="array" ref="AA3">INDEX(AA5:AA7,$A$4)</f>
        <v>IE-SO</v>
      </c>
      <c r="AB3" s="999" t="str" cm="1">
        <f t="array" ref="AB3">INDEX(AB5:AB7,$A$4)</f>
        <v>IE-CN</v>
      </c>
      <c r="AC3" s="999" t="str" cm="1">
        <f t="array" ref="AC3">INDEX(AC5:AC7,$A$4)</f>
        <v>IE-DL</v>
      </c>
      <c r="AD3" s="99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1269</v>
      </c>
      <c r="C5" s="1000" t="s">
        <v>226</v>
      </c>
      <c r="D5" s="1000" t="s">
        <v>1270</v>
      </c>
      <c r="E5" s="999" t="str">
        <f>A11</f>
        <v>IE-CW</v>
      </c>
      <c r="F5" s="999" t="str">
        <f>A16</f>
        <v>IE-D</v>
      </c>
      <c r="G5" s="999" t="str">
        <f>A19</f>
        <v>IE-KE</v>
      </c>
      <c r="H5" s="999" t="str">
        <f>A20</f>
        <v>IE-KK</v>
      </c>
      <c r="I5" s="999" t="str">
        <f>A21</f>
        <v>IE-LS</v>
      </c>
      <c r="J5" s="999" t="str">
        <f>A24</f>
        <v>IE-LD</v>
      </c>
      <c r="K5" s="999" t="str">
        <f>A25</f>
        <v>IE-LH</v>
      </c>
      <c r="L5" s="999" t="str">
        <f>A27</f>
        <v>IE-MH</v>
      </c>
      <c r="M5" s="999" t="str">
        <f>A29</f>
        <v>IE-OY</v>
      </c>
      <c r="N5" s="999" t="str">
        <f>A34</f>
        <v>IE-WH</v>
      </c>
      <c r="O5" s="999" t="str">
        <f>A35</f>
        <v>IE-WX</v>
      </c>
      <c r="P5" s="999" t="str">
        <f>A36</f>
        <v>IE-WW</v>
      </c>
      <c r="Q5" s="999" t="str">
        <f>A13</f>
        <v>IE-CE</v>
      </c>
      <c r="R5" s="999" t="str">
        <f>A14</f>
        <v>IE-CO</v>
      </c>
      <c r="S5" s="999" t="str">
        <f>A18</f>
        <v>IE-KY</v>
      </c>
      <c r="T5" s="999" t="str">
        <f>A23</f>
        <v>IE-LK</v>
      </c>
      <c r="U5" s="999" t="str">
        <f>A32</f>
        <v>IE-TA</v>
      </c>
      <c r="V5" s="999" t="str">
        <f>A33</f>
        <v>IE-WD</v>
      </c>
      <c r="W5" s="999" t="str">
        <f>A17</f>
        <v>IE-G</v>
      </c>
      <c r="X5" s="999" t="str">
        <f>A22</f>
        <v>IE-LM</v>
      </c>
      <c r="Y5" s="999" t="str">
        <f>A26</f>
        <v>IE-MO</v>
      </c>
      <c r="Z5" s="999" t="str">
        <f>A30</f>
        <v>IE-RN</v>
      </c>
      <c r="AA5" s="999" t="str">
        <f>A31</f>
        <v>IE-SO</v>
      </c>
      <c r="AB5" s="999" t="str">
        <f>A12</f>
        <v>IE-CN</v>
      </c>
      <c r="AC5" s="999" t="str">
        <f>A15</f>
        <v>IE-DL</v>
      </c>
      <c r="AD5" s="999" t="str">
        <f>A28</f>
        <v>IE-MN</v>
      </c>
    </row>
    <row r="6" spans="1:30" ht="15">
      <c r="A6" s="652" t="s">
        <v>1271</v>
      </c>
      <c r="C6" s="999" t="str">
        <f>C5</f>
        <v>IE</v>
      </c>
      <c r="D6" s="999" t="str">
        <f>"*"&amp;D5</f>
        <v>*National</v>
      </c>
      <c r="E6" s="999" t="str">
        <f>"*"&amp;E5</f>
        <v>*IE-CW</v>
      </c>
      <c r="F6" s="999" t="str">
        <f t="shared" ref="F6:AD6" si="0">"*"&amp;F5</f>
        <v>*IE-D</v>
      </c>
      <c r="G6" s="999" t="str">
        <f t="shared" si="0"/>
        <v>*IE-KE</v>
      </c>
      <c r="H6" s="999" t="str">
        <f t="shared" si="0"/>
        <v>*IE-KK</v>
      </c>
      <c r="I6" s="999" t="str">
        <f t="shared" si="0"/>
        <v>*IE-LS</v>
      </c>
      <c r="J6" s="999" t="str">
        <f t="shared" si="0"/>
        <v>*IE-LD</v>
      </c>
      <c r="K6" s="999" t="str">
        <f t="shared" si="0"/>
        <v>*IE-LH</v>
      </c>
      <c r="L6" s="999" t="str">
        <f t="shared" si="0"/>
        <v>*IE-MH</v>
      </c>
      <c r="M6" s="999" t="str">
        <f t="shared" si="0"/>
        <v>*IE-OY</v>
      </c>
      <c r="N6" s="999" t="str">
        <f t="shared" si="0"/>
        <v>*IE-WH</v>
      </c>
      <c r="O6" s="999" t="str">
        <f t="shared" si="0"/>
        <v>*IE-WX</v>
      </c>
      <c r="P6" s="999" t="str">
        <f t="shared" si="0"/>
        <v>*IE-WW</v>
      </c>
      <c r="Q6" s="999" t="str">
        <f t="shared" si="0"/>
        <v>*IE-CE</v>
      </c>
      <c r="R6" s="999" t="str">
        <f t="shared" si="0"/>
        <v>*IE-CO</v>
      </c>
      <c r="S6" s="999" t="str">
        <f t="shared" si="0"/>
        <v>*IE-KY</v>
      </c>
      <c r="T6" s="999" t="str">
        <f t="shared" si="0"/>
        <v>*IE-LK</v>
      </c>
      <c r="U6" s="999" t="str">
        <f t="shared" si="0"/>
        <v>*IE-TA</v>
      </c>
      <c r="V6" s="999" t="str">
        <f t="shared" si="0"/>
        <v>*IE-WD</v>
      </c>
      <c r="W6" s="999" t="str">
        <f t="shared" si="0"/>
        <v>*IE-G</v>
      </c>
      <c r="X6" s="999" t="str">
        <f t="shared" si="0"/>
        <v>*IE-LM</v>
      </c>
      <c r="Y6" s="999" t="str">
        <f t="shared" si="0"/>
        <v>*IE-MO</v>
      </c>
      <c r="Z6" s="999" t="str">
        <f t="shared" si="0"/>
        <v>*IE-RN</v>
      </c>
      <c r="AA6" s="999" t="str">
        <f t="shared" si="0"/>
        <v>*IE-SO</v>
      </c>
      <c r="AB6" s="999" t="str">
        <f t="shared" si="0"/>
        <v>*IE-CN</v>
      </c>
      <c r="AC6" s="999" t="str">
        <f t="shared" si="0"/>
        <v>*IE-DL</v>
      </c>
      <c r="AD6" s="999" t="str">
        <f t="shared" si="0"/>
        <v>*IE-MN</v>
      </c>
    </row>
    <row r="7" spans="1:30" ht="15">
      <c r="A7" s="652" t="s">
        <v>1272</v>
      </c>
      <c r="C7" s="999" t="str">
        <f>"*"&amp;C5</f>
        <v>*IE</v>
      </c>
      <c r="D7" s="999" t="str">
        <f>D5</f>
        <v>National</v>
      </c>
      <c r="E7" s="999" t="str">
        <f t="shared" ref="E7:AD7" si="1">E5</f>
        <v>IE-CW</v>
      </c>
      <c r="F7" s="999" t="str">
        <f t="shared" si="1"/>
        <v>IE-D</v>
      </c>
      <c r="G7" s="999" t="str">
        <f t="shared" si="1"/>
        <v>IE-KE</v>
      </c>
      <c r="H7" s="999" t="str">
        <f t="shared" si="1"/>
        <v>IE-KK</v>
      </c>
      <c r="I7" s="999" t="str">
        <f t="shared" si="1"/>
        <v>IE-LS</v>
      </c>
      <c r="J7" s="999" t="str">
        <f t="shared" si="1"/>
        <v>IE-LD</v>
      </c>
      <c r="K7" s="999" t="str">
        <f t="shared" si="1"/>
        <v>IE-LH</v>
      </c>
      <c r="L7" s="999" t="str">
        <f t="shared" si="1"/>
        <v>IE-MH</v>
      </c>
      <c r="M7" s="999" t="str">
        <f t="shared" si="1"/>
        <v>IE-OY</v>
      </c>
      <c r="N7" s="999" t="str">
        <f t="shared" si="1"/>
        <v>IE-WH</v>
      </c>
      <c r="O7" s="999" t="str">
        <f t="shared" si="1"/>
        <v>IE-WX</v>
      </c>
      <c r="P7" s="999" t="str">
        <f t="shared" si="1"/>
        <v>IE-WW</v>
      </c>
      <c r="Q7" s="999" t="str">
        <f t="shared" si="1"/>
        <v>IE-CE</v>
      </c>
      <c r="R7" s="999" t="str">
        <f t="shared" si="1"/>
        <v>IE-CO</v>
      </c>
      <c r="S7" s="999" t="str">
        <f t="shared" si="1"/>
        <v>IE-KY</v>
      </c>
      <c r="T7" s="999" t="str">
        <f t="shared" si="1"/>
        <v>IE-LK</v>
      </c>
      <c r="U7" s="999" t="str">
        <f t="shared" si="1"/>
        <v>IE-TA</v>
      </c>
      <c r="V7" s="999" t="str">
        <f t="shared" si="1"/>
        <v>IE-WD</v>
      </c>
      <c r="W7" s="999" t="str">
        <f t="shared" si="1"/>
        <v>IE-G</v>
      </c>
      <c r="X7" s="999" t="str">
        <f t="shared" si="1"/>
        <v>IE-LM</v>
      </c>
      <c r="Y7" s="999" t="str">
        <f t="shared" si="1"/>
        <v>IE-MO</v>
      </c>
      <c r="Z7" s="999" t="str">
        <f t="shared" si="1"/>
        <v>IE-RN</v>
      </c>
      <c r="AA7" s="999" t="str">
        <f t="shared" si="1"/>
        <v>IE-SO</v>
      </c>
      <c r="AB7" s="999" t="str">
        <f t="shared" si="1"/>
        <v>IE-CN</v>
      </c>
      <c r="AC7" s="999" t="str">
        <f t="shared" si="1"/>
        <v>IE-DL</v>
      </c>
      <c r="AD7" s="999" t="str">
        <f t="shared" si="1"/>
        <v>IE-MN</v>
      </c>
    </row>
    <row r="10" spans="1:30" ht="15.75" thickBot="1">
      <c r="A10" s="1001" t="s">
        <v>881</v>
      </c>
      <c r="B10" s="1001" t="s">
        <v>1273</v>
      </c>
    </row>
    <row r="11" spans="1:30">
      <c r="A11" s="1002" t="s">
        <v>1274</v>
      </c>
      <c r="B11" s="1002" t="s">
        <v>342</v>
      </c>
    </row>
    <row r="12" spans="1:30">
      <c r="A12" s="1003" t="s">
        <v>1275</v>
      </c>
      <c r="B12" s="1003" t="s">
        <v>358</v>
      </c>
    </row>
    <row r="13" spans="1:30">
      <c r="A13" s="1003" t="s">
        <v>1276</v>
      </c>
      <c r="B13" s="1003" t="s">
        <v>376</v>
      </c>
    </row>
    <row r="14" spans="1:30">
      <c r="A14" s="1003" t="s">
        <v>1277</v>
      </c>
      <c r="B14" s="1003" t="s">
        <v>380</v>
      </c>
    </row>
    <row r="15" spans="1:30">
      <c r="A15" s="1003" t="s">
        <v>1278</v>
      </c>
      <c r="B15" s="1003" t="s">
        <v>384</v>
      </c>
    </row>
    <row r="16" spans="1:30">
      <c r="A16" s="1003" t="s">
        <v>1279</v>
      </c>
      <c r="B16" s="1003" t="s">
        <v>388</v>
      </c>
    </row>
    <row r="17" spans="1:2">
      <c r="A17" s="1003" t="s">
        <v>1280</v>
      </c>
      <c r="B17" s="1003" t="s">
        <v>390</v>
      </c>
    </row>
    <row r="18" spans="1:2">
      <c r="A18" s="1003" t="s">
        <v>1281</v>
      </c>
      <c r="B18" s="1003" t="s">
        <v>391</v>
      </c>
    </row>
    <row r="19" spans="1:2">
      <c r="A19" s="1003" t="s">
        <v>1282</v>
      </c>
      <c r="B19" s="1003" t="s">
        <v>377</v>
      </c>
    </row>
    <row r="20" spans="1:2">
      <c r="A20" s="1003" t="s">
        <v>1283</v>
      </c>
      <c r="B20" s="1003" t="s">
        <v>378</v>
      </c>
    </row>
    <row r="21" spans="1:2">
      <c r="A21" s="1003" t="s">
        <v>1284</v>
      </c>
      <c r="B21" s="1003" t="s">
        <v>379</v>
      </c>
    </row>
    <row r="22" spans="1:2">
      <c r="A22" s="1003" t="s">
        <v>1285</v>
      </c>
      <c r="B22" s="1003" t="s">
        <v>395</v>
      </c>
    </row>
    <row r="23" spans="1:2">
      <c r="A23" s="1003" t="s">
        <v>1286</v>
      </c>
      <c r="B23" s="1003" t="s">
        <v>392</v>
      </c>
    </row>
    <row r="24" spans="1:2">
      <c r="A24" s="1003" t="s">
        <v>1287</v>
      </c>
      <c r="B24" s="1003" t="s">
        <v>381</v>
      </c>
    </row>
    <row r="25" spans="1:2">
      <c r="A25" s="1003" t="s">
        <v>1288</v>
      </c>
      <c r="B25" s="1003" t="s">
        <v>382</v>
      </c>
    </row>
    <row r="26" spans="1:2">
      <c r="A26" s="1003" t="s">
        <v>1289</v>
      </c>
      <c r="B26" s="1003" t="s">
        <v>396</v>
      </c>
    </row>
    <row r="27" spans="1:2">
      <c r="A27" s="1003" t="s">
        <v>1290</v>
      </c>
      <c r="B27" s="1003" t="s">
        <v>383</v>
      </c>
    </row>
    <row r="28" spans="1:2">
      <c r="A28" s="1003" t="s">
        <v>1291</v>
      </c>
      <c r="B28" s="1003" t="s">
        <v>399</v>
      </c>
    </row>
    <row r="29" spans="1:2">
      <c r="A29" s="1003" t="s">
        <v>1292</v>
      </c>
      <c r="B29" s="1003" t="s">
        <v>385</v>
      </c>
    </row>
    <row r="30" spans="1:2">
      <c r="A30" s="1003" t="s">
        <v>1293</v>
      </c>
      <c r="B30" s="1003" t="s">
        <v>397</v>
      </c>
    </row>
    <row r="31" spans="1:2">
      <c r="A31" s="1003" t="s">
        <v>1294</v>
      </c>
      <c r="B31" s="1003" t="s">
        <v>398</v>
      </c>
    </row>
    <row r="32" spans="1:2">
      <c r="A32" s="1003" t="s">
        <v>1295</v>
      </c>
      <c r="B32" s="1003" t="s">
        <v>393</v>
      </c>
    </row>
    <row r="33" spans="1:2">
      <c r="A33" s="1003" t="s">
        <v>1296</v>
      </c>
      <c r="B33" s="1003" t="s">
        <v>394</v>
      </c>
    </row>
    <row r="34" spans="1:2">
      <c r="A34" s="1003" t="s">
        <v>1297</v>
      </c>
      <c r="B34" s="1003" t="s">
        <v>386</v>
      </c>
    </row>
    <row r="35" spans="1:2">
      <c r="A35" s="1003" t="s">
        <v>1298</v>
      </c>
      <c r="B35" s="1003" t="s">
        <v>387</v>
      </c>
    </row>
    <row r="36" spans="1:2">
      <c r="A36" s="1003" t="s">
        <v>1299</v>
      </c>
      <c r="B36" s="1003" t="s">
        <v>389</v>
      </c>
    </row>
    <row r="37" spans="1:2" ht="15">
      <c r="A37" s="1004" t="s">
        <v>1300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48" t="s">
        <v>753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topLeftCell="A46" workbookViewId="0">
      <selection sqref="A1:C1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15" t="s">
        <v>32</v>
      </c>
      <c r="B1" s="1016"/>
      <c r="C1" s="1016"/>
    </row>
    <row r="2" spans="1:21" s="118" customFormat="1">
      <c r="A2" s="661" t="s">
        <v>754</v>
      </c>
      <c r="B2" s="661" t="s">
        <v>33</v>
      </c>
      <c r="C2" s="661" t="s">
        <v>6</v>
      </c>
    </row>
    <row r="3" spans="1:21">
      <c r="A3" s="652"/>
      <c r="B3" s="653" t="s">
        <v>670</v>
      </c>
      <c r="C3" s="654" t="s">
        <v>1</v>
      </c>
    </row>
    <row r="4" spans="1:21">
      <c r="A4" s="652"/>
      <c r="B4" s="653" t="s">
        <v>581</v>
      </c>
      <c r="C4" s="653" t="s">
        <v>755</v>
      </c>
    </row>
    <row r="5" spans="1:21">
      <c r="A5" s="652"/>
      <c r="B5" s="653" t="s">
        <v>830</v>
      </c>
      <c r="C5" s="653" t="s">
        <v>829</v>
      </c>
    </row>
    <row r="6" spans="1:21">
      <c r="A6" s="661"/>
      <c r="B6" s="661" t="s">
        <v>33</v>
      </c>
      <c r="C6" s="661" t="s">
        <v>6</v>
      </c>
    </row>
    <row r="7" spans="1:21">
      <c r="A7" s="1012" t="s">
        <v>34</v>
      </c>
      <c r="B7" s="1013"/>
      <c r="C7" s="1014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914</v>
      </c>
      <c r="L9" s="131" t="s">
        <v>915</v>
      </c>
      <c r="S9" s="131" t="s">
        <v>916</v>
      </c>
      <c r="T9" s="131" t="s">
        <v>917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881</v>
      </c>
      <c r="J10" s="131" t="s">
        <v>6</v>
      </c>
      <c r="L10" s="131" t="s">
        <v>881</v>
      </c>
      <c r="M10" s="131" t="s">
        <v>6</v>
      </c>
      <c r="N10" s="131" t="s">
        <v>918</v>
      </c>
      <c r="O10" s="131" t="s">
        <v>231</v>
      </c>
      <c r="P10" s="131" t="s">
        <v>919</v>
      </c>
      <c r="Q10" s="131" t="s">
        <v>920</v>
      </c>
      <c r="R10" s="131" t="s">
        <v>921</v>
      </c>
      <c r="T10" s="131" t="s">
        <v>881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922</v>
      </c>
      <c r="J11" s="131" t="s">
        <v>676</v>
      </c>
      <c r="L11" s="131" t="s">
        <v>1073</v>
      </c>
      <c r="M11" s="131" t="s">
        <v>1074</v>
      </c>
      <c r="N11" s="131" t="s">
        <v>891</v>
      </c>
      <c r="O11" s="131" t="s">
        <v>232</v>
      </c>
      <c r="P11" s="131" t="s">
        <v>890</v>
      </c>
      <c r="R11" s="131" t="s">
        <v>890</v>
      </c>
      <c r="T11" s="131" t="s">
        <v>923</v>
      </c>
      <c r="U11" s="131" t="s">
        <v>924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925</v>
      </c>
      <c r="J12" s="131" t="s">
        <v>926</v>
      </c>
      <c r="L12" s="131" t="s">
        <v>1075</v>
      </c>
      <c r="M12" s="131" t="s">
        <v>1076</v>
      </c>
      <c r="N12" s="131" t="s">
        <v>891</v>
      </c>
      <c r="O12" s="131" t="s">
        <v>233</v>
      </c>
      <c r="P12" s="131" t="s">
        <v>890</v>
      </c>
      <c r="R12" s="131" t="s">
        <v>890</v>
      </c>
      <c r="T12" s="131" t="s">
        <v>927</v>
      </c>
      <c r="U12" s="131" t="s">
        <v>928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929</v>
      </c>
      <c r="J13" s="131" t="s">
        <v>930</v>
      </c>
      <c r="L13" s="131" t="s">
        <v>1077</v>
      </c>
      <c r="M13" s="131" t="s">
        <v>1078</v>
      </c>
      <c r="N13" s="131" t="s">
        <v>891</v>
      </c>
      <c r="O13" s="131" t="s">
        <v>234</v>
      </c>
      <c r="P13" s="131" t="s">
        <v>890</v>
      </c>
      <c r="R13" s="131" t="s">
        <v>890</v>
      </c>
      <c r="T13" s="131" t="s">
        <v>931</v>
      </c>
      <c r="U13" s="131" t="s">
        <v>932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933</v>
      </c>
      <c r="J14" s="131" t="s">
        <v>934</v>
      </c>
      <c r="L14" s="131" t="s">
        <v>1079</v>
      </c>
      <c r="M14" s="131" t="s">
        <v>1080</v>
      </c>
      <c r="N14" s="131" t="s">
        <v>891</v>
      </c>
      <c r="O14" s="131" t="s">
        <v>235</v>
      </c>
      <c r="P14" s="131" t="s">
        <v>890</v>
      </c>
      <c r="R14" s="131" t="s">
        <v>890</v>
      </c>
      <c r="T14" s="131" t="s">
        <v>935</v>
      </c>
      <c r="U14" s="131" t="s">
        <v>936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937</v>
      </c>
      <c r="J15" s="131" t="s">
        <v>938</v>
      </c>
      <c r="L15" s="131" t="s">
        <v>1081</v>
      </c>
      <c r="M15" s="131" t="s">
        <v>1082</v>
      </c>
      <c r="N15" s="131" t="s">
        <v>891</v>
      </c>
      <c r="O15" s="131" t="s">
        <v>1002</v>
      </c>
      <c r="P15" s="131" t="s">
        <v>890</v>
      </c>
      <c r="R15" s="131" t="s">
        <v>890</v>
      </c>
      <c r="T15" s="131" t="s">
        <v>939</v>
      </c>
      <c r="U15" s="131" t="s">
        <v>1083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940</v>
      </c>
      <c r="J16" s="131" t="s">
        <v>941</v>
      </c>
      <c r="L16" s="131" t="s">
        <v>1084</v>
      </c>
      <c r="M16" s="131" t="s">
        <v>1085</v>
      </c>
      <c r="N16" s="131" t="s">
        <v>891</v>
      </c>
      <c r="O16" s="131" t="s">
        <v>239</v>
      </c>
      <c r="P16" s="131" t="s">
        <v>890</v>
      </c>
      <c r="R16" s="131" t="s">
        <v>890</v>
      </c>
      <c r="T16" s="131" t="s">
        <v>942</v>
      </c>
      <c r="U16" s="131" t="s">
        <v>1086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943</v>
      </c>
      <c r="J17" s="131" t="s">
        <v>633</v>
      </c>
      <c r="L17" s="131" t="s">
        <v>1087</v>
      </c>
      <c r="M17" s="131" t="s">
        <v>1088</v>
      </c>
      <c r="N17" s="131" t="s">
        <v>891</v>
      </c>
      <c r="O17" s="131" t="s">
        <v>241</v>
      </c>
      <c r="P17" s="131" t="s">
        <v>890</v>
      </c>
      <c r="R17" s="131" t="s">
        <v>890</v>
      </c>
      <c r="T17" s="131" t="s">
        <v>944</v>
      </c>
      <c r="U17" s="131" t="s">
        <v>1089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945</v>
      </c>
      <c r="J18" s="131" t="s">
        <v>634</v>
      </c>
      <c r="L18" s="131" t="s">
        <v>1090</v>
      </c>
      <c r="M18" s="131" t="s">
        <v>1091</v>
      </c>
      <c r="N18" s="131" t="s">
        <v>891</v>
      </c>
      <c r="O18" s="131" t="s">
        <v>240</v>
      </c>
      <c r="P18" s="131" t="s">
        <v>890</v>
      </c>
      <c r="R18" s="131" t="s">
        <v>890</v>
      </c>
      <c r="T18" s="131" t="s">
        <v>946</v>
      </c>
      <c r="U18" s="131" t="s">
        <v>947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948</v>
      </c>
      <c r="J19" s="131" t="s">
        <v>949</v>
      </c>
      <c r="L19" s="131" t="s">
        <v>1092</v>
      </c>
      <c r="M19" s="131" t="s">
        <v>1093</v>
      </c>
      <c r="N19" s="131" t="s">
        <v>891</v>
      </c>
      <c r="O19" s="131" t="s">
        <v>237</v>
      </c>
      <c r="P19" s="131" t="s">
        <v>890</v>
      </c>
      <c r="R19" s="131" t="s">
        <v>890</v>
      </c>
      <c r="T19" s="131" t="s">
        <v>950</v>
      </c>
      <c r="U19" s="131" t="s">
        <v>951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952</v>
      </c>
      <c r="J20" s="131" t="s">
        <v>953</v>
      </c>
      <c r="L20" s="131" t="s">
        <v>1094</v>
      </c>
      <c r="M20" s="131" t="s">
        <v>1095</v>
      </c>
      <c r="N20" s="131" t="s">
        <v>891</v>
      </c>
      <c r="O20" s="131" t="s">
        <v>238</v>
      </c>
      <c r="P20" s="131" t="s">
        <v>890</v>
      </c>
      <c r="R20" s="131" t="s">
        <v>890</v>
      </c>
      <c r="T20" s="131" t="s">
        <v>954</v>
      </c>
      <c r="U20" s="131" t="s">
        <v>955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956</v>
      </c>
      <c r="J21" s="131" t="s">
        <v>957</v>
      </c>
      <c r="L21" s="131" t="s">
        <v>1096</v>
      </c>
      <c r="M21" s="131" t="s">
        <v>1097</v>
      </c>
      <c r="N21" s="131" t="s">
        <v>891</v>
      </c>
      <c r="O21" s="131" t="s">
        <v>242</v>
      </c>
      <c r="P21" s="131" t="s">
        <v>890</v>
      </c>
      <c r="R21" s="131" t="s">
        <v>890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958</v>
      </c>
      <c r="J22" s="131" t="s">
        <v>959</v>
      </c>
      <c r="L22" s="131" t="s">
        <v>1098</v>
      </c>
      <c r="M22" s="131" t="s">
        <v>1099</v>
      </c>
      <c r="N22" s="131" t="s">
        <v>891</v>
      </c>
      <c r="O22" s="131" t="s">
        <v>1014</v>
      </c>
      <c r="P22" s="131" t="s">
        <v>890</v>
      </c>
      <c r="R22" s="131" t="s">
        <v>890</v>
      </c>
      <c r="T22" s="131" t="s">
        <v>876</v>
      </c>
      <c r="W22" s="131" t="s">
        <v>877</v>
      </c>
      <c r="AA22" s="131" t="s">
        <v>878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960</v>
      </c>
      <c r="J23" s="131" t="s">
        <v>961</v>
      </c>
      <c r="L23" s="131" t="s">
        <v>1100</v>
      </c>
      <c r="M23" s="131" t="s">
        <v>1101</v>
      </c>
      <c r="N23" s="131" t="s">
        <v>891</v>
      </c>
      <c r="O23" s="131" t="s">
        <v>243</v>
      </c>
      <c r="P23" s="131" t="s">
        <v>890</v>
      </c>
      <c r="Q23" s="131" t="s">
        <v>886</v>
      </c>
      <c r="R23" s="131" t="s">
        <v>890</v>
      </c>
      <c r="T23" s="131" t="s">
        <v>881</v>
      </c>
      <c r="U23" s="131" t="s">
        <v>6</v>
      </c>
      <c r="W23" s="131" t="s">
        <v>881</v>
      </c>
      <c r="X23" s="131" t="s">
        <v>6</v>
      </c>
      <c r="AA23" s="131" t="s">
        <v>881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962</v>
      </c>
      <c r="J24" s="131" t="s">
        <v>963</v>
      </c>
      <c r="L24" s="131" t="s">
        <v>1102</v>
      </c>
      <c r="M24" s="131" t="s">
        <v>1103</v>
      </c>
      <c r="N24" s="131" t="s">
        <v>891</v>
      </c>
      <c r="O24" s="131" t="s">
        <v>1017</v>
      </c>
      <c r="P24" s="131" t="s">
        <v>890</v>
      </c>
      <c r="Q24" s="131" t="s">
        <v>892</v>
      </c>
      <c r="R24" s="131" t="s">
        <v>890</v>
      </c>
      <c r="T24" s="131" t="s">
        <v>882</v>
      </c>
      <c r="U24" s="131" t="s">
        <v>883</v>
      </c>
      <c r="W24" s="131" t="s">
        <v>884</v>
      </c>
      <c r="X24" s="131" t="s">
        <v>885</v>
      </c>
      <c r="AA24" s="131" t="s">
        <v>886</v>
      </c>
      <c r="AB24" s="131" t="s">
        <v>887</v>
      </c>
    </row>
    <row r="25" spans="1:28">
      <c r="A25" s="680"/>
      <c r="B25" s="655" t="s">
        <v>584</v>
      </c>
      <c r="C25" s="655" t="s">
        <v>513</v>
      </c>
      <c r="I25" s="131" t="s">
        <v>964</v>
      </c>
      <c r="J25" s="131" t="s">
        <v>965</v>
      </c>
      <c r="L25" s="131" t="s">
        <v>1104</v>
      </c>
      <c r="M25" s="131" t="s">
        <v>1105</v>
      </c>
      <c r="N25" s="131" t="s">
        <v>891</v>
      </c>
      <c r="O25" s="131" t="s">
        <v>1019</v>
      </c>
      <c r="P25" s="131" t="s">
        <v>890</v>
      </c>
      <c r="R25" s="131" t="s">
        <v>890</v>
      </c>
      <c r="T25" s="131" t="s">
        <v>757</v>
      </c>
      <c r="U25" s="131" t="s">
        <v>164</v>
      </c>
      <c r="W25" s="131" t="s">
        <v>890</v>
      </c>
      <c r="X25" s="131" t="s">
        <v>891</v>
      </c>
      <c r="AA25" s="131" t="s">
        <v>892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966</v>
      </c>
      <c r="J26" s="131" t="s">
        <v>967</v>
      </c>
      <c r="L26" s="131" t="s">
        <v>1106</v>
      </c>
      <c r="M26" s="131" t="s">
        <v>1107</v>
      </c>
      <c r="N26" s="131" t="s">
        <v>891</v>
      </c>
      <c r="O26" s="131" t="s">
        <v>1030</v>
      </c>
      <c r="P26" s="131" t="s">
        <v>890</v>
      </c>
      <c r="Q26" s="131" t="s">
        <v>902</v>
      </c>
      <c r="R26" s="131" t="s">
        <v>890</v>
      </c>
      <c r="W26" s="131" t="s">
        <v>896</v>
      </c>
      <c r="X26" s="131" t="s">
        <v>897</v>
      </c>
      <c r="AA26" s="131" t="s">
        <v>898</v>
      </c>
      <c r="AB26" s="131" t="s">
        <v>899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968</v>
      </c>
      <c r="J27" s="131" t="s">
        <v>969</v>
      </c>
      <c r="L27" s="131" t="s">
        <v>1108</v>
      </c>
      <c r="M27" s="131" t="s">
        <v>1109</v>
      </c>
      <c r="N27" s="131" t="s">
        <v>891</v>
      </c>
      <c r="O27" s="131" t="s">
        <v>1030</v>
      </c>
      <c r="P27" s="131" t="s">
        <v>890</v>
      </c>
      <c r="Q27" s="131" t="s">
        <v>906</v>
      </c>
      <c r="R27" s="131" t="s">
        <v>890</v>
      </c>
      <c r="W27" s="131" t="s">
        <v>900</v>
      </c>
      <c r="X27" s="131" t="s">
        <v>901</v>
      </c>
      <c r="AA27" s="131" t="s">
        <v>902</v>
      </c>
      <c r="AB27" s="131" t="s">
        <v>903</v>
      </c>
    </row>
    <row r="28" spans="1:28">
      <c r="A28" s="1012" t="s">
        <v>35</v>
      </c>
      <c r="B28" s="1013"/>
      <c r="C28" s="1014"/>
      <c r="I28" s="131" t="s">
        <v>958</v>
      </c>
      <c r="J28" s="131" t="s">
        <v>970</v>
      </c>
      <c r="L28" s="131" t="s">
        <v>1110</v>
      </c>
      <c r="M28" s="131" t="s">
        <v>1111</v>
      </c>
      <c r="N28" s="131" t="s">
        <v>891</v>
      </c>
      <c r="O28" s="131" t="s">
        <v>1030</v>
      </c>
      <c r="P28" s="131" t="s">
        <v>890</v>
      </c>
      <c r="Q28" s="131" t="s">
        <v>910</v>
      </c>
      <c r="R28" s="131" t="s">
        <v>890</v>
      </c>
      <c r="W28" s="131" t="s">
        <v>904</v>
      </c>
      <c r="X28" s="131" t="s">
        <v>905</v>
      </c>
      <c r="AA28" s="131" t="s">
        <v>906</v>
      </c>
      <c r="AB28" s="131" t="s">
        <v>907</v>
      </c>
    </row>
    <row r="29" spans="1:28">
      <c r="A29" s="680"/>
      <c r="B29" s="655" t="s">
        <v>36</v>
      </c>
      <c r="C29" s="655" t="s">
        <v>37</v>
      </c>
      <c r="I29" s="131" t="s">
        <v>971</v>
      </c>
      <c r="J29" s="131" t="s">
        <v>972</v>
      </c>
      <c r="L29" s="131" t="s">
        <v>1112</v>
      </c>
      <c r="M29" s="131" t="s">
        <v>1113</v>
      </c>
      <c r="N29" s="131" t="s">
        <v>891</v>
      </c>
      <c r="O29" s="131" t="s">
        <v>1030</v>
      </c>
      <c r="P29" s="131" t="s">
        <v>890</v>
      </c>
      <c r="Q29" s="131" t="s">
        <v>912</v>
      </c>
      <c r="R29" s="131" t="s">
        <v>890</v>
      </c>
      <c r="W29" s="131" t="s">
        <v>908</v>
      </c>
      <c r="X29" s="131" t="s">
        <v>909</v>
      </c>
      <c r="AA29" s="131" t="s">
        <v>910</v>
      </c>
      <c r="AB29" s="131" t="s">
        <v>911</v>
      </c>
    </row>
    <row r="30" spans="1:28">
      <c r="A30" s="680"/>
      <c r="B30" s="655" t="s">
        <v>38</v>
      </c>
      <c r="C30" s="655" t="s">
        <v>39</v>
      </c>
      <c r="I30" s="131" t="s">
        <v>973</v>
      </c>
      <c r="J30" s="131" t="s">
        <v>974</v>
      </c>
      <c r="L30" s="131" t="s">
        <v>1114</v>
      </c>
      <c r="M30" s="131" t="s">
        <v>1115</v>
      </c>
      <c r="N30" s="131" t="s">
        <v>891</v>
      </c>
      <c r="O30" s="131" t="s">
        <v>1034</v>
      </c>
      <c r="P30" s="131" t="s">
        <v>890</v>
      </c>
      <c r="Q30" s="131" t="s">
        <v>902</v>
      </c>
      <c r="R30" s="131" t="s">
        <v>890</v>
      </c>
      <c r="AA30" s="131" t="s">
        <v>912</v>
      </c>
      <c r="AB30" s="131" t="s">
        <v>913</v>
      </c>
    </row>
    <row r="31" spans="1:28">
      <c r="A31" s="680"/>
      <c r="B31" s="655" t="s">
        <v>42</v>
      </c>
      <c r="C31" s="655" t="s">
        <v>43</v>
      </c>
      <c r="E31" s="680"/>
      <c r="I31" s="131" t="s">
        <v>975</v>
      </c>
      <c r="J31" s="131" t="s">
        <v>976</v>
      </c>
      <c r="L31" s="131" t="s">
        <v>1116</v>
      </c>
      <c r="M31" s="131" t="s">
        <v>1117</v>
      </c>
      <c r="N31" s="131" t="s">
        <v>891</v>
      </c>
      <c r="O31" s="131" t="s">
        <v>1034</v>
      </c>
      <c r="P31" s="131" t="s">
        <v>890</v>
      </c>
      <c r="Q31" s="131" t="s">
        <v>906</v>
      </c>
      <c r="R31" s="131" t="s">
        <v>890</v>
      </c>
    </row>
    <row r="32" spans="1:28">
      <c r="A32" s="680"/>
      <c r="B32" s="655" t="s">
        <v>40</v>
      </c>
      <c r="C32" s="655" t="s">
        <v>41</v>
      </c>
      <c r="I32" s="131" t="s">
        <v>977</v>
      </c>
      <c r="J32" s="131" t="s">
        <v>978</v>
      </c>
      <c r="L32" s="131" t="s">
        <v>1118</v>
      </c>
      <c r="M32" s="131" t="s">
        <v>1119</v>
      </c>
      <c r="N32" s="131" t="s">
        <v>891</v>
      </c>
      <c r="O32" s="131" t="s">
        <v>1034</v>
      </c>
      <c r="P32" s="131" t="s">
        <v>890</v>
      </c>
      <c r="Q32" s="131" t="s">
        <v>910</v>
      </c>
      <c r="R32" s="131" t="s">
        <v>890</v>
      </c>
    </row>
    <row r="33" spans="1:24">
      <c r="A33" s="680"/>
      <c r="B33" s="655" t="s">
        <v>44</v>
      </c>
      <c r="C33" s="655" t="s">
        <v>45</v>
      </c>
      <c r="I33" s="131" t="s">
        <v>979</v>
      </c>
      <c r="J33" s="131" t="s">
        <v>980</v>
      </c>
      <c r="L33" s="131" t="s">
        <v>1120</v>
      </c>
      <c r="M33" s="131" t="s">
        <v>1121</v>
      </c>
      <c r="N33" s="131" t="s">
        <v>891</v>
      </c>
      <c r="O33" s="131" t="s">
        <v>1034</v>
      </c>
      <c r="P33" s="131" t="s">
        <v>890</v>
      </c>
      <c r="Q33" s="131" t="s">
        <v>912</v>
      </c>
      <c r="R33" s="131" t="s">
        <v>890</v>
      </c>
    </row>
    <row r="34" spans="1:24">
      <c r="A34" s="680"/>
      <c r="B34" s="655" t="s">
        <v>46</v>
      </c>
      <c r="C34" s="655" t="s">
        <v>47</v>
      </c>
      <c r="I34" s="131" t="s">
        <v>981</v>
      </c>
      <c r="J34" s="131" t="s">
        <v>982</v>
      </c>
      <c r="L34" s="131" t="s">
        <v>1122</v>
      </c>
      <c r="M34" s="131" t="s">
        <v>1123</v>
      </c>
      <c r="N34" s="131" t="s">
        <v>891</v>
      </c>
      <c r="O34" s="131" t="s">
        <v>1049</v>
      </c>
      <c r="P34" s="131" t="s">
        <v>890</v>
      </c>
      <c r="Q34" s="131" t="s">
        <v>902</v>
      </c>
      <c r="R34" s="131" t="s">
        <v>890</v>
      </c>
    </row>
    <row r="35" spans="1:24">
      <c r="A35" s="1012" t="s">
        <v>48</v>
      </c>
      <c r="B35" s="1013"/>
      <c r="C35" s="1014"/>
      <c r="I35" s="131" t="s">
        <v>983</v>
      </c>
      <c r="J35" s="131" t="s">
        <v>984</v>
      </c>
      <c r="L35" s="131" t="s">
        <v>1124</v>
      </c>
      <c r="M35" s="131" t="s">
        <v>1125</v>
      </c>
      <c r="N35" s="131" t="s">
        <v>891</v>
      </c>
      <c r="O35" s="131" t="s">
        <v>1049</v>
      </c>
      <c r="P35" s="131" t="s">
        <v>890</v>
      </c>
      <c r="Q35" s="131" t="s">
        <v>906</v>
      </c>
      <c r="R35" s="131" t="s">
        <v>890</v>
      </c>
      <c r="T35" s="131" t="s">
        <v>879</v>
      </c>
      <c r="W35" s="131" t="s">
        <v>880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985</v>
      </c>
      <c r="J36" s="131" t="s">
        <v>986</v>
      </c>
      <c r="L36" s="131" t="s">
        <v>1126</v>
      </c>
      <c r="M36" s="131" t="s">
        <v>1127</v>
      </c>
      <c r="N36" s="131" t="s">
        <v>891</v>
      </c>
      <c r="O36" s="131" t="s">
        <v>1049</v>
      </c>
      <c r="P36" s="131" t="s">
        <v>890</v>
      </c>
      <c r="Q36" s="131" t="s">
        <v>910</v>
      </c>
      <c r="R36" s="131" t="s">
        <v>890</v>
      </c>
      <c r="T36" s="131" t="s">
        <v>881</v>
      </c>
      <c r="U36" s="131" t="s">
        <v>6</v>
      </c>
      <c r="W36" s="131" t="s">
        <v>881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987</v>
      </c>
      <c r="J37" s="131" t="s">
        <v>988</v>
      </c>
      <c r="L37" s="131" t="s">
        <v>1128</v>
      </c>
      <c r="M37" s="131" t="s">
        <v>1129</v>
      </c>
      <c r="N37" s="131" t="s">
        <v>891</v>
      </c>
      <c r="O37" s="131" t="s">
        <v>1049</v>
      </c>
      <c r="P37" s="131" t="s">
        <v>890</v>
      </c>
      <c r="Q37" s="131" t="s">
        <v>912</v>
      </c>
      <c r="R37" s="131" t="s">
        <v>890</v>
      </c>
      <c r="T37" s="131" t="s">
        <v>73</v>
      </c>
      <c r="U37" s="131" t="s">
        <v>888</v>
      </c>
      <c r="W37" s="131" t="s">
        <v>65</v>
      </c>
      <c r="X37" s="131" t="s">
        <v>889</v>
      </c>
    </row>
    <row r="38" spans="1:24">
      <c r="A38" s="680"/>
      <c r="B38" s="655" t="s">
        <v>54</v>
      </c>
      <c r="C38" s="655" t="s">
        <v>55</v>
      </c>
      <c r="I38" s="131" t="s">
        <v>989</v>
      </c>
      <c r="J38" s="131" t="s">
        <v>990</v>
      </c>
      <c r="L38" s="131" t="s">
        <v>1130</v>
      </c>
      <c r="M38" s="131" t="s">
        <v>1131</v>
      </c>
      <c r="N38" s="131" t="s">
        <v>891</v>
      </c>
      <c r="O38" s="131" t="s">
        <v>1051</v>
      </c>
      <c r="P38" s="131" t="s">
        <v>890</v>
      </c>
      <c r="Q38" s="131" t="s">
        <v>902</v>
      </c>
      <c r="R38" s="131" t="s">
        <v>890</v>
      </c>
      <c r="T38" s="131" t="s">
        <v>893</v>
      </c>
      <c r="U38" s="131" t="s">
        <v>894</v>
      </c>
      <c r="W38" s="131" t="s">
        <v>67</v>
      </c>
      <c r="X38" s="131" t="s">
        <v>895</v>
      </c>
    </row>
    <row r="39" spans="1:24">
      <c r="A39" s="1012" t="s">
        <v>56</v>
      </c>
      <c r="B39" s="1013"/>
      <c r="C39" s="1014"/>
      <c r="I39" s="131" t="s">
        <v>991</v>
      </c>
      <c r="J39" s="131" t="s">
        <v>992</v>
      </c>
      <c r="L39" s="131" t="s">
        <v>1132</v>
      </c>
      <c r="M39" s="131" t="s">
        <v>1133</v>
      </c>
      <c r="N39" s="131" t="s">
        <v>891</v>
      </c>
      <c r="O39" s="131" t="s">
        <v>1051</v>
      </c>
      <c r="P39" s="131" t="s">
        <v>890</v>
      </c>
      <c r="Q39" s="131" t="s">
        <v>906</v>
      </c>
      <c r="R39" s="131" t="s">
        <v>890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993</v>
      </c>
      <c r="J40" s="131" t="s">
        <v>994</v>
      </c>
      <c r="L40" s="131" t="s">
        <v>1134</v>
      </c>
      <c r="M40" s="131" t="s">
        <v>1135</v>
      </c>
      <c r="N40" s="131" t="s">
        <v>891</v>
      </c>
      <c r="O40" s="131" t="s">
        <v>1051</v>
      </c>
      <c r="P40" s="131" t="s">
        <v>890</v>
      </c>
      <c r="Q40" s="131" t="s">
        <v>910</v>
      </c>
      <c r="R40" s="131" t="s">
        <v>890</v>
      </c>
    </row>
    <row r="41" spans="1:24">
      <c r="A41" s="680"/>
      <c r="B41" s="655" t="s">
        <v>59</v>
      </c>
      <c r="C41" s="677" t="s">
        <v>60</v>
      </c>
      <c r="I41" s="131" t="s">
        <v>757</v>
      </c>
      <c r="J41" s="131" t="s">
        <v>164</v>
      </c>
      <c r="L41" s="131" t="s">
        <v>1136</v>
      </c>
      <c r="M41" s="131" t="s">
        <v>1137</v>
      </c>
      <c r="N41" s="131" t="s">
        <v>891</v>
      </c>
      <c r="O41" s="131" t="s">
        <v>1051</v>
      </c>
      <c r="P41" s="131" t="s">
        <v>890</v>
      </c>
      <c r="Q41" s="131" t="s">
        <v>912</v>
      </c>
      <c r="R41" s="131" t="s">
        <v>890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1138</v>
      </c>
      <c r="M42" s="131" t="s">
        <v>1139</v>
      </c>
      <c r="N42" s="131" t="s">
        <v>885</v>
      </c>
      <c r="O42" s="131" t="s">
        <v>243</v>
      </c>
      <c r="P42" s="131" t="s">
        <v>884</v>
      </c>
      <c r="Q42" s="131" t="s">
        <v>902</v>
      </c>
      <c r="R42" s="131" t="s">
        <v>884</v>
      </c>
    </row>
    <row r="43" spans="1:24">
      <c r="A43" s="680"/>
      <c r="B43" s="655" t="s">
        <v>63</v>
      </c>
      <c r="C43" s="677" t="s">
        <v>64</v>
      </c>
      <c r="I43" s="131" t="s">
        <v>995</v>
      </c>
      <c r="J43" s="131" t="s">
        <v>996</v>
      </c>
      <c r="L43" s="131" t="s">
        <v>1140</v>
      </c>
      <c r="M43" s="131" t="s">
        <v>1141</v>
      </c>
      <c r="N43" s="131" t="s">
        <v>885</v>
      </c>
      <c r="O43" s="131" t="s">
        <v>243</v>
      </c>
      <c r="P43" s="131" t="s">
        <v>884</v>
      </c>
      <c r="Q43" s="131" t="s">
        <v>906</v>
      </c>
      <c r="R43" s="131" t="s">
        <v>884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997</v>
      </c>
      <c r="L44" s="131" t="s">
        <v>1142</v>
      </c>
      <c r="M44" s="131" t="s">
        <v>1143</v>
      </c>
      <c r="N44" s="131" t="s">
        <v>885</v>
      </c>
      <c r="O44" s="131" t="s">
        <v>236</v>
      </c>
      <c r="P44" s="131" t="s">
        <v>884</v>
      </c>
      <c r="Q44" s="131" t="s">
        <v>902</v>
      </c>
      <c r="R44" s="131" t="s">
        <v>884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998</v>
      </c>
      <c r="L45" s="131" t="s">
        <v>1144</v>
      </c>
      <c r="M45" s="131" t="s">
        <v>1145</v>
      </c>
      <c r="N45" s="131" t="s">
        <v>885</v>
      </c>
      <c r="O45" s="131" t="s">
        <v>236</v>
      </c>
      <c r="P45" s="131" t="s">
        <v>884</v>
      </c>
      <c r="Q45" s="131" t="s">
        <v>906</v>
      </c>
      <c r="R45" s="131" t="s">
        <v>884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999</v>
      </c>
      <c r="L46" s="131" t="s">
        <v>1146</v>
      </c>
      <c r="M46" s="131" t="s">
        <v>1147</v>
      </c>
      <c r="N46" s="131" t="s">
        <v>885</v>
      </c>
      <c r="O46" s="131" t="s">
        <v>1020</v>
      </c>
      <c r="P46" s="131" t="s">
        <v>884</v>
      </c>
      <c r="R46" s="131" t="s">
        <v>884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1000</v>
      </c>
      <c r="L47" s="131" t="s">
        <v>1148</v>
      </c>
      <c r="M47" s="131" t="s">
        <v>1149</v>
      </c>
      <c r="N47" s="131" t="s">
        <v>885</v>
      </c>
      <c r="O47" s="131" t="s">
        <v>1022</v>
      </c>
      <c r="P47" s="131" t="s">
        <v>884</v>
      </c>
      <c r="R47" s="131" t="s">
        <v>884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1001</v>
      </c>
      <c r="L48" s="131" t="s">
        <v>1150</v>
      </c>
      <c r="M48" s="131" t="s">
        <v>1151</v>
      </c>
      <c r="N48" s="131" t="s">
        <v>885</v>
      </c>
      <c r="O48" s="131" t="s">
        <v>244</v>
      </c>
      <c r="P48" s="131" t="s">
        <v>884</v>
      </c>
      <c r="R48" s="131" t="s">
        <v>884</v>
      </c>
    </row>
    <row r="49" spans="1:18">
      <c r="A49" s="1012" t="s">
        <v>75</v>
      </c>
      <c r="B49" s="1013"/>
      <c r="C49" s="1014"/>
      <c r="I49" s="131" t="s">
        <v>1002</v>
      </c>
      <c r="J49" s="131" t="s">
        <v>1003</v>
      </c>
      <c r="L49" s="131" t="s">
        <v>1152</v>
      </c>
      <c r="M49" s="131" t="s">
        <v>1153</v>
      </c>
      <c r="N49" s="131" t="s">
        <v>885</v>
      </c>
      <c r="O49" s="131" t="s">
        <v>1025</v>
      </c>
      <c r="P49" s="131" t="s">
        <v>884</v>
      </c>
      <c r="R49" s="131" t="s">
        <v>884</v>
      </c>
    </row>
    <row r="50" spans="1:18">
      <c r="A50" s="681" t="e">
        <f>IF(SUM(RSD_Balance!#REF!)=0,"*"," ")</f>
        <v>#REF!</v>
      </c>
      <c r="B50" s="656" t="s">
        <v>857</v>
      </c>
      <c r="C50" s="655" t="s">
        <v>76</v>
      </c>
      <c r="I50" s="131" t="s">
        <v>1004</v>
      </c>
      <c r="J50" s="131" t="s">
        <v>1005</v>
      </c>
      <c r="L50" s="131" t="s">
        <v>1154</v>
      </c>
      <c r="M50" s="131" t="s">
        <v>1155</v>
      </c>
      <c r="N50" s="131" t="s">
        <v>885</v>
      </c>
      <c r="O50" s="131" t="s">
        <v>1027</v>
      </c>
      <c r="P50" s="131" t="s">
        <v>884</v>
      </c>
      <c r="R50" s="131" t="s">
        <v>884</v>
      </c>
    </row>
    <row r="51" spans="1:18">
      <c r="A51" s="681" t="e">
        <f>IF(SUM(RSD_Balance!#REF!)=0,"*"," ")</f>
        <v>#REF!</v>
      </c>
      <c r="B51" s="656" t="s">
        <v>858</v>
      </c>
      <c r="C51" s="655" t="s">
        <v>77</v>
      </c>
      <c r="I51" s="131" t="s">
        <v>239</v>
      </c>
      <c r="J51" s="131" t="s">
        <v>1006</v>
      </c>
      <c r="L51" s="131" t="s">
        <v>1156</v>
      </c>
      <c r="M51" s="131" t="s">
        <v>1157</v>
      </c>
      <c r="N51" s="131" t="s">
        <v>885</v>
      </c>
      <c r="O51" s="131" t="s">
        <v>248</v>
      </c>
      <c r="P51" s="131" t="s">
        <v>884</v>
      </c>
      <c r="R51" s="131" t="s">
        <v>884</v>
      </c>
    </row>
    <row r="52" spans="1:18">
      <c r="A52" s="681" t="e">
        <f>IF(SUM(RSD_Balance!#REF!)=0,"*"," ")</f>
        <v>#REF!</v>
      </c>
      <c r="B52" s="656" t="s">
        <v>859</v>
      </c>
      <c r="C52" s="655" t="s">
        <v>78</v>
      </c>
      <c r="I52" s="131" t="s">
        <v>241</v>
      </c>
      <c r="J52" s="131" t="s">
        <v>1007</v>
      </c>
      <c r="L52" s="131" t="s">
        <v>1158</v>
      </c>
      <c r="M52" s="131" t="s">
        <v>1159</v>
      </c>
      <c r="N52" s="131" t="s">
        <v>885</v>
      </c>
      <c r="O52" s="131" t="s">
        <v>1043</v>
      </c>
      <c r="P52" s="131" t="s">
        <v>884</v>
      </c>
      <c r="Q52" s="131" t="s">
        <v>902</v>
      </c>
      <c r="R52" s="131" t="s">
        <v>884</v>
      </c>
    </row>
    <row r="53" spans="1:18">
      <c r="A53" s="681" t="e">
        <f>IF(SUM(RSD_Balance!#REF!)=0,"*"," ")</f>
        <v>#REF!</v>
      </c>
      <c r="B53" s="656" t="s">
        <v>860</v>
      </c>
      <c r="C53" s="655" t="s">
        <v>572</v>
      </c>
      <c r="I53" s="131" t="s">
        <v>240</v>
      </c>
      <c r="J53" s="131" t="s">
        <v>1008</v>
      </c>
      <c r="L53" s="131" t="s">
        <v>1160</v>
      </c>
      <c r="M53" s="131" t="s">
        <v>1161</v>
      </c>
      <c r="N53" s="131" t="s">
        <v>885</v>
      </c>
      <c r="O53" s="131" t="s">
        <v>1043</v>
      </c>
      <c r="P53" s="131" t="s">
        <v>884</v>
      </c>
      <c r="Q53" s="131" t="s">
        <v>906</v>
      </c>
      <c r="R53" s="131" t="s">
        <v>884</v>
      </c>
    </row>
    <row r="54" spans="1:18">
      <c r="A54" s="681" t="e">
        <f>IF(SUM(RSD_Balance!#REF!)=0,"*"," ")</f>
        <v>#REF!</v>
      </c>
      <c r="B54" s="656" t="s">
        <v>861</v>
      </c>
      <c r="C54" s="655" t="s">
        <v>79</v>
      </c>
      <c r="I54" s="131" t="s">
        <v>237</v>
      </c>
      <c r="J54" s="131" t="s">
        <v>1009</v>
      </c>
      <c r="L54" s="131" t="s">
        <v>1162</v>
      </c>
      <c r="M54" s="131" t="s">
        <v>1163</v>
      </c>
      <c r="N54" s="131" t="s">
        <v>885</v>
      </c>
      <c r="O54" s="131" t="s">
        <v>1043</v>
      </c>
      <c r="P54" s="131" t="s">
        <v>884</v>
      </c>
      <c r="Q54" s="131" t="s">
        <v>910</v>
      </c>
      <c r="R54" s="131" t="s">
        <v>884</v>
      </c>
    </row>
    <row r="55" spans="1:18">
      <c r="A55" s="681" t="e">
        <f>IF(SUM(RSD_Balance!#REF!)=0,"*"," ")</f>
        <v>#REF!</v>
      </c>
      <c r="B55" s="656" t="s">
        <v>862</v>
      </c>
      <c r="C55" s="655" t="s">
        <v>80</v>
      </c>
      <c r="I55" s="131" t="s">
        <v>238</v>
      </c>
      <c r="J55" s="131" t="s">
        <v>1010</v>
      </c>
      <c r="L55" s="131" t="s">
        <v>1164</v>
      </c>
      <c r="M55" s="131" t="s">
        <v>1165</v>
      </c>
      <c r="N55" s="131" t="s">
        <v>885</v>
      </c>
      <c r="O55" s="131" t="s">
        <v>1045</v>
      </c>
      <c r="P55" s="131" t="s">
        <v>884</v>
      </c>
      <c r="Q55" s="131" t="s">
        <v>902</v>
      </c>
      <c r="R55" s="131" t="s">
        <v>884</v>
      </c>
    </row>
    <row r="56" spans="1:18">
      <c r="A56" s="681" t="e">
        <f>IF(SUM(RSD_Balance!#REF!)=0,"*"," ")</f>
        <v>#REF!</v>
      </c>
      <c r="B56" s="656" t="s">
        <v>863</v>
      </c>
      <c r="C56" s="655" t="s">
        <v>81</v>
      </c>
      <c r="I56" s="131" t="s">
        <v>242</v>
      </c>
      <c r="J56" s="131" t="s">
        <v>1011</v>
      </c>
      <c r="L56" s="131" t="s">
        <v>1166</v>
      </c>
      <c r="M56" s="131" t="s">
        <v>1167</v>
      </c>
      <c r="N56" s="131" t="s">
        <v>885</v>
      </c>
      <c r="O56" s="131" t="s">
        <v>1045</v>
      </c>
      <c r="P56" s="131" t="s">
        <v>884</v>
      </c>
      <c r="Q56" s="131" t="s">
        <v>906</v>
      </c>
      <c r="R56" s="131" t="s">
        <v>884</v>
      </c>
    </row>
    <row r="57" spans="1:18">
      <c r="A57" s="681" t="e">
        <f>IF(SUM(RSD_Balance!#REF!)=0,"*"," ")</f>
        <v>#REF!</v>
      </c>
      <c r="B57" s="656" t="s">
        <v>864</v>
      </c>
      <c r="C57" s="655" t="s">
        <v>82</v>
      </c>
      <c r="I57" s="131" t="s">
        <v>1012</v>
      </c>
      <c r="J57" s="131" t="s">
        <v>1013</v>
      </c>
      <c r="L57" s="131" t="s">
        <v>1168</v>
      </c>
      <c r="M57" s="131" t="s">
        <v>1169</v>
      </c>
      <c r="N57" s="131" t="s">
        <v>885</v>
      </c>
      <c r="O57" s="131" t="s">
        <v>1045</v>
      </c>
      <c r="P57" s="131" t="s">
        <v>884</v>
      </c>
      <c r="Q57" s="131" t="s">
        <v>910</v>
      </c>
      <c r="R57" s="131" t="s">
        <v>884</v>
      </c>
    </row>
    <row r="58" spans="1:18">
      <c r="A58" s="681" t="e">
        <f>IF(SUM(RSD_Balance!#REF!)=0,"*"," ")</f>
        <v>#REF!</v>
      </c>
      <c r="B58" s="656" t="s">
        <v>865</v>
      </c>
      <c r="C58" s="655" t="s">
        <v>84</v>
      </c>
      <c r="I58" s="131" t="s">
        <v>1014</v>
      </c>
      <c r="J58" s="131" t="s">
        <v>1015</v>
      </c>
      <c r="L58" s="131" t="s">
        <v>1170</v>
      </c>
      <c r="M58" s="131" t="s">
        <v>1171</v>
      </c>
      <c r="N58" s="131" t="s">
        <v>885</v>
      </c>
      <c r="O58" s="131" t="s">
        <v>1047</v>
      </c>
      <c r="P58" s="131" t="s">
        <v>884</v>
      </c>
      <c r="Q58" s="131" t="s">
        <v>902</v>
      </c>
      <c r="R58" s="131" t="s">
        <v>884</v>
      </c>
    </row>
    <row r="59" spans="1:18">
      <c r="A59" s="681" t="e">
        <f>IF(SUM(RSD_Balance!#REF!)=0,"*"," ")</f>
        <v>#REF!</v>
      </c>
      <c r="B59" s="656" t="s">
        <v>866</v>
      </c>
      <c r="C59" s="655" t="s">
        <v>85</v>
      </c>
      <c r="I59" s="131" t="s">
        <v>243</v>
      </c>
      <c r="J59" s="131" t="s">
        <v>1016</v>
      </c>
      <c r="L59" s="131" t="s">
        <v>1172</v>
      </c>
      <c r="M59" s="131" t="s">
        <v>1173</v>
      </c>
      <c r="N59" s="131" t="s">
        <v>885</v>
      </c>
      <c r="O59" s="131" t="s">
        <v>1047</v>
      </c>
      <c r="P59" s="131" t="s">
        <v>884</v>
      </c>
      <c r="Q59" s="131" t="s">
        <v>906</v>
      </c>
      <c r="R59" s="131" t="s">
        <v>884</v>
      </c>
    </row>
    <row r="60" spans="1:18">
      <c r="A60" s="681" t="e">
        <f>IF(SUM(RSD_Balance!#REF!)=0,"*"," ")</f>
        <v>#REF!</v>
      </c>
      <c r="B60" s="656" t="s">
        <v>867</v>
      </c>
      <c r="C60" s="655" t="s">
        <v>86</v>
      </c>
      <c r="I60" s="131" t="s">
        <v>1017</v>
      </c>
      <c r="J60" s="131" t="s">
        <v>1018</v>
      </c>
      <c r="L60" s="131" t="s">
        <v>1174</v>
      </c>
      <c r="M60" s="131" t="s">
        <v>1175</v>
      </c>
      <c r="N60" s="131" t="s">
        <v>885</v>
      </c>
      <c r="O60" s="131" t="s">
        <v>1047</v>
      </c>
      <c r="P60" s="131" t="s">
        <v>884</v>
      </c>
      <c r="Q60" s="131" t="s">
        <v>910</v>
      </c>
      <c r="R60" s="131" t="s">
        <v>884</v>
      </c>
    </row>
    <row r="61" spans="1:18">
      <c r="A61" s="681"/>
      <c r="B61" s="656" t="s">
        <v>868</v>
      </c>
      <c r="C61" s="655" t="s">
        <v>87</v>
      </c>
      <c r="I61" s="131" t="s">
        <v>1019</v>
      </c>
      <c r="J61" s="131" t="s">
        <v>994</v>
      </c>
      <c r="L61" s="131" t="s">
        <v>1176</v>
      </c>
      <c r="M61" s="131" t="s">
        <v>1177</v>
      </c>
      <c r="N61" s="131" t="s">
        <v>885</v>
      </c>
      <c r="O61" s="131" t="s">
        <v>1053</v>
      </c>
      <c r="P61" s="131" t="s">
        <v>884</v>
      </c>
      <c r="Q61" s="131" t="s">
        <v>902</v>
      </c>
      <c r="R61" s="131" t="s">
        <v>884</v>
      </c>
    </row>
    <row r="62" spans="1:18">
      <c r="A62" s="1012" t="s">
        <v>88</v>
      </c>
      <c r="B62" s="1013"/>
      <c r="C62" s="1014"/>
      <c r="I62" s="131" t="s">
        <v>1020</v>
      </c>
      <c r="J62" s="131" t="s">
        <v>1021</v>
      </c>
      <c r="L62" s="131" t="s">
        <v>1178</v>
      </c>
      <c r="M62" s="131" t="s">
        <v>1179</v>
      </c>
      <c r="N62" s="131" t="s">
        <v>885</v>
      </c>
      <c r="O62" s="131" t="s">
        <v>1053</v>
      </c>
      <c r="P62" s="131" t="s">
        <v>884</v>
      </c>
      <c r="Q62" s="131" t="s">
        <v>906</v>
      </c>
      <c r="R62" s="131" t="s">
        <v>884</v>
      </c>
    </row>
    <row r="63" spans="1:18">
      <c r="A63" s="1012" t="s">
        <v>89</v>
      </c>
      <c r="B63" s="1013"/>
      <c r="C63" s="1014"/>
      <c r="I63" s="131" t="s">
        <v>1022</v>
      </c>
      <c r="J63" s="131" t="s">
        <v>1023</v>
      </c>
      <c r="L63" s="131" t="s">
        <v>1180</v>
      </c>
      <c r="M63" s="131" t="s">
        <v>1181</v>
      </c>
      <c r="N63" s="131" t="s">
        <v>885</v>
      </c>
      <c r="O63" s="131" t="s">
        <v>1053</v>
      </c>
      <c r="P63" s="131" t="s">
        <v>884</v>
      </c>
      <c r="Q63" s="131" t="s">
        <v>910</v>
      </c>
      <c r="R63" s="131" t="s">
        <v>884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1024</v>
      </c>
      <c r="L64" s="131" t="s">
        <v>1182</v>
      </c>
      <c r="M64" s="131" t="s">
        <v>1183</v>
      </c>
      <c r="N64" s="131" t="s">
        <v>885</v>
      </c>
      <c r="O64" s="131" t="s">
        <v>1055</v>
      </c>
      <c r="P64" s="131" t="s">
        <v>884</v>
      </c>
      <c r="Q64" s="131" t="s">
        <v>902</v>
      </c>
      <c r="R64" s="131" t="s">
        <v>884</v>
      </c>
    </row>
    <row r="65" spans="1:18">
      <c r="A65" s="680"/>
      <c r="B65" s="655" t="s">
        <v>92</v>
      </c>
      <c r="C65" s="656" t="s">
        <v>93</v>
      </c>
      <c r="I65" s="131" t="s">
        <v>1025</v>
      </c>
      <c r="J65" s="131" t="s">
        <v>1026</v>
      </c>
      <c r="L65" s="131" t="s">
        <v>1184</v>
      </c>
      <c r="M65" s="131" t="s">
        <v>1185</v>
      </c>
      <c r="N65" s="131" t="s">
        <v>885</v>
      </c>
      <c r="O65" s="131" t="s">
        <v>1055</v>
      </c>
      <c r="P65" s="131" t="s">
        <v>884</v>
      </c>
      <c r="Q65" s="131" t="s">
        <v>906</v>
      </c>
      <c r="R65" s="131" t="s">
        <v>884</v>
      </c>
    </row>
    <row r="66" spans="1:18">
      <c r="A66" s="680"/>
      <c r="B66" s="655" t="s">
        <v>94</v>
      </c>
      <c r="C66" s="656" t="s">
        <v>95</v>
      </c>
      <c r="I66" s="131" t="s">
        <v>1027</v>
      </c>
      <c r="J66" s="131" t="s">
        <v>1028</v>
      </c>
      <c r="L66" s="131" t="s">
        <v>1186</v>
      </c>
      <c r="M66" s="131" t="s">
        <v>1187</v>
      </c>
      <c r="N66" s="131" t="s">
        <v>885</v>
      </c>
      <c r="O66" s="131" t="s">
        <v>1055</v>
      </c>
      <c r="P66" s="131" t="s">
        <v>884</v>
      </c>
      <c r="Q66" s="131" t="s">
        <v>910</v>
      </c>
      <c r="R66" s="131" t="s">
        <v>884</v>
      </c>
    </row>
    <row r="67" spans="1:18">
      <c r="A67" s="680"/>
      <c r="B67" s="655" t="s">
        <v>851</v>
      </c>
      <c r="C67" s="656" t="s">
        <v>854</v>
      </c>
      <c r="I67" s="131" t="s">
        <v>248</v>
      </c>
      <c r="J67" s="131" t="s">
        <v>1029</v>
      </c>
      <c r="L67" s="131" t="s">
        <v>1188</v>
      </c>
      <c r="M67" s="131" t="s">
        <v>1189</v>
      </c>
      <c r="N67" s="131" t="s">
        <v>885</v>
      </c>
      <c r="O67" s="131" t="s">
        <v>1057</v>
      </c>
      <c r="P67" s="131" t="s">
        <v>884</v>
      </c>
      <c r="Q67" s="131" t="s">
        <v>902</v>
      </c>
      <c r="R67" s="131" t="s">
        <v>884</v>
      </c>
    </row>
    <row r="68" spans="1:18">
      <c r="A68" s="680"/>
      <c r="B68" s="655" t="s">
        <v>852</v>
      </c>
      <c r="C68" s="656" t="s">
        <v>855</v>
      </c>
      <c r="I68" s="131" t="s">
        <v>1030</v>
      </c>
      <c r="J68" s="131" t="s">
        <v>1031</v>
      </c>
      <c r="L68" s="131" t="s">
        <v>1190</v>
      </c>
      <c r="M68" s="131" t="s">
        <v>1191</v>
      </c>
      <c r="N68" s="131" t="s">
        <v>885</v>
      </c>
      <c r="O68" s="131" t="s">
        <v>1057</v>
      </c>
      <c r="P68" s="131" t="s">
        <v>884</v>
      </c>
      <c r="Q68" s="131" t="s">
        <v>906</v>
      </c>
      <c r="R68" s="131" t="s">
        <v>884</v>
      </c>
    </row>
    <row r="69" spans="1:18">
      <c r="A69" s="680"/>
      <c r="B69" s="655" t="s">
        <v>853</v>
      </c>
      <c r="C69" s="656" t="s">
        <v>856</v>
      </c>
      <c r="I69" s="131" t="s">
        <v>1032</v>
      </c>
      <c r="J69" s="131" t="s">
        <v>1033</v>
      </c>
      <c r="L69" s="131" t="s">
        <v>1192</v>
      </c>
      <c r="M69" s="131" t="s">
        <v>1193</v>
      </c>
      <c r="N69" s="131" t="s">
        <v>885</v>
      </c>
      <c r="O69" s="131" t="s">
        <v>1057</v>
      </c>
      <c r="P69" s="131" t="s">
        <v>884</v>
      </c>
      <c r="Q69" s="131" t="s">
        <v>910</v>
      </c>
      <c r="R69" s="131" t="s">
        <v>884</v>
      </c>
    </row>
    <row r="70" spans="1:18">
      <c r="A70" s="1012" t="s">
        <v>96</v>
      </c>
      <c r="B70" s="1013"/>
      <c r="C70" s="1014"/>
      <c r="I70" s="131" t="s">
        <v>1034</v>
      </c>
      <c r="J70" s="131" t="s">
        <v>1035</v>
      </c>
      <c r="L70" s="131" t="s">
        <v>1194</v>
      </c>
      <c r="M70" s="131" t="s">
        <v>1195</v>
      </c>
      <c r="N70" s="131" t="s">
        <v>885</v>
      </c>
      <c r="O70" s="131" t="s">
        <v>1059</v>
      </c>
      <c r="P70" s="131" t="s">
        <v>884</v>
      </c>
      <c r="Q70" s="131" t="s">
        <v>902</v>
      </c>
      <c r="R70" s="131" t="s">
        <v>884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1036</v>
      </c>
      <c r="J71" s="131" t="s">
        <v>1037</v>
      </c>
      <c r="L71" s="131" t="s">
        <v>1196</v>
      </c>
      <c r="M71" s="131" t="s">
        <v>1197</v>
      </c>
      <c r="N71" s="131" t="s">
        <v>885</v>
      </c>
      <c r="O71" s="131" t="s">
        <v>1059</v>
      </c>
      <c r="P71" s="131" t="s">
        <v>884</v>
      </c>
      <c r="Q71" s="131" t="s">
        <v>906</v>
      </c>
      <c r="R71" s="131" t="s">
        <v>884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1038</v>
      </c>
      <c r="J72" s="131" t="s">
        <v>1039</v>
      </c>
      <c r="L72" s="131" t="s">
        <v>1198</v>
      </c>
      <c r="M72" s="131" t="s">
        <v>1199</v>
      </c>
      <c r="N72" s="131" t="s">
        <v>885</v>
      </c>
      <c r="O72" s="131" t="s">
        <v>1059</v>
      </c>
      <c r="P72" s="131" t="s">
        <v>884</v>
      </c>
      <c r="Q72" s="131" t="s">
        <v>910</v>
      </c>
      <c r="R72" s="131" t="s">
        <v>884</v>
      </c>
    </row>
    <row r="73" spans="1:18">
      <c r="A73" s="682"/>
      <c r="B73" s="656" t="s">
        <v>101</v>
      </c>
      <c r="C73" s="655" t="s">
        <v>102</v>
      </c>
      <c r="I73" s="131" t="s">
        <v>1040</v>
      </c>
      <c r="J73" s="131" t="s">
        <v>1041</v>
      </c>
      <c r="L73" s="131" t="s">
        <v>1200</v>
      </c>
      <c r="M73" s="131" t="s">
        <v>1201</v>
      </c>
      <c r="N73" s="131" t="s">
        <v>885</v>
      </c>
      <c r="O73" s="131" t="s">
        <v>1061</v>
      </c>
      <c r="P73" s="131" t="s">
        <v>884</v>
      </c>
      <c r="Q73" s="131" t="s">
        <v>902</v>
      </c>
      <c r="R73" s="131" t="s">
        <v>884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1042</v>
      </c>
      <c r="L74" s="131" t="s">
        <v>1202</v>
      </c>
      <c r="M74" s="131" t="s">
        <v>1203</v>
      </c>
      <c r="N74" s="131" t="s">
        <v>885</v>
      </c>
      <c r="O74" s="131" t="s">
        <v>1061</v>
      </c>
      <c r="P74" s="131" t="s">
        <v>884</v>
      </c>
      <c r="Q74" s="131" t="s">
        <v>906</v>
      </c>
      <c r="R74" s="131" t="s">
        <v>884</v>
      </c>
    </row>
    <row r="75" spans="1:18">
      <c r="A75" s="682"/>
      <c r="B75" s="656" t="s">
        <v>105</v>
      </c>
      <c r="C75" s="655" t="s">
        <v>106</v>
      </c>
      <c r="I75" s="131" t="s">
        <v>1043</v>
      </c>
      <c r="J75" s="131" t="s">
        <v>1044</v>
      </c>
      <c r="L75" s="131" t="s">
        <v>1204</v>
      </c>
      <c r="M75" s="131" t="s">
        <v>1205</v>
      </c>
      <c r="N75" s="131" t="s">
        <v>885</v>
      </c>
      <c r="O75" s="131" t="s">
        <v>1061</v>
      </c>
      <c r="P75" s="131" t="s">
        <v>884</v>
      </c>
      <c r="Q75" s="131" t="s">
        <v>910</v>
      </c>
      <c r="R75" s="131" t="s">
        <v>884</v>
      </c>
    </row>
    <row r="76" spans="1:18">
      <c r="A76" s="1012" t="s">
        <v>575</v>
      </c>
      <c r="B76" s="1013"/>
      <c r="C76" s="1014"/>
      <c r="I76" s="131" t="s">
        <v>1045</v>
      </c>
      <c r="J76" s="131" t="s">
        <v>1046</v>
      </c>
      <c r="L76" s="131" t="s">
        <v>1206</v>
      </c>
      <c r="M76" s="131" t="s">
        <v>1207</v>
      </c>
      <c r="N76" s="131" t="s">
        <v>885</v>
      </c>
      <c r="O76" s="131" t="s">
        <v>1063</v>
      </c>
      <c r="P76" s="131" t="s">
        <v>884</v>
      </c>
      <c r="Q76" s="131" t="s">
        <v>902</v>
      </c>
      <c r="R76" s="131" t="s">
        <v>884</v>
      </c>
    </row>
    <row r="77" spans="1:18">
      <c r="B77" s="656" t="s">
        <v>871</v>
      </c>
      <c r="C77" s="655" t="s">
        <v>573</v>
      </c>
      <c r="I77" s="131" t="s">
        <v>1047</v>
      </c>
      <c r="J77" s="131" t="s">
        <v>1048</v>
      </c>
      <c r="L77" s="131" t="s">
        <v>1208</v>
      </c>
      <c r="M77" s="131" t="s">
        <v>1209</v>
      </c>
      <c r="N77" s="131" t="s">
        <v>885</v>
      </c>
      <c r="O77" s="131" t="s">
        <v>1063</v>
      </c>
      <c r="P77" s="131" t="s">
        <v>884</v>
      </c>
      <c r="Q77" s="131" t="s">
        <v>906</v>
      </c>
      <c r="R77" s="131" t="s">
        <v>884</v>
      </c>
    </row>
    <row r="78" spans="1:18">
      <c r="B78" s="656" t="s">
        <v>574</v>
      </c>
      <c r="C78" s="655" t="s">
        <v>586</v>
      </c>
      <c r="I78" s="131" t="s">
        <v>1049</v>
      </c>
      <c r="J78" s="131" t="s">
        <v>1050</v>
      </c>
      <c r="L78" s="131" t="s">
        <v>1210</v>
      </c>
      <c r="M78" s="131" t="s">
        <v>1211</v>
      </c>
      <c r="N78" s="131" t="s">
        <v>885</v>
      </c>
      <c r="O78" s="131" t="s">
        <v>1063</v>
      </c>
      <c r="P78" s="131" t="s">
        <v>884</v>
      </c>
      <c r="Q78" s="131" t="s">
        <v>910</v>
      </c>
      <c r="R78" s="131" t="s">
        <v>884</v>
      </c>
    </row>
    <row r="79" spans="1:18">
      <c r="B79" s="656" t="s">
        <v>869</v>
      </c>
      <c r="C79" s="655" t="s">
        <v>870</v>
      </c>
      <c r="I79" s="131" t="s">
        <v>1051</v>
      </c>
      <c r="J79" s="131" t="s">
        <v>1052</v>
      </c>
      <c r="L79" s="131" t="s">
        <v>1212</v>
      </c>
      <c r="M79" s="131" t="s">
        <v>1213</v>
      </c>
      <c r="N79" s="131" t="s">
        <v>885</v>
      </c>
      <c r="O79" s="131" t="s">
        <v>1065</v>
      </c>
      <c r="P79" s="131" t="s">
        <v>884</v>
      </c>
      <c r="Q79" s="131" t="s">
        <v>902</v>
      </c>
      <c r="R79" s="131" t="s">
        <v>884</v>
      </c>
    </row>
    <row r="80" spans="1:18">
      <c r="B80" s="656" t="s">
        <v>577</v>
      </c>
      <c r="C80" s="655" t="s">
        <v>576</v>
      </c>
      <c r="I80" s="131" t="s">
        <v>1053</v>
      </c>
      <c r="J80" s="131" t="s">
        <v>1054</v>
      </c>
      <c r="L80" s="131" t="s">
        <v>1214</v>
      </c>
      <c r="M80" s="131" t="s">
        <v>1215</v>
      </c>
      <c r="N80" s="131" t="s">
        <v>885</v>
      </c>
      <c r="O80" s="131" t="s">
        <v>1065</v>
      </c>
      <c r="P80" s="131" t="s">
        <v>884</v>
      </c>
      <c r="Q80" s="131" t="s">
        <v>906</v>
      </c>
      <c r="R80" s="131" t="s">
        <v>884</v>
      </c>
    </row>
    <row r="81" spans="2:18">
      <c r="B81" s="656" t="s">
        <v>872</v>
      </c>
      <c r="C81" s="656" t="s">
        <v>873</v>
      </c>
      <c r="I81" s="131" t="s">
        <v>1055</v>
      </c>
      <c r="J81" s="131" t="s">
        <v>1056</v>
      </c>
      <c r="L81" s="131" t="s">
        <v>1216</v>
      </c>
      <c r="M81" s="131" t="s">
        <v>1217</v>
      </c>
      <c r="N81" s="131" t="s">
        <v>885</v>
      </c>
      <c r="O81" s="131" t="s">
        <v>1065</v>
      </c>
      <c r="P81" s="131" t="s">
        <v>884</v>
      </c>
      <c r="Q81" s="131" t="s">
        <v>910</v>
      </c>
      <c r="R81" s="131" t="s">
        <v>884</v>
      </c>
    </row>
    <row r="82" spans="2:18">
      <c r="B82" s="656" t="s">
        <v>578</v>
      </c>
      <c r="C82" s="656" t="s">
        <v>579</v>
      </c>
      <c r="I82" s="131" t="s">
        <v>1057</v>
      </c>
      <c r="J82" s="131" t="s">
        <v>1058</v>
      </c>
      <c r="L82" s="131" t="s">
        <v>1218</v>
      </c>
      <c r="M82" s="131" t="s">
        <v>1219</v>
      </c>
      <c r="N82" s="131" t="s">
        <v>885</v>
      </c>
      <c r="O82" s="131" t="s">
        <v>1069</v>
      </c>
      <c r="P82" s="131" t="s">
        <v>884</v>
      </c>
      <c r="R82" s="131" t="s">
        <v>884</v>
      </c>
    </row>
    <row r="83" spans="2:18">
      <c r="B83" s="656" t="s">
        <v>874</v>
      </c>
      <c r="C83" s="131" t="s">
        <v>875</v>
      </c>
      <c r="I83" s="131" t="s">
        <v>1059</v>
      </c>
      <c r="J83" s="131" t="s">
        <v>1060</v>
      </c>
      <c r="L83" s="131" t="s">
        <v>1220</v>
      </c>
      <c r="M83" s="131" t="s">
        <v>1221</v>
      </c>
      <c r="N83" s="131" t="s">
        <v>885</v>
      </c>
      <c r="O83" s="131" t="s">
        <v>1071</v>
      </c>
      <c r="P83" s="131" t="s">
        <v>884</v>
      </c>
      <c r="R83" s="131" t="s">
        <v>884</v>
      </c>
    </row>
    <row r="84" spans="2:18">
      <c r="I84" s="131" t="s">
        <v>1061</v>
      </c>
      <c r="J84" s="131" t="s">
        <v>1062</v>
      </c>
      <c r="L84" s="131" t="s">
        <v>1222</v>
      </c>
      <c r="M84" s="131" t="s">
        <v>1223</v>
      </c>
      <c r="N84" s="131" t="s">
        <v>891</v>
      </c>
      <c r="O84" s="131" t="s">
        <v>757</v>
      </c>
      <c r="P84" s="131" t="s">
        <v>890</v>
      </c>
      <c r="Q84" s="131" t="s">
        <v>886</v>
      </c>
      <c r="R84" s="131" t="s">
        <v>890</v>
      </c>
    </row>
    <row r="85" spans="2:18">
      <c r="I85" s="131" t="s">
        <v>1063</v>
      </c>
      <c r="J85" s="131" t="s">
        <v>1064</v>
      </c>
      <c r="L85" s="131" t="s">
        <v>1224</v>
      </c>
      <c r="M85" s="131" t="s">
        <v>1225</v>
      </c>
      <c r="N85" s="131" t="s">
        <v>897</v>
      </c>
      <c r="O85" s="131" t="s">
        <v>757</v>
      </c>
      <c r="P85" s="131" t="s">
        <v>896</v>
      </c>
      <c r="Q85" s="131" t="s">
        <v>886</v>
      </c>
      <c r="R85" s="131" t="s">
        <v>896</v>
      </c>
    </row>
    <row r="86" spans="2:18">
      <c r="I86" s="131" t="s">
        <v>1065</v>
      </c>
      <c r="J86" s="131" t="s">
        <v>1066</v>
      </c>
      <c r="L86" s="131" t="s">
        <v>1226</v>
      </c>
      <c r="M86" s="131" t="s">
        <v>1227</v>
      </c>
      <c r="N86" s="131" t="s">
        <v>909</v>
      </c>
      <c r="O86" s="131" t="s">
        <v>245</v>
      </c>
      <c r="P86" s="131" t="s">
        <v>908</v>
      </c>
      <c r="R86" s="131" t="s">
        <v>311</v>
      </c>
    </row>
    <row r="87" spans="2:18">
      <c r="I87" s="131" t="s">
        <v>1067</v>
      </c>
      <c r="J87" s="131" t="s">
        <v>1068</v>
      </c>
      <c r="L87" s="131" t="s">
        <v>1228</v>
      </c>
      <c r="M87" s="131" t="s">
        <v>1229</v>
      </c>
      <c r="N87" s="131" t="s">
        <v>901</v>
      </c>
      <c r="O87" s="131" t="s">
        <v>1002</v>
      </c>
      <c r="P87" s="131" t="s">
        <v>900</v>
      </c>
      <c r="Q87" s="131" t="s">
        <v>898</v>
      </c>
      <c r="R87" s="131" t="s">
        <v>311</v>
      </c>
    </row>
    <row r="88" spans="2:18">
      <c r="I88" s="131" t="s">
        <v>1069</v>
      </c>
      <c r="J88" s="131" t="s">
        <v>1070</v>
      </c>
      <c r="L88" s="131" t="s">
        <v>1230</v>
      </c>
      <c r="M88" s="131" t="s">
        <v>1231</v>
      </c>
      <c r="N88" s="131" t="s">
        <v>905</v>
      </c>
      <c r="O88" s="131" t="s">
        <v>945</v>
      </c>
      <c r="P88" s="131" t="s">
        <v>904</v>
      </c>
      <c r="R88" s="131" t="s">
        <v>311</v>
      </c>
    </row>
    <row r="89" spans="2:18">
      <c r="C89" s="652" t="s">
        <v>49</v>
      </c>
      <c r="I89" s="131" t="s">
        <v>1071</v>
      </c>
      <c r="J89" s="131" t="s">
        <v>1072</v>
      </c>
      <c r="L89" s="131" t="s">
        <v>1232</v>
      </c>
      <c r="M89" s="131" t="s">
        <v>1233</v>
      </c>
      <c r="N89" s="131" t="s">
        <v>905</v>
      </c>
      <c r="O89" s="131" t="s">
        <v>922</v>
      </c>
      <c r="P89" s="131" t="s">
        <v>904</v>
      </c>
      <c r="R89" s="131" t="s">
        <v>311</v>
      </c>
    </row>
    <row r="90" spans="2:18">
      <c r="C90" s="652" t="s">
        <v>49</v>
      </c>
      <c r="L90" s="131" t="s">
        <v>1234</v>
      </c>
      <c r="M90" s="131" t="s">
        <v>1235</v>
      </c>
      <c r="N90" s="131" t="s">
        <v>905</v>
      </c>
      <c r="O90" s="131" t="s">
        <v>995</v>
      </c>
      <c r="P90" s="131" t="s">
        <v>904</v>
      </c>
      <c r="R90" s="131" t="s">
        <v>311</v>
      </c>
    </row>
    <row r="91" spans="2:18">
      <c r="C91" s="652" t="s">
        <v>49</v>
      </c>
      <c r="L91" s="131" t="s">
        <v>1236</v>
      </c>
      <c r="M91" s="131" t="s">
        <v>1237</v>
      </c>
      <c r="N91" s="131" t="s">
        <v>905</v>
      </c>
      <c r="O91" s="131" t="s">
        <v>948</v>
      </c>
      <c r="P91" s="131" t="s">
        <v>904</v>
      </c>
      <c r="R91" s="131" t="s">
        <v>311</v>
      </c>
    </row>
    <row r="92" spans="2:18">
      <c r="C92" s="652" t="s">
        <v>49</v>
      </c>
      <c r="L92" s="131" t="s">
        <v>1238</v>
      </c>
      <c r="M92" s="131" t="s">
        <v>1239</v>
      </c>
      <c r="N92" s="131" t="s">
        <v>905</v>
      </c>
      <c r="O92" s="131" t="s">
        <v>757</v>
      </c>
      <c r="P92" s="131" t="s">
        <v>904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646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850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workbookViewId="0">
      <selection activeCell="C26" sqref="C26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19" t="s">
        <v>1256</v>
      </c>
      <c r="G1" s="1020"/>
      <c r="H1" s="980" t="s">
        <v>1265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8" t="s">
        <v>922</v>
      </c>
      <c r="G2" s="978">
        <f>Z9-Y9</f>
        <v>1.6611999337088221</v>
      </c>
      <c r="H2" s="981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7" t="s">
        <v>583</v>
      </c>
      <c r="G3" s="977">
        <f>Z10-Y10</f>
        <v>7.7219293992657381</v>
      </c>
      <c r="H3" s="982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8" t="s">
        <v>245</v>
      </c>
      <c r="G4" s="978">
        <f>Z19-Y19</f>
        <v>0.60190873994465011</v>
      </c>
      <c r="H4" s="981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7" t="s">
        <v>592</v>
      </c>
      <c r="G5" s="977">
        <f>SUM(G2:G4)</f>
        <v>9.9850380729192096</v>
      </c>
      <c r="H5" s="97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6"/>
      <c r="F7" s="973" t="s">
        <v>256</v>
      </c>
      <c r="G7" s="974"/>
      <c r="H7" s="975"/>
      <c r="I7" s="1023" t="s">
        <v>257</v>
      </c>
      <c r="J7" s="1024"/>
      <c r="K7" s="1025"/>
      <c r="L7" s="1023" t="s">
        <v>258</v>
      </c>
      <c r="M7" s="1024"/>
      <c r="N7" s="1025"/>
      <c r="O7" s="1023" t="s">
        <v>259</v>
      </c>
      <c r="P7" s="1024"/>
      <c r="Q7" s="1024"/>
      <c r="R7" s="1021" t="s">
        <v>260</v>
      </c>
      <c r="S7" s="1023" t="s">
        <v>1255</v>
      </c>
      <c r="T7" s="1024"/>
      <c r="U7" s="1024"/>
      <c r="V7" s="1024"/>
      <c r="W7" s="1024"/>
      <c r="X7" s="1025"/>
      <c r="Y7" s="760" t="s">
        <v>255</v>
      </c>
      <c r="Z7" s="1017" t="s">
        <v>594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3" t="s">
        <v>51</v>
      </c>
      <c r="G8" s="984" t="s">
        <v>53</v>
      </c>
      <c r="H8" s="985" t="s">
        <v>55</v>
      </c>
      <c r="I8" s="940" t="s">
        <v>51</v>
      </c>
      <c r="J8" s="972" t="s">
        <v>53</v>
      </c>
      <c r="K8" s="908" t="s">
        <v>55</v>
      </c>
      <c r="L8" s="940" t="s">
        <v>51</v>
      </c>
      <c r="M8" s="972" t="s">
        <v>53</v>
      </c>
      <c r="N8" s="908" t="s">
        <v>55</v>
      </c>
      <c r="O8" s="754" t="s">
        <v>51</v>
      </c>
      <c r="P8" s="974" t="s">
        <v>53</v>
      </c>
      <c r="Q8" s="975" t="s">
        <v>55</v>
      </c>
      <c r="R8" s="1022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18"/>
      <c r="AA8" s="98" t="s">
        <v>1264</v>
      </c>
      <c r="AB8" s="98"/>
      <c r="AC8" s="98"/>
    </row>
    <row r="9" spans="1:31" s="131" customFormat="1" ht="12" customHeight="1">
      <c r="A9" s="941" t="s">
        <v>922</v>
      </c>
      <c r="B9" s="942" t="s">
        <v>676</v>
      </c>
      <c r="C9" s="942">
        <f>(EnergyBalance!D56+EnergyBalance!E56+EnergyBalance!F56+EnergyBalance!G56)*RSD_Balance!B4</f>
        <v>6.4972992069116762</v>
      </c>
      <c r="D9" s="107"/>
      <c r="E9" s="673" t="s">
        <v>922</v>
      </c>
      <c r="F9" s="977">
        <f>'SHWLP-Apt'!$Y$7</f>
        <v>7.6134636752082013E-2</v>
      </c>
      <c r="G9" s="977">
        <f>'SHWLP-Att'!$Y$7</f>
        <v>2.4599130533628091</v>
      </c>
      <c r="H9" s="977">
        <f>'SHWLP-Det'!$Y$7</f>
        <v>2.0039480731324715</v>
      </c>
      <c r="I9" s="977">
        <f>'SHWLP-Apt'!$Y$31</f>
        <v>5.7919607975347566E-3</v>
      </c>
      <c r="J9" s="977">
        <f>'SHWLP-Att'!$Y$31</f>
        <v>0.21082190138032494</v>
      </c>
      <c r="K9" s="977">
        <f>'SHWLP-Det'!$Y$31</f>
        <v>7.9489647777631595E-2</v>
      </c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>
        <f>SUM(F9:X9)</f>
        <v>4.836099273202854</v>
      </c>
      <c r="Z9" s="977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583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583</v>
      </c>
      <c r="F10" s="978">
        <f>'SHWLP-Apt'!$Y$17</f>
        <v>3.0631285017776832E-3</v>
      </c>
      <c r="G10" s="978">
        <f>'SHWLP-Att'!$Y$17</f>
        <v>9.2782297566660565E-2</v>
      </c>
      <c r="H10" s="978">
        <f>'SHWLP-Det'!$Y$17</f>
        <v>0.3383963631128743</v>
      </c>
      <c r="I10" s="978">
        <f>'SHWLP-Apt'!$Y$41</f>
        <v>3.2726688885008717E-4</v>
      </c>
      <c r="J10" s="978">
        <f>'SHWLP-Att'!$Y$41</f>
        <v>2.3464516388518254E-2</v>
      </c>
      <c r="K10" s="978">
        <f>'SHWLP-Det'!$Y$41</f>
        <v>4.8723771700020832E-2</v>
      </c>
      <c r="L10" s="978"/>
      <c r="M10" s="978"/>
      <c r="N10" s="978"/>
      <c r="O10" s="978"/>
      <c r="P10" s="978"/>
      <c r="Q10" s="978"/>
      <c r="R10" s="978"/>
      <c r="S10" s="979"/>
      <c r="T10" s="978"/>
      <c r="U10" s="978"/>
      <c r="V10" s="978"/>
      <c r="W10" s="978"/>
      <c r="X10" s="978"/>
      <c r="Y10" s="978">
        <f t="shared" ref="Y10:Y27" si="0">SUM(F10:X10)</f>
        <v>0.50675734415870177</v>
      </c>
      <c r="Z10" s="978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7">
        <f>'SHWLP-Apt'!$Y$10</f>
        <v>5.5299793779557661E-2</v>
      </c>
      <c r="G11" s="977">
        <f>'SHWLP-Att'!$Y$10</f>
        <v>0.22586353472217999</v>
      </c>
      <c r="H11" s="977">
        <f>'SHWLP-Det'!$Y$10</f>
        <v>0.99662262543570734</v>
      </c>
      <c r="I11" s="977">
        <f>'SHWLP-Apt'!$Y$34</f>
        <v>3.245240066488015E-2</v>
      </c>
      <c r="J11" s="977">
        <f>'SHWLP-Att'!$Y$34</f>
        <v>0.12593169944378091</v>
      </c>
      <c r="K11" s="977">
        <f>'SHWLP-Det'!$Y$34</f>
        <v>0.27530564059773821</v>
      </c>
      <c r="L11" s="977"/>
      <c r="M11" s="977"/>
      <c r="N11" s="977"/>
      <c r="O11" s="977"/>
      <c r="P11" s="977"/>
      <c r="Q11" s="977"/>
      <c r="R11" s="977">
        <f>'[1]1d_Cooking'!L11*0.041868</f>
        <v>3.9492406345735545E-2</v>
      </c>
      <c r="S11" s="977"/>
      <c r="T11" s="977"/>
      <c r="U11" s="977"/>
      <c r="V11" s="977"/>
      <c r="W11" s="977"/>
      <c r="X11" s="977"/>
      <c r="Y11" s="977">
        <f t="shared" si="0"/>
        <v>1.7509681009895799</v>
      </c>
      <c r="Z11" s="977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9"/>
      <c r="T12" s="978"/>
      <c r="U12" s="978"/>
      <c r="V12" s="978"/>
      <c r="W12" s="978"/>
      <c r="X12" s="978"/>
      <c r="Y12" s="978">
        <f t="shared" si="0"/>
        <v>0</v>
      </c>
      <c r="Z12" s="978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7">
        <f>'SHWLP-Apt'!$Y$13</f>
        <v>0.22904314927329883</v>
      </c>
      <c r="G13" s="977">
        <f>'SHWLP-Att'!$Y$13</f>
        <v>6.6978412716502147</v>
      </c>
      <c r="H13" s="977">
        <f>'SHWLP-Det'!$Y$13</f>
        <v>25.388899193879137</v>
      </c>
      <c r="I13" s="977">
        <f>'SHWLP-Apt'!$Y$37</f>
        <v>8.712716368018289E-2</v>
      </c>
      <c r="J13" s="977">
        <f>'SHWLP-Att'!$Y$37</f>
        <v>3.3970805933808661</v>
      </c>
      <c r="K13" s="977">
        <f>'SHWLP-Det'!$Y$37</f>
        <v>8.8628221912064511</v>
      </c>
      <c r="L13" s="977"/>
      <c r="M13" s="977"/>
      <c r="N13" s="977"/>
      <c r="O13" s="977"/>
      <c r="P13" s="977"/>
      <c r="Q13" s="977"/>
      <c r="R13" s="977"/>
      <c r="S13" s="977"/>
      <c r="T13" s="977"/>
      <c r="U13" s="977"/>
      <c r="V13" s="977"/>
      <c r="W13" s="977"/>
      <c r="X13" s="977"/>
      <c r="Y13" s="977">
        <f t="shared" si="0"/>
        <v>44.662813563070145</v>
      </c>
      <c r="Z13" s="977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9"/>
      <c r="T14" s="978"/>
      <c r="U14" s="978"/>
      <c r="V14" s="978"/>
      <c r="W14" s="978"/>
      <c r="X14" s="978"/>
      <c r="Y14" s="978">
        <f t="shared" si="0"/>
        <v>0</v>
      </c>
      <c r="Z14" s="978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7"/>
      <c r="G15" s="977"/>
      <c r="H15" s="977"/>
      <c r="I15" s="977"/>
      <c r="J15" s="977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>
        <f t="shared" si="0"/>
        <v>0</v>
      </c>
      <c r="Z15" s="977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9"/>
      <c r="T16" s="978"/>
      <c r="U16" s="978"/>
      <c r="V16" s="978"/>
      <c r="W16" s="978"/>
      <c r="X16" s="978"/>
      <c r="Y16" s="978">
        <f t="shared" si="0"/>
        <v>0</v>
      </c>
      <c r="Z16" s="978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7">
        <f>'SHWLP-Apt'!$Y$15</f>
        <v>1.2330602547738085</v>
      </c>
      <c r="G17" s="977">
        <f>'SHWLP-Att'!$Y$15</f>
        <v>11.252890681411458</v>
      </c>
      <c r="H17" s="977">
        <f>'SHWLP-Det'!$Y$15</f>
        <v>5.0887959066492119</v>
      </c>
      <c r="I17" s="977">
        <f>'SHWLP-Apt'!$Y$39</f>
        <v>1.0325642864224889</v>
      </c>
      <c r="J17" s="977">
        <f>'SHWLP-Att'!$Y$39</f>
        <v>6.1678354505287558</v>
      </c>
      <c r="K17" s="977">
        <f>'SHWLP-Det'!$Y$39</f>
        <v>1.956521411295197</v>
      </c>
      <c r="L17" s="977"/>
      <c r="M17" s="977"/>
      <c r="N17" s="977"/>
      <c r="O17" s="977"/>
      <c r="P17" s="977"/>
      <c r="Q17" s="977"/>
      <c r="R17" s="977">
        <f>'[1]1d_Cooking'!L8/1000</f>
        <v>0.66992893469234771</v>
      </c>
      <c r="S17" s="977"/>
      <c r="T17" s="977"/>
      <c r="U17" s="977"/>
      <c r="V17" s="977"/>
      <c r="W17" s="977"/>
      <c r="X17" s="977"/>
      <c r="Y17" s="977">
        <f t="shared" si="0"/>
        <v>27.401596925773266</v>
      </c>
      <c r="Z17" s="977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6">
        <f>[1]Table1_Totals!$D$15/1000</f>
        <v>0.56028437780604734</v>
      </c>
      <c r="E18" s="997" t="s">
        <v>244</v>
      </c>
      <c r="F18" s="978"/>
      <c r="G18" s="978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9"/>
      <c r="T18" s="978"/>
      <c r="U18" s="978"/>
      <c r="V18" s="978"/>
      <c r="W18" s="978"/>
      <c r="X18" s="978"/>
      <c r="Y18" s="978">
        <f t="shared" si="0"/>
        <v>0</v>
      </c>
      <c r="Z18" s="978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7">
        <f>'SHWLP-Apt'!$Y$20</f>
        <v>6.0455874643666899E-3</v>
      </c>
      <c r="G19" s="977">
        <f>'SHWLP-Att'!$Y$20</f>
        <v>7.9824176340954497E-2</v>
      </c>
      <c r="H19" s="977">
        <f>'SHWLP-Det'!$Y$20</f>
        <v>0.39850032295072663</v>
      </c>
      <c r="I19" s="977">
        <f>'SHWLP-Apt'!$Y$44</f>
        <v>3.3347538728578843E-3</v>
      </c>
      <c r="J19" s="977">
        <f>'SHWLP-Att'!$Y$44</f>
        <v>1.2249996271002057E-2</v>
      </c>
      <c r="K19" s="977">
        <f>'SHWLP-Det'!$Y$44</f>
        <v>6.4480955569740483E-2</v>
      </c>
      <c r="L19" s="977"/>
      <c r="M19" s="977"/>
      <c r="N19" s="977"/>
      <c r="O19" s="977"/>
      <c r="P19" s="977"/>
      <c r="Q19" s="977"/>
      <c r="R19" s="977"/>
      <c r="S19" s="977"/>
      <c r="T19" s="977"/>
      <c r="U19" s="977"/>
      <c r="V19" s="977"/>
      <c r="W19" s="977"/>
      <c r="X19" s="977"/>
      <c r="Y19" s="977">
        <f t="shared" si="0"/>
        <v>0.56443579246964815</v>
      </c>
      <c r="Z19" s="977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8"/>
      <c r="G20" s="978"/>
      <c r="H20" s="978"/>
      <c r="I20" s="978"/>
      <c r="J20" s="978"/>
      <c r="K20" s="978"/>
      <c r="L20" s="978"/>
      <c r="M20" s="978"/>
      <c r="N20" s="978"/>
      <c r="O20" s="978"/>
      <c r="P20" s="978"/>
      <c r="Q20" s="978"/>
      <c r="R20" s="978"/>
      <c r="S20" s="979"/>
      <c r="T20" s="978"/>
      <c r="U20" s="978"/>
      <c r="V20" s="978"/>
      <c r="W20" s="978"/>
      <c r="X20" s="978"/>
      <c r="Y20" s="978">
        <f t="shared" si="0"/>
        <v>0</v>
      </c>
      <c r="Z20" s="978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7"/>
      <c r="G21" s="977"/>
      <c r="H21" s="977"/>
      <c r="I21" s="977"/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>
        <f t="shared" si="0"/>
        <v>0</v>
      </c>
      <c r="Z21" s="977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7" t="s">
        <v>248</v>
      </c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9"/>
      <c r="T22" s="978"/>
      <c r="U22" s="978"/>
      <c r="V22" s="978"/>
      <c r="W22" s="978"/>
      <c r="X22" s="978"/>
      <c r="Y22" s="978">
        <f t="shared" si="0"/>
        <v>0</v>
      </c>
      <c r="Z22" s="978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7">
        <f>'SHWLP-Apt'!$Y$9</f>
        <v>1.6411258099618979E-8</v>
      </c>
      <c r="G23" s="977">
        <f>'SHWLP-Att'!$Y$9</f>
        <v>0</v>
      </c>
      <c r="H23" s="977">
        <f>'SHWLP-Det'!$Y$9</f>
        <v>0</v>
      </c>
      <c r="I23" s="977">
        <f>'SHWLP-Apt'!$Y$33</f>
        <v>4.395559180299348E-5</v>
      </c>
      <c r="J23" s="977">
        <f>'SHWLP-Att'!$Y$33</f>
        <v>2.1879412797081848E-5</v>
      </c>
      <c r="K23" s="977">
        <f>'SHWLP-Det'!$Y$33</f>
        <v>7.4096000727488155E-5</v>
      </c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>
        <f t="shared" si="0"/>
        <v>1.3994741658566312E-4</v>
      </c>
      <c r="Z23" s="977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8">
        <f>'SHWLP-Apt'!$Y$8</f>
        <v>2.2877293790868852E-5</v>
      </c>
      <c r="G24" s="978">
        <f>'SHWLP-Att'!$Y$8</f>
        <v>2.872353931024329E-5</v>
      </c>
      <c r="H24" s="978">
        <f>'SHWLP-Det'!$Y$8</f>
        <v>0</v>
      </c>
      <c r="I24" s="978">
        <f>'SHWLP-Apt'!$Y$32</f>
        <v>4.8644706191773872E-5</v>
      </c>
      <c r="J24" s="978">
        <f>'SHWLP-Att'!$Y$32</f>
        <v>7.8153182244299725E-5</v>
      </c>
      <c r="K24" s="978">
        <f>'SHWLP-Det'!$Y$32</f>
        <v>6.5413263264443806E-5</v>
      </c>
      <c r="L24" s="978"/>
      <c r="M24" s="978"/>
      <c r="N24" s="978"/>
      <c r="O24" s="978"/>
      <c r="P24" s="978"/>
      <c r="Q24" s="978"/>
      <c r="R24" s="978"/>
      <c r="S24" s="979"/>
      <c r="T24" s="978"/>
      <c r="U24" s="978"/>
      <c r="V24" s="978"/>
      <c r="W24" s="978"/>
      <c r="X24" s="978"/>
      <c r="Y24" s="978">
        <f t="shared" si="0"/>
        <v>2.4381198480162954E-4</v>
      </c>
      <c r="Z24" s="978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7"/>
      <c r="G25" s="977"/>
      <c r="H25" s="977"/>
      <c r="I25" s="977"/>
      <c r="J25" s="977"/>
      <c r="K25" s="977"/>
      <c r="L25" s="977"/>
      <c r="M25" s="977"/>
      <c r="N25" s="977"/>
      <c r="O25" s="977"/>
      <c r="P25" s="977"/>
      <c r="Q25" s="977"/>
      <c r="R25" s="977"/>
      <c r="S25" s="977"/>
      <c r="T25" s="977"/>
      <c r="U25" s="977"/>
      <c r="V25" s="977"/>
      <c r="W25" s="977"/>
      <c r="X25" s="977"/>
      <c r="Y25" s="977">
        <f t="shared" si="0"/>
        <v>0</v>
      </c>
      <c r="Z25" s="977">
        <f t="shared" si="1"/>
        <v>0</v>
      </c>
      <c r="AA25" s="98"/>
      <c r="AB25" s="98"/>
      <c r="AC25" s="98"/>
    </row>
    <row r="26" spans="1:34" s="131" customFormat="1" ht="12" customHeight="1">
      <c r="A26" s="669" t="s">
        <v>757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757</v>
      </c>
      <c r="F26" s="978">
        <f>'SHWLP-Apt'!$Y$11+'SHWLP-Apt'!$Y$12</f>
        <v>0.99264247482010737</v>
      </c>
      <c r="G26" s="978">
        <f>'SHWLP-Att'!$Y$11+'SHWLP-Att'!$Y$12</f>
        <v>0.91627083796614273</v>
      </c>
      <c r="H26" s="978">
        <f>'SHWLP-Det'!$Y$11+'SHWLP-Det'!$Y$12</f>
        <v>1.1578235316340066</v>
      </c>
      <c r="I26" s="978">
        <f>'SHWLP-Apt'!$Y$35+'SHWLP-Apt'!$Y$36</f>
        <v>0.9354946686456993</v>
      </c>
      <c r="J26" s="978">
        <f>'SHWLP-Att'!$Y$35+'SHWLP-Att'!$Y$36</f>
        <v>0.58455649239956697</v>
      </c>
      <c r="K26" s="978">
        <f>'SHWLP-Det'!$Y$35+'SHWLP-Det'!$Y$36</f>
        <v>0.44852455613049441</v>
      </c>
      <c r="L26" s="978">
        <f>'SHWLP-Apt'!$Y$54</f>
        <v>0.38159950189394726</v>
      </c>
      <c r="M26" s="978">
        <f>'SHWLP-Att'!$Y$54</f>
        <v>1.9632785059392084</v>
      </c>
      <c r="N26" s="978">
        <f>'SHWLP-Det'!$Y$54</f>
        <v>2.9610626942711322</v>
      </c>
      <c r="O26" s="978">
        <f>'SHWLP-Apt'!$Y$55</f>
        <v>7.8631931212140127E-2</v>
      </c>
      <c r="P26" s="978">
        <f>'SHWLP-Att'!$Y$55</f>
        <v>0.54366439830542579</v>
      </c>
      <c r="Q26" s="978">
        <f>'SHWLP-Det'!$Y$55</f>
        <v>0.61632678310866229</v>
      </c>
      <c r="R26" s="978">
        <f>'[1]1d_Cooking'!L6*0.0036</f>
        <v>2.051734110329881</v>
      </c>
      <c r="S26" s="979">
        <f>(T38*0.0000000036)*(DwellingStocks!L38*RSD_Balance!U38)</f>
        <v>1.4117078065859998</v>
      </c>
      <c r="T26" s="978">
        <f>(T36*0.0000000036)*(DwellingStocks!L38*RSD_Balance!U36)</f>
        <v>1.1023237905322498</v>
      </c>
      <c r="U26" s="978">
        <f>(T37*0.0000000036)*(DwellingStocks!L38*RSD_Balance!U37)</f>
        <v>1.7147299705763039</v>
      </c>
      <c r="V26" s="978">
        <f>(T40*0.0000000036)*(DwellingStocks!L38*RSD_Balance!U40)</f>
        <v>1.1862012348845998</v>
      </c>
      <c r="W26" s="978">
        <f>SUM([1]Table2_Energy_Totals!$I$6+[1]Table2_Energy_Totals!$J$6)/1000-SUM(S26:V26,L26:N26)</f>
        <v>10.352794328441064</v>
      </c>
      <c r="X26" s="978">
        <v>0</v>
      </c>
      <c r="Y26" s="978">
        <f t="shared" si="0"/>
        <v>29.399367617676635</v>
      </c>
      <c r="Z26" s="978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7">
        <f>'SHWLP-Apt'!$Y$21</f>
        <v>3.751289270479366E-2</v>
      </c>
      <c r="G27" s="977">
        <f>'SHWLP-Att'!$Y$21</f>
        <v>4.4456193579378724E-2</v>
      </c>
      <c r="H27" s="977">
        <f>'SHWLP-Det'!$Y$21</f>
        <v>0.14955731044202938</v>
      </c>
      <c r="I27" s="977">
        <f>'SHWLP-Apt'!$Y$45</f>
        <v>1.0389477602999384E-2</v>
      </c>
      <c r="J27" s="977">
        <f>'SHWLP-Att'!$Y$45</f>
        <v>2.3853289854202531E-3</v>
      </c>
      <c r="K27" s="977">
        <f>'SHWLP-Det'!$Y$45</f>
        <v>1.0237223508519498E-3</v>
      </c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>
        <f t="shared" si="0"/>
        <v>0.24532492566547337</v>
      </c>
      <c r="Z27" s="977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592</v>
      </c>
      <c r="F28" s="987">
        <f>'SHWLP-Apt'!$Y$19</f>
        <v>9.1343462484814536E-2</v>
      </c>
      <c r="G28" s="987">
        <f>'SHWLP-Att'!$Y$19</f>
        <v>2.8391021571400263</v>
      </c>
      <c r="H28" s="987">
        <f>'SHWLP-Det'!$Y$19</f>
        <v>7.2148586840580657</v>
      </c>
      <c r="I28" s="987">
        <f>'SHWLP-Apt'!$Y$43</f>
        <v>9.6826716102202774E-3</v>
      </c>
      <c r="J28" s="987">
        <f>'SHWLP-Att'!$Y$43</f>
        <v>0.54720650199459764</v>
      </c>
      <c r="K28" s="987">
        <f>'SHWLP-Det'!$Y$43</f>
        <v>0.57080899562011034</v>
      </c>
      <c r="L28" s="987"/>
      <c r="M28" s="987"/>
      <c r="N28" s="987"/>
      <c r="O28" s="987"/>
      <c r="P28" s="987"/>
      <c r="Q28" s="987"/>
      <c r="R28" s="987"/>
      <c r="S28" s="988"/>
      <c r="T28" s="987"/>
      <c r="U28" s="987"/>
      <c r="V28" s="987"/>
      <c r="W28" s="987"/>
      <c r="X28" s="987"/>
      <c r="Y28" s="987">
        <f>SUM(F28:K28)</f>
        <v>11.273002472907834</v>
      </c>
      <c r="Z28" s="987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3">
        <f>SUM(F9:F28)</f>
        <v>2.724168274259656</v>
      </c>
      <c r="G29" s="994">
        <f t="shared" ref="G29:X29" si="2">SUM(G9:G28)</f>
        <v>24.60897292727913</v>
      </c>
      <c r="H29" s="994">
        <f t="shared" si="2"/>
        <v>42.737402011294229</v>
      </c>
      <c r="I29" s="994">
        <f t="shared" si="2"/>
        <v>2.1172572504837079</v>
      </c>
      <c r="J29" s="994">
        <f t="shared" si="2"/>
        <v>11.071632513367875</v>
      </c>
      <c r="K29" s="994">
        <f t="shared" si="2"/>
        <v>12.307840401512227</v>
      </c>
      <c r="L29" s="994">
        <f t="shared" si="2"/>
        <v>0.38159950189394726</v>
      </c>
      <c r="M29" s="994">
        <f t="shared" si="2"/>
        <v>1.9632785059392084</v>
      </c>
      <c r="N29" s="994">
        <f t="shared" si="2"/>
        <v>2.9610626942711322</v>
      </c>
      <c r="O29" s="994">
        <f t="shared" si="2"/>
        <v>7.8631931212140127E-2</v>
      </c>
      <c r="P29" s="994">
        <f t="shared" si="2"/>
        <v>0.54366439830542579</v>
      </c>
      <c r="Q29" s="994">
        <f t="shared" si="2"/>
        <v>0.61632678310866229</v>
      </c>
      <c r="R29" s="994">
        <f t="shared" si="2"/>
        <v>2.7611554513679644</v>
      </c>
      <c r="S29" s="994">
        <f t="shared" si="2"/>
        <v>1.4117078065859998</v>
      </c>
      <c r="T29" s="994">
        <f t="shared" si="2"/>
        <v>1.1023237905322498</v>
      </c>
      <c r="U29" s="994">
        <f t="shared" si="2"/>
        <v>1.7147299705763039</v>
      </c>
      <c r="V29" s="994">
        <f t="shared" si="2"/>
        <v>1.1862012348845998</v>
      </c>
      <c r="W29" s="994">
        <f t="shared" si="2"/>
        <v>10.352794328441064</v>
      </c>
      <c r="X29" s="994">
        <f t="shared" si="2"/>
        <v>0</v>
      </c>
      <c r="Y29" s="995">
        <f>SUM(Y9:Y28)</f>
        <v>120.64074977531553</v>
      </c>
      <c r="Z29" s="996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9">
        <f>SUM(F29:H29)</f>
        <v>70.070543212833016</v>
      </c>
      <c r="G30" s="990">
        <f>F30/$Y$29</f>
        <v>0.5808198584917138</v>
      </c>
      <c r="H30" s="757"/>
      <c r="I30" s="991">
        <f>SUM(I29:K29)</f>
        <v>25.496730165363811</v>
      </c>
      <c r="J30" s="990">
        <f>I30/$Y$29</f>
        <v>0.2113442614775653</v>
      </c>
      <c r="K30" s="757"/>
      <c r="L30" s="991">
        <f>SUM(L29:N29)</f>
        <v>5.3059407021042873</v>
      </c>
      <c r="M30" s="990">
        <f>L30/$Y$29</f>
        <v>4.3981330619929079E-2</v>
      </c>
      <c r="N30" s="757"/>
      <c r="O30" s="991">
        <f>SUM(O29:Q29)</f>
        <v>1.2386231126262282</v>
      </c>
      <c r="P30" s="990">
        <f>O30/$Y$29</f>
        <v>1.0267037588319636E-2</v>
      </c>
      <c r="Q30" s="757"/>
      <c r="R30" s="990">
        <f>R29/$Y$29</f>
        <v>2.288741952043909E-2</v>
      </c>
      <c r="S30" s="991">
        <f>SUM(S29:X29)</f>
        <v>15.767757131020216</v>
      </c>
      <c r="T30" s="990">
        <f>S30/$Y$29</f>
        <v>0.13070009230203308</v>
      </c>
      <c r="U30" s="757"/>
      <c r="V30" s="757"/>
      <c r="W30" s="757"/>
      <c r="X30" s="757"/>
      <c r="Y30" s="992">
        <f>T30+R30+P30++M30+J30+G30</f>
        <v>1</v>
      </c>
      <c r="Z30" s="758"/>
      <c r="AA30" s="98"/>
    </row>
    <row r="31" spans="1:34" s="131" customFormat="1">
      <c r="A31" s="131" t="s">
        <v>593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597</v>
      </c>
      <c r="T35" s="98" t="s">
        <v>596</v>
      </c>
      <c r="U35" s="98" t="s">
        <v>598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595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8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8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8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1266</v>
      </c>
      <c r="C47" s="131">
        <f>459*0.0419</f>
        <v>19.232099999999999</v>
      </c>
      <c r="D47" s="998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8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643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657</v>
      </c>
      <c r="CI3" s="766" t="s">
        <v>658</v>
      </c>
    </row>
    <row r="4" spans="2:99" ht="21">
      <c r="B4" s="1026" t="s">
        <v>651</v>
      </c>
      <c r="C4" s="1026"/>
      <c r="D4" s="1026"/>
      <c r="E4" s="1026"/>
      <c r="F4" s="1026"/>
      <c r="G4" s="1026"/>
      <c r="H4" s="1026"/>
      <c r="I4" s="1026"/>
      <c r="J4" s="1026"/>
      <c r="K4" s="1026"/>
      <c r="L4" s="1026"/>
      <c r="M4" s="762"/>
      <c r="O4" s="1026" t="s">
        <v>653</v>
      </c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CA4" t="s">
        <v>607</v>
      </c>
    </row>
    <row r="6" spans="2:99">
      <c r="B6" t="s">
        <v>599</v>
      </c>
      <c r="C6" t="s">
        <v>343</v>
      </c>
      <c r="D6" t="s">
        <v>53</v>
      </c>
      <c r="E6" t="s">
        <v>55</v>
      </c>
      <c r="O6" t="s">
        <v>599</v>
      </c>
      <c r="P6" t="s">
        <v>343</v>
      </c>
      <c r="Q6" t="s">
        <v>53</v>
      </c>
      <c r="R6" t="s">
        <v>55</v>
      </c>
      <c r="CA6" t="s">
        <v>608</v>
      </c>
      <c r="CI6" t="s">
        <v>608</v>
      </c>
      <c r="CQ6" t="s">
        <v>608</v>
      </c>
    </row>
    <row r="7" spans="2:99">
      <c r="B7" t="s">
        <v>600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609</v>
      </c>
      <c r="CI7" t="s">
        <v>609</v>
      </c>
      <c r="CQ7" t="s">
        <v>642</v>
      </c>
    </row>
    <row r="8" spans="2:99">
      <c r="B8" t="s">
        <v>601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610</v>
      </c>
      <c r="CI8" t="s">
        <v>631</v>
      </c>
      <c r="CQ8" t="s">
        <v>631</v>
      </c>
    </row>
    <row r="9" spans="2:99">
      <c r="B9" t="s">
        <v>602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603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604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611</v>
      </c>
      <c r="CI11" t="s">
        <v>611</v>
      </c>
      <c r="CQ11" t="s">
        <v>612</v>
      </c>
    </row>
    <row r="12" spans="2:99">
      <c r="B12" t="s">
        <v>605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620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612</v>
      </c>
      <c r="CI12" t="s">
        <v>49</v>
      </c>
      <c r="CJ12" t="s">
        <v>612</v>
      </c>
      <c r="CQ12" t="s">
        <v>49</v>
      </c>
      <c r="CR12" t="s">
        <v>615</v>
      </c>
    </row>
    <row r="13" spans="2:99">
      <c r="B13" t="s">
        <v>606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613</v>
      </c>
      <c r="CI13" t="s">
        <v>49</v>
      </c>
      <c r="CJ13" t="s">
        <v>49</v>
      </c>
      <c r="CK13" t="s">
        <v>613</v>
      </c>
      <c r="CQ13" t="s">
        <v>49</v>
      </c>
      <c r="CR13" t="s">
        <v>615</v>
      </c>
      <c r="CS13" t="s">
        <v>613</v>
      </c>
    </row>
    <row r="14" spans="2:99">
      <c r="B14" t="s">
        <v>639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614</v>
      </c>
      <c r="CE14">
        <v>1697665</v>
      </c>
      <c r="CI14" t="s">
        <v>49</v>
      </c>
      <c r="CJ14" t="s">
        <v>49</v>
      </c>
      <c r="CK14" t="s">
        <v>49</v>
      </c>
      <c r="CL14" t="s">
        <v>613</v>
      </c>
      <c r="CM14">
        <v>1697665</v>
      </c>
      <c r="CQ14" t="s">
        <v>49</v>
      </c>
      <c r="CR14" t="s">
        <v>615</v>
      </c>
      <c r="CS14" t="s">
        <v>49</v>
      </c>
      <c r="CT14" t="s">
        <v>613</v>
      </c>
      <c r="CU14">
        <v>141200</v>
      </c>
    </row>
    <row r="15" spans="2:99">
      <c r="B15" t="s">
        <v>640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623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615</v>
      </c>
      <c r="CE15">
        <v>141200</v>
      </c>
      <c r="CI15" t="s">
        <v>49</v>
      </c>
      <c r="CJ15" t="s">
        <v>49</v>
      </c>
      <c r="CK15" t="s">
        <v>49</v>
      </c>
      <c r="CL15" t="s">
        <v>632</v>
      </c>
      <c r="CM15">
        <v>23174</v>
      </c>
      <c r="CQ15" t="s">
        <v>49</v>
      </c>
      <c r="CR15" t="s">
        <v>615</v>
      </c>
      <c r="CS15" t="s">
        <v>49</v>
      </c>
      <c r="CT15" t="s">
        <v>632</v>
      </c>
      <c r="CU15">
        <v>6507</v>
      </c>
    </row>
    <row r="16" spans="2:99">
      <c r="B16" s="764" t="s">
        <v>641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641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616</v>
      </c>
      <c r="CE16">
        <v>109668</v>
      </c>
      <c r="CI16" t="s">
        <v>49</v>
      </c>
      <c r="CJ16" t="s">
        <v>49</v>
      </c>
      <c r="CK16" t="s">
        <v>49</v>
      </c>
      <c r="CL16" t="s">
        <v>633</v>
      </c>
      <c r="CM16">
        <v>686004</v>
      </c>
      <c r="CQ16" t="s">
        <v>49</v>
      </c>
      <c r="CR16" t="s">
        <v>615</v>
      </c>
      <c r="CS16" t="s">
        <v>49</v>
      </c>
      <c r="CT16" t="s">
        <v>633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617</v>
      </c>
      <c r="CE17">
        <v>126107</v>
      </c>
      <c r="CI17" t="s">
        <v>49</v>
      </c>
      <c r="CJ17" t="s">
        <v>49</v>
      </c>
      <c r="CK17" t="s">
        <v>49</v>
      </c>
      <c r="CL17" t="s">
        <v>634</v>
      </c>
      <c r="CM17">
        <v>569166</v>
      </c>
      <c r="CQ17" t="s">
        <v>49</v>
      </c>
      <c r="CR17" t="s">
        <v>615</v>
      </c>
      <c r="CS17" t="s">
        <v>49</v>
      </c>
      <c r="CT17" t="s">
        <v>634</v>
      </c>
      <c r="CU17">
        <v>32118</v>
      </c>
    </row>
    <row r="18" spans="2:99" ht="21">
      <c r="B18" s="120" t="s">
        <v>644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663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27" t="s">
        <v>660</v>
      </c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L18" s="1027" t="s">
        <v>661</v>
      </c>
      <c r="BM18" s="1027"/>
      <c r="BN18" s="1027"/>
      <c r="BO18" s="1027"/>
      <c r="BP18" s="1027"/>
      <c r="BQ18" s="1027"/>
      <c r="BR18" s="1027"/>
      <c r="BS18" s="1027"/>
      <c r="BT18" s="1027"/>
      <c r="BU18" s="1027"/>
      <c r="BV18" s="1027"/>
      <c r="BW18" s="1027"/>
      <c r="BX18" s="1027"/>
      <c r="CA18" t="s">
        <v>49</v>
      </c>
      <c r="CB18" t="s">
        <v>49</v>
      </c>
      <c r="CC18" t="s">
        <v>49</v>
      </c>
      <c r="CD18" t="s">
        <v>618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615</v>
      </c>
      <c r="CS18" t="s">
        <v>49</v>
      </c>
      <c r="CT18" t="s">
        <v>164</v>
      </c>
      <c r="CU18">
        <v>13175</v>
      </c>
    </row>
    <row r="19" spans="2:99" ht="21">
      <c r="B19" s="1026" t="s">
        <v>652</v>
      </c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762"/>
      <c r="O19" s="1026" t="s">
        <v>653</v>
      </c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B19" s="1026" t="s">
        <v>654</v>
      </c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N19" s="1026" t="s">
        <v>655</v>
      </c>
      <c r="AO19" s="1026"/>
      <c r="AP19" s="1026"/>
      <c r="AQ19" s="1026"/>
      <c r="AR19" s="1026"/>
      <c r="AS19" s="1026"/>
      <c r="AT19" s="1026"/>
      <c r="AU19" s="1026"/>
      <c r="AV19" s="1026"/>
      <c r="AW19" s="1026"/>
      <c r="AY19" s="1026" t="s">
        <v>656</v>
      </c>
      <c r="AZ19" s="1026"/>
      <c r="BA19" s="1026"/>
      <c r="BB19" s="1026"/>
      <c r="BC19" s="1026"/>
      <c r="BD19" s="1026"/>
      <c r="BE19" s="1026"/>
      <c r="BF19" s="1026"/>
      <c r="BG19" s="1026"/>
      <c r="BH19" s="1026"/>
      <c r="BI19" s="1026"/>
      <c r="BJ19" s="1026"/>
      <c r="BL19" s="1026" t="s">
        <v>662</v>
      </c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CA19" t="s">
        <v>49</v>
      </c>
      <c r="CB19" t="s">
        <v>49</v>
      </c>
      <c r="CC19" t="s">
        <v>49</v>
      </c>
      <c r="CD19" t="s">
        <v>619</v>
      </c>
      <c r="CE19">
        <v>213473</v>
      </c>
      <c r="CI19" t="s">
        <v>49</v>
      </c>
      <c r="CJ19" t="s">
        <v>49</v>
      </c>
      <c r="CK19" t="s">
        <v>49</v>
      </c>
      <c r="CL19" t="s">
        <v>647</v>
      </c>
      <c r="CM19">
        <v>86611</v>
      </c>
      <c r="CQ19" t="s">
        <v>49</v>
      </c>
      <c r="CR19" t="s">
        <v>615</v>
      </c>
      <c r="CS19" t="s">
        <v>49</v>
      </c>
      <c r="CT19" t="s">
        <v>647</v>
      </c>
      <c r="CU19">
        <v>10093</v>
      </c>
    </row>
    <row r="20" spans="2:99" ht="13.5" thickBot="1">
      <c r="B20" s="148" t="s">
        <v>644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620</v>
      </c>
      <c r="CE20">
        <v>171044</v>
      </c>
      <c r="CI20" t="s">
        <v>49</v>
      </c>
      <c r="CJ20" t="s">
        <v>49</v>
      </c>
      <c r="CK20" t="s">
        <v>49</v>
      </c>
      <c r="CL20" t="s">
        <v>635</v>
      </c>
      <c r="CM20">
        <v>90029</v>
      </c>
      <c r="CQ20" t="s">
        <v>49</v>
      </c>
      <c r="CR20" t="s">
        <v>615</v>
      </c>
      <c r="CS20" t="s">
        <v>49</v>
      </c>
      <c r="CT20" t="s">
        <v>635</v>
      </c>
      <c r="CU20">
        <v>10892</v>
      </c>
    </row>
    <row r="21" spans="2:99">
      <c r="B21" s="782" t="s">
        <v>343</v>
      </c>
      <c r="C21" s="778" t="s">
        <v>632</v>
      </c>
      <c r="D21" s="778" t="s">
        <v>633</v>
      </c>
      <c r="E21" s="778" t="s">
        <v>634</v>
      </c>
      <c r="F21" s="778" t="s">
        <v>164</v>
      </c>
      <c r="G21" s="778" t="s">
        <v>647</v>
      </c>
      <c r="H21" s="778" t="s">
        <v>635</v>
      </c>
      <c r="I21" s="778" t="s">
        <v>636</v>
      </c>
      <c r="J21" s="778" t="s">
        <v>637</v>
      </c>
      <c r="K21" s="778" t="s">
        <v>638</v>
      </c>
      <c r="L21" s="778" t="s">
        <v>624</v>
      </c>
      <c r="M21" s="790" t="s">
        <v>645</v>
      </c>
      <c r="O21" s="782" t="s">
        <v>343</v>
      </c>
      <c r="P21" s="778" t="s">
        <v>632</v>
      </c>
      <c r="Q21" s="778" t="s">
        <v>633</v>
      </c>
      <c r="R21" s="778" t="s">
        <v>634</v>
      </c>
      <c r="S21" s="778" t="s">
        <v>164</v>
      </c>
      <c r="T21" s="778" t="s">
        <v>647</v>
      </c>
      <c r="U21" s="778" t="s">
        <v>635</v>
      </c>
      <c r="V21" s="778" t="s">
        <v>636</v>
      </c>
      <c r="W21" s="778" t="s">
        <v>637</v>
      </c>
      <c r="X21" s="778" t="s">
        <v>638</v>
      </c>
      <c r="Y21" s="778" t="s">
        <v>624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632</v>
      </c>
      <c r="BN21" s="778" t="s">
        <v>633</v>
      </c>
      <c r="BO21" s="778" t="s">
        <v>634</v>
      </c>
      <c r="BP21" s="778" t="s">
        <v>164</v>
      </c>
      <c r="BQ21" s="778" t="s">
        <v>647</v>
      </c>
      <c r="BR21" s="778" t="s">
        <v>635</v>
      </c>
      <c r="BS21" s="778" t="s">
        <v>636</v>
      </c>
      <c r="BT21" s="778" t="s">
        <v>637</v>
      </c>
      <c r="BU21" s="778" t="s">
        <v>638</v>
      </c>
      <c r="BV21" s="778" t="s">
        <v>624</v>
      </c>
      <c r="BW21" s="778" t="s">
        <v>668</v>
      </c>
      <c r="BX21" s="783"/>
      <c r="CA21" t="s">
        <v>49</v>
      </c>
      <c r="CB21" t="s">
        <v>49</v>
      </c>
      <c r="CC21" t="s">
        <v>49</v>
      </c>
      <c r="CD21" t="s">
        <v>621</v>
      </c>
      <c r="CE21">
        <v>240811</v>
      </c>
      <c r="CI21" t="s">
        <v>49</v>
      </c>
      <c r="CJ21" t="s">
        <v>49</v>
      </c>
      <c r="CK21" t="s">
        <v>49</v>
      </c>
      <c r="CL21" t="s">
        <v>636</v>
      </c>
      <c r="CM21">
        <v>9990</v>
      </c>
      <c r="CQ21" t="s">
        <v>49</v>
      </c>
      <c r="CR21" t="s">
        <v>615</v>
      </c>
      <c r="CS21" t="s">
        <v>49</v>
      </c>
      <c r="CT21" t="s">
        <v>636</v>
      </c>
      <c r="CU21">
        <v>830</v>
      </c>
    </row>
    <row r="22" spans="2:99">
      <c r="B22" s="779" t="s">
        <v>600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600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600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600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622</v>
      </c>
      <c r="CE22">
        <v>431763</v>
      </c>
      <c r="CI22" t="s">
        <v>49</v>
      </c>
      <c r="CJ22" t="s">
        <v>49</v>
      </c>
      <c r="CK22" t="s">
        <v>49</v>
      </c>
      <c r="CL22" t="s">
        <v>637</v>
      </c>
      <c r="CM22">
        <v>33976</v>
      </c>
      <c r="CQ22" t="s">
        <v>49</v>
      </c>
      <c r="CR22" t="s">
        <v>615</v>
      </c>
      <c r="CS22" t="s">
        <v>49</v>
      </c>
      <c r="CT22" t="s">
        <v>637</v>
      </c>
      <c r="CU22">
        <v>6539</v>
      </c>
    </row>
    <row r="23" spans="2:99">
      <c r="B23" s="779" t="s">
        <v>601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601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601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601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623</v>
      </c>
      <c r="CE23">
        <v>33436</v>
      </c>
      <c r="CI23" t="s">
        <v>49</v>
      </c>
      <c r="CJ23" t="s">
        <v>49</v>
      </c>
      <c r="CK23" t="s">
        <v>49</v>
      </c>
      <c r="CL23" t="s">
        <v>638</v>
      </c>
      <c r="CM23">
        <v>11068</v>
      </c>
      <c r="CQ23" t="s">
        <v>49</v>
      </c>
      <c r="CR23" t="s">
        <v>615</v>
      </c>
      <c r="CS23" t="s">
        <v>49</v>
      </c>
      <c r="CT23" t="s">
        <v>638</v>
      </c>
      <c r="CU23">
        <v>744</v>
      </c>
    </row>
    <row r="24" spans="2:99">
      <c r="B24" s="779" t="s">
        <v>602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602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602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602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624</v>
      </c>
      <c r="CE24">
        <v>114122</v>
      </c>
      <c r="CI24" t="s">
        <v>49</v>
      </c>
      <c r="CJ24" t="s">
        <v>49</v>
      </c>
      <c r="CK24" t="s">
        <v>49</v>
      </c>
      <c r="CL24" t="s">
        <v>624</v>
      </c>
      <c r="CM24">
        <v>41345</v>
      </c>
      <c r="CQ24" t="s">
        <v>49</v>
      </c>
      <c r="CR24" t="s">
        <v>615</v>
      </c>
      <c r="CS24" t="s">
        <v>49</v>
      </c>
      <c r="CT24" t="s">
        <v>624</v>
      </c>
      <c r="CU24">
        <v>963</v>
      </c>
    </row>
    <row r="25" spans="2:99">
      <c r="B25" s="779" t="s">
        <v>603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603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603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603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625</v>
      </c>
      <c r="CI25" t="s">
        <v>49</v>
      </c>
      <c r="CJ25" t="s">
        <v>49</v>
      </c>
      <c r="CK25" t="s">
        <v>625</v>
      </c>
      <c r="CQ25" t="s">
        <v>49</v>
      </c>
      <c r="CR25" t="s">
        <v>615</v>
      </c>
      <c r="CS25" t="s">
        <v>55</v>
      </c>
    </row>
    <row r="26" spans="2:99">
      <c r="B26" s="779" t="s">
        <v>604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604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604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604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614</v>
      </c>
      <c r="CE26">
        <v>715133</v>
      </c>
      <c r="CI26" t="s">
        <v>49</v>
      </c>
      <c r="CJ26" t="s">
        <v>49</v>
      </c>
      <c r="CK26" t="s">
        <v>49</v>
      </c>
      <c r="CL26" t="s">
        <v>613</v>
      </c>
      <c r="CM26">
        <v>715133</v>
      </c>
      <c r="CN26">
        <f>SUM(CM26,CM38,CM51,CM63,CM75,CM87)</f>
        <v>1675795</v>
      </c>
      <c r="CQ26" t="s">
        <v>49</v>
      </c>
      <c r="CR26" t="s">
        <v>615</v>
      </c>
      <c r="CS26" t="s">
        <v>55</v>
      </c>
      <c r="CT26" t="s">
        <v>613</v>
      </c>
      <c r="CU26">
        <v>74125</v>
      </c>
    </row>
    <row r="27" spans="2:99">
      <c r="B27" s="779" t="s">
        <v>605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605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605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605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615</v>
      </c>
      <c r="CE27">
        <v>74125</v>
      </c>
      <c r="CI27" t="s">
        <v>49</v>
      </c>
      <c r="CJ27" t="s">
        <v>49</v>
      </c>
      <c r="CK27" t="s">
        <v>49</v>
      </c>
      <c r="CL27" t="s">
        <v>632</v>
      </c>
      <c r="CM27">
        <v>8850</v>
      </c>
      <c r="CQ27" t="s">
        <v>49</v>
      </c>
      <c r="CR27" t="s">
        <v>615</v>
      </c>
      <c r="CS27" t="s">
        <v>55</v>
      </c>
      <c r="CT27" t="s">
        <v>632</v>
      </c>
      <c r="CU27">
        <v>3486</v>
      </c>
    </row>
    <row r="28" spans="2:99">
      <c r="B28" s="779" t="s">
        <v>606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606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606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606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616</v>
      </c>
      <c r="CE28">
        <v>46847</v>
      </c>
      <c r="CI28" t="s">
        <v>49</v>
      </c>
      <c r="CJ28" t="s">
        <v>49</v>
      </c>
      <c r="CK28" t="s">
        <v>49</v>
      </c>
      <c r="CL28" t="s">
        <v>633</v>
      </c>
      <c r="CM28">
        <v>445404</v>
      </c>
      <c r="CQ28" t="s">
        <v>49</v>
      </c>
      <c r="CR28" t="s">
        <v>615</v>
      </c>
      <c r="CS28" t="s">
        <v>55</v>
      </c>
      <c r="CT28" t="s">
        <v>633</v>
      </c>
      <c r="CU28">
        <v>42672</v>
      </c>
    </row>
    <row r="29" spans="2:99">
      <c r="B29" s="779" t="s">
        <v>639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639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639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639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617</v>
      </c>
      <c r="CE29">
        <v>42427</v>
      </c>
      <c r="CI29" t="s">
        <v>49</v>
      </c>
      <c r="CJ29" t="s">
        <v>49</v>
      </c>
      <c r="CK29" t="s">
        <v>49</v>
      </c>
      <c r="CL29" t="s">
        <v>634</v>
      </c>
      <c r="CM29">
        <v>85670</v>
      </c>
      <c r="CQ29" t="s">
        <v>49</v>
      </c>
      <c r="CR29" t="s">
        <v>615</v>
      </c>
      <c r="CS29" t="s">
        <v>55</v>
      </c>
      <c r="CT29" t="s">
        <v>634</v>
      </c>
      <c r="CU29">
        <v>3088</v>
      </c>
    </row>
    <row r="30" spans="2:99" ht="13.5" thickBot="1">
      <c r="B30" s="779" t="s">
        <v>640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640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640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640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618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615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641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619</v>
      </c>
      <c r="CE31">
        <v>97698</v>
      </c>
      <c r="CI31" t="s">
        <v>49</v>
      </c>
      <c r="CJ31" t="s">
        <v>49</v>
      </c>
      <c r="CK31" t="s">
        <v>49</v>
      </c>
      <c r="CL31" t="s">
        <v>647</v>
      </c>
      <c r="CM31">
        <v>38120</v>
      </c>
      <c r="CQ31" t="s">
        <v>49</v>
      </c>
      <c r="CR31" t="s">
        <v>615</v>
      </c>
      <c r="CS31" t="s">
        <v>55</v>
      </c>
      <c r="CT31" t="s">
        <v>647</v>
      </c>
      <c r="CU31">
        <v>6482</v>
      </c>
    </row>
    <row r="32" spans="2:99" ht="13.5" thickBot="1">
      <c r="C32" s="604"/>
      <c r="D32" s="604"/>
      <c r="E32" s="604"/>
      <c r="O32" s="786" t="s">
        <v>641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620</v>
      </c>
      <c r="CE32">
        <v>86491</v>
      </c>
      <c r="CI32" t="s">
        <v>49</v>
      </c>
      <c r="CJ32" t="s">
        <v>49</v>
      </c>
      <c r="CK32" t="s">
        <v>49</v>
      </c>
      <c r="CL32" t="s">
        <v>635</v>
      </c>
      <c r="CM32">
        <v>70819</v>
      </c>
      <c r="CQ32" t="s">
        <v>49</v>
      </c>
      <c r="CR32" t="s">
        <v>615</v>
      </c>
      <c r="CS32" t="s">
        <v>55</v>
      </c>
      <c r="CT32" t="s">
        <v>635</v>
      </c>
      <c r="CU32">
        <v>9242</v>
      </c>
    </row>
    <row r="33" spans="2:99" ht="13.5" thickBot="1">
      <c r="B33" s="789" t="s">
        <v>53</v>
      </c>
      <c r="C33" s="778" t="s">
        <v>632</v>
      </c>
      <c r="D33" s="778" t="s">
        <v>633</v>
      </c>
      <c r="E33" s="778" t="s">
        <v>634</v>
      </c>
      <c r="F33" s="778" t="s">
        <v>164</v>
      </c>
      <c r="G33" s="778" t="s">
        <v>647</v>
      </c>
      <c r="H33" s="778" t="s">
        <v>635</v>
      </c>
      <c r="I33" s="778" t="s">
        <v>636</v>
      </c>
      <c r="J33" s="778" t="s">
        <v>637</v>
      </c>
      <c r="K33" s="778" t="s">
        <v>638</v>
      </c>
      <c r="L33" s="778" t="s">
        <v>624</v>
      </c>
      <c r="M33" s="783"/>
      <c r="O33" s="789" t="s">
        <v>53</v>
      </c>
      <c r="P33" s="778" t="s">
        <v>632</v>
      </c>
      <c r="Q33" s="778" t="s">
        <v>633</v>
      </c>
      <c r="R33" s="778" t="s">
        <v>634</v>
      </c>
      <c r="S33" s="778" t="s">
        <v>164</v>
      </c>
      <c r="T33" s="778" t="s">
        <v>647</v>
      </c>
      <c r="U33" s="778" t="s">
        <v>635</v>
      </c>
      <c r="V33" s="778" t="s">
        <v>636</v>
      </c>
      <c r="W33" s="778" t="s">
        <v>637</v>
      </c>
      <c r="X33" s="778" t="s">
        <v>638</v>
      </c>
      <c r="Y33" s="778" t="s">
        <v>624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632</v>
      </c>
      <c r="BN33" s="813" t="s">
        <v>633</v>
      </c>
      <c r="BO33" s="813" t="s">
        <v>634</v>
      </c>
      <c r="BP33" s="813" t="s">
        <v>164</v>
      </c>
      <c r="BQ33" s="813" t="s">
        <v>647</v>
      </c>
      <c r="BR33" s="813" t="s">
        <v>635</v>
      </c>
      <c r="BS33" s="813" t="s">
        <v>636</v>
      </c>
      <c r="BT33" s="813" t="s">
        <v>637</v>
      </c>
      <c r="BU33" s="813" t="s">
        <v>638</v>
      </c>
      <c r="BV33" s="813" t="s">
        <v>624</v>
      </c>
      <c r="BW33" s="778" t="s">
        <v>668</v>
      </c>
      <c r="BX33" s="783"/>
      <c r="CC33" t="s">
        <v>49</v>
      </c>
      <c r="CD33" t="s">
        <v>621</v>
      </c>
      <c r="CE33">
        <v>111455</v>
      </c>
      <c r="CI33" t="s">
        <v>49</v>
      </c>
      <c r="CJ33" t="s">
        <v>49</v>
      </c>
      <c r="CK33" t="s">
        <v>49</v>
      </c>
      <c r="CL33" t="s">
        <v>636</v>
      </c>
      <c r="CM33">
        <v>6209</v>
      </c>
      <c r="CQ33" t="s">
        <v>49</v>
      </c>
      <c r="CR33" t="s">
        <v>615</v>
      </c>
      <c r="CS33" t="s">
        <v>55</v>
      </c>
      <c r="CT33" t="s">
        <v>636</v>
      </c>
      <c r="CU33">
        <v>574</v>
      </c>
    </row>
    <row r="34" spans="2:99">
      <c r="B34" s="779" t="s">
        <v>600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600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600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600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622</v>
      </c>
      <c r="CE34">
        <v>175223</v>
      </c>
      <c r="CI34" t="s">
        <v>49</v>
      </c>
      <c r="CJ34" t="s">
        <v>49</v>
      </c>
      <c r="CK34" t="s">
        <v>49</v>
      </c>
      <c r="CL34" t="s">
        <v>637</v>
      </c>
      <c r="CM34">
        <v>26591</v>
      </c>
      <c r="CQ34" t="s">
        <v>49</v>
      </c>
      <c r="CR34" t="s">
        <v>615</v>
      </c>
      <c r="CS34" t="s">
        <v>55</v>
      </c>
      <c r="CT34" t="s">
        <v>637</v>
      </c>
      <c r="CU34">
        <v>5593</v>
      </c>
    </row>
    <row r="35" spans="2:99">
      <c r="B35" s="779" t="s">
        <v>601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601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601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601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623</v>
      </c>
      <c r="CE35">
        <v>18050</v>
      </c>
      <c r="CI35" t="s">
        <v>49</v>
      </c>
      <c r="CJ35" t="s">
        <v>49</v>
      </c>
      <c r="CK35" t="s">
        <v>49</v>
      </c>
      <c r="CL35" t="s">
        <v>638</v>
      </c>
      <c r="CM35">
        <v>7587</v>
      </c>
      <c r="CQ35" t="s">
        <v>49</v>
      </c>
      <c r="CR35" t="s">
        <v>615</v>
      </c>
      <c r="CS35" t="s">
        <v>55</v>
      </c>
      <c r="CT35" t="s">
        <v>638</v>
      </c>
      <c r="CU35">
        <v>473</v>
      </c>
    </row>
    <row r="36" spans="2:99">
      <c r="B36" s="779" t="s">
        <v>602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602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602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602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624</v>
      </c>
      <c r="CE36">
        <v>20596</v>
      </c>
      <c r="CI36" t="s">
        <v>49</v>
      </c>
      <c r="CJ36" t="s">
        <v>49</v>
      </c>
      <c r="CK36" t="s">
        <v>49</v>
      </c>
      <c r="CL36" t="s">
        <v>624</v>
      </c>
      <c r="CM36">
        <v>7535</v>
      </c>
      <c r="CQ36" t="s">
        <v>49</v>
      </c>
      <c r="CR36" t="s">
        <v>615</v>
      </c>
      <c r="CS36" t="s">
        <v>55</v>
      </c>
      <c r="CT36" t="s">
        <v>624</v>
      </c>
      <c r="CU36">
        <v>419</v>
      </c>
    </row>
    <row r="37" spans="2:99">
      <c r="B37" s="779" t="s">
        <v>603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603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603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603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626</v>
      </c>
      <c r="CI37" t="s">
        <v>49</v>
      </c>
      <c r="CJ37" t="s">
        <v>49</v>
      </c>
      <c r="CK37" t="s">
        <v>626</v>
      </c>
      <c r="CQ37" t="s">
        <v>49</v>
      </c>
      <c r="CR37" t="s">
        <v>615</v>
      </c>
      <c r="CS37" t="s">
        <v>53</v>
      </c>
    </row>
    <row r="38" spans="2:99">
      <c r="B38" s="779" t="s">
        <v>604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604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604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604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614</v>
      </c>
      <c r="CE38">
        <v>471948</v>
      </c>
      <c r="CI38" t="s">
        <v>49</v>
      </c>
      <c r="CJ38" t="s">
        <v>49</v>
      </c>
      <c r="CK38" t="s">
        <v>49</v>
      </c>
      <c r="CL38" t="s">
        <v>613</v>
      </c>
      <c r="CM38">
        <v>471948</v>
      </c>
      <c r="CQ38" t="s">
        <v>49</v>
      </c>
      <c r="CR38" t="s">
        <v>615</v>
      </c>
      <c r="CS38" t="s">
        <v>53</v>
      </c>
      <c r="CT38" t="s">
        <v>613</v>
      </c>
      <c r="CU38">
        <v>15478</v>
      </c>
    </row>
    <row r="39" spans="2:99">
      <c r="B39" s="779" t="s">
        <v>605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605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605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605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615</v>
      </c>
      <c r="CE39">
        <v>15478</v>
      </c>
      <c r="CI39" t="s">
        <v>49</v>
      </c>
      <c r="CJ39" t="s">
        <v>49</v>
      </c>
      <c r="CK39" t="s">
        <v>49</v>
      </c>
      <c r="CL39" t="s">
        <v>632</v>
      </c>
      <c r="CM39">
        <v>3625</v>
      </c>
      <c r="CQ39" t="s">
        <v>49</v>
      </c>
      <c r="CR39" t="s">
        <v>615</v>
      </c>
      <c r="CS39" t="s">
        <v>53</v>
      </c>
      <c r="CT39" t="s">
        <v>632</v>
      </c>
      <c r="CU39">
        <v>474</v>
      </c>
    </row>
    <row r="40" spans="2:99">
      <c r="B40" s="779" t="s">
        <v>606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606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606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606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616</v>
      </c>
      <c r="CE40">
        <v>25149</v>
      </c>
      <c r="CI40" t="s">
        <v>49</v>
      </c>
      <c r="CJ40" t="s">
        <v>49</v>
      </c>
      <c r="CK40" t="s">
        <v>49</v>
      </c>
      <c r="CL40" t="s">
        <v>633</v>
      </c>
      <c r="CM40">
        <v>165422</v>
      </c>
      <c r="CQ40" t="s">
        <v>49</v>
      </c>
      <c r="CR40" t="s">
        <v>615</v>
      </c>
      <c r="CS40" t="s">
        <v>53</v>
      </c>
      <c r="CT40" t="s">
        <v>633</v>
      </c>
      <c r="CU40">
        <v>6318</v>
      </c>
    </row>
    <row r="41" spans="2:99">
      <c r="B41" s="779" t="s">
        <v>639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639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639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639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615</v>
      </c>
      <c r="CS41" t="s">
        <v>53</v>
      </c>
      <c r="CT41" t="s">
        <v>634</v>
      </c>
      <c r="CU41">
        <v>5273</v>
      </c>
    </row>
    <row r="42" spans="2:99" ht="13.5" thickBot="1">
      <c r="B42" s="779" t="s">
        <v>640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640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640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640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617</v>
      </c>
      <c r="CE42">
        <v>39121</v>
      </c>
      <c r="CI42" t="s">
        <v>49</v>
      </c>
      <c r="CJ42" t="s">
        <v>49</v>
      </c>
      <c r="CK42" t="s">
        <v>49</v>
      </c>
      <c r="CL42" t="s">
        <v>634</v>
      </c>
      <c r="CM42">
        <v>235910</v>
      </c>
      <c r="CQ42" t="s">
        <v>49</v>
      </c>
      <c r="CR42" t="s">
        <v>615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641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618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615</v>
      </c>
      <c r="CS43" t="s">
        <v>53</v>
      </c>
      <c r="CT43" t="s">
        <v>647</v>
      </c>
      <c r="CU43">
        <v>1077</v>
      </c>
    </row>
    <row r="44" spans="2:99" ht="13.5" thickBot="1">
      <c r="C44" s="604"/>
      <c r="D44" s="604"/>
      <c r="E44" s="604"/>
      <c r="O44" s="786" t="s">
        <v>641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619</v>
      </c>
      <c r="CE44">
        <v>71056</v>
      </c>
      <c r="CI44" t="s">
        <v>49</v>
      </c>
      <c r="CJ44" t="s">
        <v>49</v>
      </c>
      <c r="CK44" t="s">
        <v>49</v>
      </c>
      <c r="CL44" t="s">
        <v>647</v>
      </c>
      <c r="CM44">
        <v>25563</v>
      </c>
      <c r="CQ44" t="s">
        <v>49</v>
      </c>
      <c r="CR44" t="s">
        <v>615</v>
      </c>
      <c r="CS44" t="s">
        <v>53</v>
      </c>
      <c r="CT44" t="s">
        <v>635</v>
      </c>
      <c r="CU44">
        <v>831</v>
      </c>
    </row>
    <row r="45" spans="2:99">
      <c r="B45" s="789" t="s">
        <v>55</v>
      </c>
      <c r="C45" s="778" t="s">
        <v>632</v>
      </c>
      <c r="D45" s="778" t="s">
        <v>633</v>
      </c>
      <c r="E45" s="778" t="s">
        <v>634</v>
      </c>
      <c r="F45" s="778" t="s">
        <v>164</v>
      </c>
      <c r="G45" s="778" t="s">
        <v>647</v>
      </c>
      <c r="H45" s="778" t="s">
        <v>635</v>
      </c>
      <c r="I45" s="778" t="s">
        <v>636</v>
      </c>
      <c r="J45" s="778" t="s">
        <v>637</v>
      </c>
      <c r="K45" s="778" t="s">
        <v>638</v>
      </c>
      <c r="L45" s="778" t="s">
        <v>624</v>
      </c>
      <c r="M45" s="783"/>
      <c r="O45" s="789" t="s">
        <v>55</v>
      </c>
      <c r="P45" s="778" t="s">
        <v>632</v>
      </c>
      <c r="Q45" s="778" t="s">
        <v>633</v>
      </c>
      <c r="R45" s="778" t="s">
        <v>634</v>
      </c>
      <c r="S45" s="778" t="s">
        <v>164</v>
      </c>
      <c r="T45" s="778" t="s">
        <v>647</v>
      </c>
      <c r="U45" s="778" t="s">
        <v>635</v>
      </c>
      <c r="V45" s="778" t="s">
        <v>636</v>
      </c>
      <c r="W45" s="778" t="s">
        <v>637</v>
      </c>
      <c r="X45" s="778" t="s">
        <v>638</v>
      </c>
      <c r="Y45" s="778" t="s">
        <v>624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632</v>
      </c>
      <c r="BN45" s="778" t="s">
        <v>633</v>
      </c>
      <c r="BO45" s="778" t="s">
        <v>634</v>
      </c>
      <c r="BP45" s="778" t="s">
        <v>164</v>
      </c>
      <c r="BQ45" s="778" t="s">
        <v>647</v>
      </c>
      <c r="BR45" s="778" t="s">
        <v>635</v>
      </c>
      <c r="BS45" s="778" t="s">
        <v>636</v>
      </c>
      <c r="BT45" s="778" t="s">
        <v>637</v>
      </c>
      <c r="BU45" s="778" t="s">
        <v>638</v>
      </c>
      <c r="BV45" s="778" t="s">
        <v>624</v>
      </c>
      <c r="BW45" s="778" t="s">
        <v>668</v>
      </c>
      <c r="BX45" s="783"/>
      <c r="CC45" t="s">
        <v>49</v>
      </c>
      <c r="CD45" t="s">
        <v>620</v>
      </c>
      <c r="CE45">
        <v>49522</v>
      </c>
      <c r="CI45" t="s">
        <v>49</v>
      </c>
      <c r="CJ45" t="s">
        <v>49</v>
      </c>
      <c r="CK45" t="s">
        <v>49</v>
      </c>
      <c r="CL45" t="s">
        <v>635</v>
      </c>
      <c r="CM45">
        <v>12102</v>
      </c>
      <c r="CQ45" t="s">
        <v>49</v>
      </c>
      <c r="CR45" t="s">
        <v>615</v>
      </c>
      <c r="CS45" t="s">
        <v>53</v>
      </c>
      <c r="CT45" t="s">
        <v>636</v>
      </c>
      <c r="CU45">
        <v>85</v>
      </c>
    </row>
    <row r="46" spans="2:99" ht="13.5" thickBot="1">
      <c r="B46" s="779" t="s">
        <v>600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600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600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600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621</v>
      </c>
      <c r="CE46">
        <v>80437</v>
      </c>
      <c r="CI46" t="s">
        <v>49</v>
      </c>
      <c r="CJ46" t="s">
        <v>49</v>
      </c>
      <c r="CK46" t="s">
        <v>49</v>
      </c>
      <c r="CL46" t="s">
        <v>636</v>
      </c>
      <c r="CM46">
        <v>1972</v>
      </c>
      <c r="CQ46" t="s">
        <v>49</v>
      </c>
      <c r="CR46" t="s">
        <v>615</v>
      </c>
      <c r="CS46" t="s">
        <v>53</v>
      </c>
      <c r="CT46" t="s">
        <v>637</v>
      </c>
      <c r="CU46">
        <v>420</v>
      </c>
    </row>
    <row r="47" spans="2:99">
      <c r="B47" s="779" t="s">
        <v>601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601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601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601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622</v>
      </c>
      <c r="CE47">
        <v>115869</v>
      </c>
      <c r="CI47" t="s">
        <v>49</v>
      </c>
      <c r="CJ47" t="s">
        <v>49</v>
      </c>
      <c r="CK47" t="s">
        <v>49</v>
      </c>
      <c r="CL47" t="s">
        <v>637</v>
      </c>
      <c r="CM47">
        <v>4276</v>
      </c>
      <c r="CQ47" t="s">
        <v>49</v>
      </c>
      <c r="CR47" t="s">
        <v>615</v>
      </c>
      <c r="CS47" t="s">
        <v>53</v>
      </c>
      <c r="CT47" t="s">
        <v>638</v>
      </c>
      <c r="CU47">
        <v>76</v>
      </c>
    </row>
    <row r="48" spans="2:99">
      <c r="B48" s="779" t="s">
        <v>602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602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602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602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623</v>
      </c>
      <c r="CE48">
        <v>5900</v>
      </c>
      <c r="CI48" t="s">
        <v>49</v>
      </c>
      <c r="CJ48" t="s">
        <v>49</v>
      </c>
      <c r="CK48" t="s">
        <v>49</v>
      </c>
      <c r="CL48" t="s">
        <v>638</v>
      </c>
      <c r="CM48">
        <v>1305</v>
      </c>
      <c r="CQ48" t="s">
        <v>49</v>
      </c>
      <c r="CR48" t="s">
        <v>615</v>
      </c>
      <c r="CS48" t="s">
        <v>53</v>
      </c>
      <c r="CT48" t="s">
        <v>624</v>
      </c>
      <c r="CU48">
        <v>88</v>
      </c>
    </row>
    <row r="49" spans="2:99">
      <c r="B49" s="779" t="s">
        <v>603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603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603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603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624</v>
      </c>
      <c r="CE49">
        <v>26052</v>
      </c>
      <c r="CI49" t="s">
        <v>49</v>
      </c>
      <c r="CJ49" t="s">
        <v>49</v>
      </c>
      <c r="CK49" t="s">
        <v>49</v>
      </c>
      <c r="CL49" t="s">
        <v>624</v>
      </c>
      <c r="CM49">
        <v>6256</v>
      </c>
      <c r="CQ49" t="s">
        <v>49</v>
      </c>
      <c r="CR49" t="s">
        <v>615</v>
      </c>
      <c r="CS49" t="s">
        <v>53</v>
      </c>
    </row>
    <row r="50" spans="2:99">
      <c r="B50" s="779" t="s">
        <v>604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604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604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604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627</v>
      </c>
      <c r="CI50" t="s">
        <v>49</v>
      </c>
      <c r="CJ50" t="s">
        <v>49</v>
      </c>
      <c r="CK50" t="s">
        <v>627</v>
      </c>
      <c r="CQ50" t="s">
        <v>49</v>
      </c>
      <c r="CR50" t="s">
        <v>615</v>
      </c>
      <c r="CS50" t="s">
        <v>53</v>
      </c>
      <c r="CT50" t="s">
        <v>613</v>
      </c>
      <c r="CU50">
        <v>36956</v>
      </c>
    </row>
    <row r="51" spans="2:99">
      <c r="B51" s="779" t="s">
        <v>605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605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605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605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614</v>
      </c>
      <c r="CE51">
        <v>284569</v>
      </c>
      <c r="CI51" t="s">
        <v>49</v>
      </c>
      <c r="CJ51" t="s">
        <v>49</v>
      </c>
      <c r="CK51" t="s">
        <v>49</v>
      </c>
      <c r="CL51" t="s">
        <v>613</v>
      </c>
      <c r="CM51">
        <v>284569</v>
      </c>
      <c r="CQ51" t="s">
        <v>49</v>
      </c>
      <c r="CR51" t="s">
        <v>615</v>
      </c>
      <c r="CS51" t="s">
        <v>53</v>
      </c>
      <c r="CT51" t="s">
        <v>632</v>
      </c>
      <c r="CU51">
        <v>1568</v>
      </c>
    </row>
    <row r="52" spans="2:99">
      <c r="B52" s="779" t="s">
        <v>606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606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606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606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615</v>
      </c>
      <c r="CE52">
        <v>36956</v>
      </c>
      <c r="CI52" t="s">
        <v>49</v>
      </c>
      <c r="CJ52" t="s">
        <v>49</v>
      </c>
      <c r="CK52" t="s">
        <v>49</v>
      </c>
      <c r="CL52" t="s">
        <v>632</v>
      </c>
      <c r="CM52">
        <v>5402</v>
      </c>
      <c r="CQ52" t="s">
        <v>49</v>
      </c>
      <c r="CR52" t="s">
        <v>615</v>
      </c>
      <c r="CS52" t="s">
        <v>53</v>
      </c>
      <c r="CT52" t="s">
        <v>633</v>
      </c>
      <c r="CU52">
        <v>8359</v>
      </c>
    </row>
    <row r="53" spans="2:99">
      <c r="B53" s="779" t="s">
        <v>639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639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639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639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616</v>
      </c>
      <c r="CE53">
        <v>31594</v>
      </c>
      <c r="CI53" t="s">
        <v>49</v>
      </c>
      <c r="CJ53" t="s">
        <v>49</v>
      </c>
      <c r="CK53" t="s">
        <v>49</v>
      </c>
      <c r="CL53" t="s">
        <v>633</v>
      </c>
      <c r="CM53">
        <v>61595</v>
      </c>
      <c r="CQ53" t="s">
        <v>49</v>
      </c>
      <c r="CR53" t="s">
        <v>615</v>
      </c>
      <c r="CS53" t="s">
        <v>53</v>
      </c>
      <c r="CT53" t="s">
        <v>634</v>
      </c>
      <c r="CU53">
        <v>19994</v>
      </c>
    </row>
    <row r="54" spans="2:99" ht="13.5" thickBot="1">
      <c r="B54" s="779" t="s">
        <v>640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640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640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640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617</v>
      </c>
      <c r="CE54">
        <v>38410</v>
      </c>
      <c r="CI54" t="s">
        <v>49</v>
      </c>
      <c r="CJ54" t="s">
        <v>49</v>
      </c>
      <c r="CK54" t="s">
        <v>49</v>
      </c>
      <c r="CL54" t="s">
        <v>634</v>
      </c>
      <c r="CM54">
        <v>162887</v>
      </c>
      <c r="CQ54" t="s">
        <v>49</v>
      </c>
      <c r="CR54" t="s">
        <v>615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641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618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615</v>
      </c>
      <c r="CS55" t="s">
        <v>53</v>
      </c>
      <c r="CT55" t="s">
        <v>647</v>
      </c>
      <c r="CU55">
        <v>2267</v>
      </c>
    </row>
    <row r="56" spans="2:99" ht="13.5" thickBot="1">
      <c r="B56" s="148" t="s">
        <v>599</v>
      </c>
      <c r="C56" t="s">
        <v>479</v>
      </c>
      <c r="D56" t="s">
        <v>343</v>
      </c>
      <c r="E56" t="s">
        <v>53</v>
      </c>
      <c r="F56" t="s">
        <v>55</v>
      </c>
      <c r="O56" s="786" t="s">
        <v>641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619</v>
      </c>
      <c r="CE56">
        <v>36397</v>
      </c>
      <c r="CI56" t="s">
        <v>49</v>
      </c>
      <c r="CJ56" t="s">
        <v>49</v>
      </c>
      <c r="CK56" t="s">
        <v>49</v>
      </c>
      <c r="CL56" t="s">
        <v>647</v>
      </c>
      <c r="CM56">
        <v>20177</v>
      </c>
      <c r="CQ56" t="s">
        <v>49</v>
      </c>
      <c r="CR56" t="s">
        <v>615</v>
      </c>
      <c r="CS56" t="s">
        <v>53</v>
      </c>
      <c r="CT56" t="s">
        <v>635</v>
      </c>
      <c r="CU56">
        <v>632</v>
      </c>
    </row>
    <row r="57" spans="2:99">
      <c r="B57" t="s">
        <v>600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620</v>
      </c>
      <c r="CE57">
        <v>23557</v>
      </c>
      <c r="CI57" t="s">
        <v>49</v>
      </c>
      <c r="CJ57" t="s">
        <v>49</v>
      </c>
      <c r="CK57" t="s">
        <v>49</v>
      </c>
      <c r="CL57" t="s">
        <v>635</v>
      </c>
      <c r="CM57">
        <v>5691</v>
      </c>
      <c r="CQ57" t="s">
        <v>49</v>
      </c>
      <c r="CR57" t="s">
        <v>615</v>
      </c>
      <c r="CS57" t="s">
        <v>53</v>
      </c>
      <c r="CT57" t="s">
        <v>636</v>
      </c>
      <c r="CU57">
        <v>111</v>
      </c>
    </row>
    <row r="58" spans="2:99">
      <c r="B58" t="s">
        <v>600</v>
      </c>
      <c r="C58" s="767" t="s">
        <v>648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621</v>
      </c>
      <c r="CE58">
        <v>19161</v>
      </c>
      <c r="CI58" t="s">
        <v>49</v>
      </c>
      <c r="CJ58" t="s">
        <v>49</v>
      </c>
      <c r="CK58" t="s">
        <v>49</v>
      </c>
      <c r="CL58" t="s">
        <v>636</v>
      </c>
      <c r="CM58">
        <v>982</v>
      </c>
      <c r="CQ58" t="s">
        <v>49</v>
      </c>
      <c r="CR58" t="s">
        <v>615</v>
      </c>
      <c r="CS58" t="s">
        <v>53</v>
      </c>
      <c r="CT58" t="s">
        <v>637</v>
      </c>
      <c r="CU58">
        <v>391</v>
      </c>
    </row>
    <row r="59" spans="2:99" ht="13.5" thickBot="1">
      <c r="B59" t="s">
        <v>600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622</v>
      </c>
      <c r="CE59">
        <v>51682</v>
      </c>
      <c r="CI59" t="s">
        <v>49</v>
      </c>
      <c r="CJ59" t="s">
        <v>49</v>
      </c>
      <c r="CK59" t="s">
        <v>49</v>
      </c>
      <c r="CL59" t="s">
        <v>637</v>
      </c>
      <c r="CM59">
        <v>2318</v>
      </c>
      <c r="CQ59" t="s">
        <v>49</v>
      </c>
      <c r="CR59" t="s">
        <v>615</v>
      </c>
      <c r="CS59" t="s">
        <v>53</v>
      </c>
      <c r="CT59" t="s">
        <v>638</v>
      </c>
      <c r="CU59">
        <v>101</v>
      </c>
    </row>
    <row r="60" spans="2:99">
      <c r="B60" t="s">
        <v>600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623</v>
      </c>
      <c r="CE60">
        <v>3127</v>
      </c>
      <c r="CI60" t="s">
        <v>49</v>
      </c>
      <c r="CJ60" t="s">
        <v>49</v>
      </c>
      <c r="CK60" t="s">
        <v>49</v>
      </c>
      <c r="CL60" t="s">
        <v>638</v>
      </c>
      <c r="CM60">
        <v>707</v>
      </c>
      <c r="CQ60" t="s">
        <v>49</v>
      </c>
      <c r="CR60" t="s">
        <v>615</v>
      </c>
      <c r="CS60" t="s">
        <v>53</v>
      </c>
      <c r="CT60" t="s">
        <v>624</v>
      </c>
      <c r="CU60">
        <v>229</v>
      </c>
    </row>
    <row r="61" spans="2:99">
      <c r="B61" t="s">
        <v>600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624</v>
      </c>
      <c r="CE61">
        <v>19315</v>
      </c>
      <c r="CI61" t="s">
        <v>49</v>
      </c>
      <c r="CJ61" t="s">
        <v>49</v>
      </c>
      <c r="CK61" t="s">
        <v>49</v>
      </c>
      <c r="CL61" t="s">
        <v>624</v>
      </c>
      <c r="CM61">
        <v>6366</v>
      </c>
      <c r="CQ61" t="s">
        <v>49</v>
      </c>
      <c r="CR61" t="s">
        <v>615</v>
      </c>
      <c r="CS61" t="s">
        <v>343</v>
      </c>
    </row>
    <row r="62" spans="2:99">
      <c r="B62" t="s">
        <v>600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628</v>
      </c>
      <c r="CI62" t="s">
        <v>49</v>
      </c>
      <c r="CJ62" t="s">
        <v>49</v>
      </c>
      <c r="CK62" t="s">
        <v>628</v>
      </c>
      <c r="CQ62" t="s">
        <v>49</v>
      </c>
      <c r="CR62" t="s">
        <v>615</v>
      </c>
      <c r="CS62" t="s">
        <v>343</v>
      </c>
      <c r="CT62" t="s">
        <v>613</v>
      </c>
      <c r="CU62">
        <v>3159</v>
      </c>
    </row>
    <row r="63" spans="2:99">
      <c r="B63" t="s">
        <v>600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614</v>
      </c>
      <c r="CE63">
        <v>172096</v>
      </c>
      <c r="CI63" t="s">
        <v>49</v>
      </c>
      <c r="CJ63" t="s">
        <v>49</v>
      </c>
      <c r="CK63" t="s">
        <v>49</v>
      </c>
      <c r="CL63" t="s">
        <v>613</v>
      </c>
      <c r="CM63">
        <v>172096</v>
      </c>
      <c r="CQ63" t="s">
        <v>49</v>
      </c>
      <c r="CR63" t="s">
        <v>615</v>
      </c>
      <c r="CS63" t="s">
        <v>343</v>
      </c>
      <c r="CT63" t="s">
        <v>632</v>
      </c>
      <c r="CU63">
        <v>166</v>
      </c>
    </row>
    <row r="64" spans="2:99">
      <c r="B64" t="s">
        <v>600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615</v>
      </c>
      <c r="CE64">
        <v>3159</v>
      </c>
      <c r="CI64" t="s">
        <v>49</v>
      </c>
      <c r="CJ64" t="s">
        <v>49</v>
      </c>
      <c r="CK64" t="s">
        <v>49</v>
      </c>
      <c r="CL64" t="s">
        <v>632</v>
      </c>
      <c r="CM64">
        <v>3289</v>
      </c>
      <c r="CQ64" t="s">
        <v>49</v>
      </c>
      <c r="CR64" t="s">
        <v>615</v>
      </c>
      <c r="CS64" t="s">
        <v>343</v>
      </c>
      <c r="CT64" t="s">
        <v>633</v>
      </c>
      <c r="CU64">
        <v>223</v>
      </c>
    </row>
    <row r="65" spans="2:99">
      <c r="B65" t="s">
        <v>600</v>
      </c>
      <c r="C65" s="767" t="s">
        <v>649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616</v>
      </c>
      <c r="CE65">
        <v>2434</v>
      </c>
      <c r="CI65" t="s">
        <v>49</v>
      </c>
      <c r="CJ65" t="s">
        <v>49</v>
      </c>
      <c r="CK65" t="s">
        <v>49</v>
      </c>
      <c r="CL65" t="s">
        <v>633</v>
      </c>
      <c r="CM65">
        <v>4596</v>
      </c>
      <c r="CQ65" t="s">
        <v>49</v>
      </c>
      <c r="CR65" t="s">
        <v>615</v>
      </c>
      <c r="CS65" t="s">
        <v>343</v>
      </c>
      <c r="CT65" t="s">
        <v>634</v>
      </c>
      <c r="CU65">
        <v>1077</v>
      </c>
    </row>
    <row r="66" spans="2:99">
      <c r="B66" t="s">
        <v>600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617</v>
      </c>
      <c r="CE66">
        <v>3415</v>
      </c>
      <c r="CI66" t="s">
        <v>49</v>
      </c>
      <c r="CJ66" t="s">
        <v>49</v>
      </c>
      <c r="CK66" t="s">
        <v>49</v>
      </c>
      <c r="CL66" t="s">
        <v>634</v>
      </c>
      <c r="CM66">
        <v>73152</v>
      </c>
      <c r="CQ66" t="s">
        <v>49</v>
      </c>
      <c r="CR66" t="s">
        <v>615</v>
      </c>
      <c r="CS66" t="s">
        <v>343</v>
      </c>
      <c r="CT66" t="s">
        <v>164</v>
      </c>
      <c r="CU66">
        <v>1575</v>
      </c>
    </row>
    <row r="67" spans="2:99">
      <c r="B67" t="s">
        <v>600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618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615</v>
      </c>
      <c r="CS67" t="s">
        <v>343</v>
      </c>
      <c r="CT67" t="s">
        <v>647</v>
      </c>
      <c r="CU67">
        <v>40</v>
      </c>
    </row>
    <row r="68" spans="2:99">
      <c r="B68" t="s">
        <v>600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619</v>
      </c>
      <c r="CE68">
        <v>5873</v>
      </c>
      <c r="CI68" t="s">
        <v>49</v>
      </c>
      <c r="CJ68" t="s">
        <v>49</v>
      </c>
      <c r="CK68" t="s">
        <v>49</v>
      </c>
      <c r="CL68" t="s">
        <v>647</v>
      </c>
      <c r="CM68">
        <v>1107</v>
      </c>
      <c r="CQ68" t="s">
        <v>49</v>
      </c>
      <c r="CR68" t="s">
        <v>615</v>
      </c>
      <c r="CS68" t="s">
        <v>343</v>
      </c>
      <c r="CT68" t="s">
        <v>635</v>
      </c>
      <c r="CU68">
        <v>8</v>
      </c>
    </row>
    <row r="69" spans="2:99">
      <c r="B69" t="s">
        <v>600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620</v>
      </c>
      <c r="CE69">
        <v>9310</v>
      </c>
      <c r="CI69" t="s">
        <v>49</v>
      </c>
      <c r="CJ69" t="s">
        <v>49</v>
      </c>
      <c r="CK69" t="s">
        <v>49</v>
      </c>
      <c r="CL69" t="s">
        <v>635</v>
      </c>
      <c r="CM69">
        <v>317</v>
      </c>
      <c r="CQ69" t="s">
        <v>49</v>
      </c>
      <c r="CR69" t="s">
        <v>615</v>
      </c>
      <c r="CS69" t="s">
        <v>343</v>
      </c>
      <c r="CT69" t="s">
        <v>636</v>
      </c>
      <c r="CU69">
        <v>13</v>
      </c>
    </row>
    <row r="70" spans="2:99">
      <c r="B70" t="s">
        <v>600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621</v>
      </c>
      <c r="CE70">
        <v>27108</v>
      </c>
      <c r="CI70" t="s">
        <v>49</v>
      </c>
      <c r="CJ70" t="s">
        <v>49</v>
      </c>
      <c r="CK70" t="s">
        <v>49</v>
      </c>
      <c r="CL70" t="s">
        <v>636</v>
      </c>
      <c r="CM70">
        <v>648</v>
      </c>
      <c r="CQ70" t="s">
        <v>49</v>
      </c>
      <c r="CR70" t="s">
        <v>615</v>
      </c>
      <c r="CS70" t="s">
        <v>343</v>
      </c>
      <c r="CT70" t="s">
        <v>637</v>
      </c>
      <c r="CU70">
        <v>16</v>
      </c>
    </row>
    <row r="71" spans="2:99">
      <c r="B71" t="s">
        <v>600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622</v>
      </c>
      <c r="CE71">
        <v>84521</v>
      </c>
      <c r="CI71" t="s">
        <v>49</v>
      </c>
      <c r="CJ71" t="s">
        <v>49</v>
      </c>
      <c r="CK71" t="s">
        <v>49</v>
      </c>
      <c r="CL71" t="s">
        <v>637</v>
      </c>
      <c r="CM71">
        <v>350</v>
      </c>
      <c r="CQ71" t="s">
        <v>49</v>
      </c>
      <c r="CR71" t="s">
        <v>615</v>
      </c>
      <c r="CS71" t="s">
        <v>343</v>
      </c>
      <c r="CT71" t="s">
        <v>638</v>
      </c>
      <c r="CU71">
        <v>17</v>
      </c>
    </row>
    <row r="72" spans="2:99">
      <c r="B72" t="s">
        <v>600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623</v>
      </c>
      <c r="CE72">
        <v>5717</v>
      </c>
      <c r="CI72" t="s">
        <v>49</v>
      </c>
      <c r="CJ72" t="s">
        <v>49</v>
      </c>
      <c r="CK72" t="s">
        <v>49</v>
      </c>
      <c r="CL72" t="s">
        <v>638</v>
      </c>
      <c r="CM72">
        <v>1146</v>
      </c>
      <c r="CQ72" t="s">
        <v>49</v>
      </c>
      <c r="CR72" t="s">
        <v>615</v>
      </c>
      <c r="CS72" t="s">
        <v>343</v>
      </c>
      <c r="CT72" t="s">
        <v>624</v>
      </c>
      <c r="CU72">
        <v>24</v>
      </c>
    </row>
    <row r="73" spans="2:99">
      <c r="B73" t="s">
        <v>601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624</v>
      </c>
      <c r="CE73">
        <v>26520</v>
      </c>
      <c r="CI73" t="s">
        <v>49</v>
      </c>
      <c r="CJ73" t="s">
        <v>49</v>
      </c>
      <c r="CK73" t="s">
        <v>49</v>
      </c>
      <c r="CL73" t="s">
        <v>624</v>
      </c>
      <c r="CM73">
        <v>9152</v>
      </c>
      <c r="CQ73" t="s">
        <v>49</v>
      </c>
      <c r="CR73" t="s">
        <v>615</v>
      </c>
      <c r="CS73" t="s">
        <v>343</v>
      </c>
    </row>
    <row r="74" spans="2:99">
      <c r="B74" t="s">
        <v>601</v>
      </c>
      <c r="C74" t="s">
        <v>648</v>
      </c>
      <c r="E74">
        <v>1</v>
      </c>
      <c r="F74">
        <v>1</v>
      </c>
      <c r="CA74" t="s">
        <v>49</v>
      </c>
      <c r="CB74" t="s">
        <v>49</v>
      </c>
      <c r="CC74" t="s">
        <v>629</v>
      </c>
      <c r="CI74" t="s">
        <v>49</v>
      </c>
      <c r="CJ74" t="s">
        <v>49</v>
      </c>
      <c r="CK74" t="s">
        <v>629</v>
      </c>
      <c r="CQ74" t="s">
        <v>49</v>
      </c>
      <c r="CR74" t="s">
        <v>615</v>
      </c>
      <c r="CS74" t="s">
        <v>343</v>
      </c>
      <c r="CT74" t="s">
        <v>613</v>
      </c>
      <c r="CU74">
        <v>10547</v>
      </c>
    </row>
    <row r="75" spans="2:99">
      <c r="B75" t="s">
        <v>601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614</v>
      </c>
      <c r="CE75">
        <v>28783</v>
      </c>
      <c r="CI75" t="s">
        <v>49</v>
      </c>
      <c r="CJ75" t="s">
        <v>49</v>
      </c>
      <c r="CK75" t="s">
        <v>49</v>
      </c>
      <c r="CL75" t="s">
        <v>613</v>
      </c>
      <c r="CM75">
        <v>28783</v>
      </c>
      <c r="CQ75" t="s">
        <v>49</v>
      </c>
      <c r="CR75" t="s">
        <v>615</v>
      </c>
      <c r="CS75" t="s">
        <v>343</v>
      </c>
      <c r="CT75" t="s">
        <v>632</v>
      </c>
      <c r="CU75">
        <v>775</v>
      </c>
    </row>
    <row r="76" spans="2:99">
      <c r="B76" t="s">
        <v>601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615</v>
      </c>
      <c r="CE76">
        <v>9575</v>
      </c>
      <c r="CI76" t="s">
        <v>49</v>
      </c>
      <c r="CJ76" t="s">
        <v>49</v>
      </c>
      <c r="CK76" t="s">
        <v>49</v>
      </c>
      <c r="CL76" t="s">
        <v>632</v>
      </c>
      <c r="CM76">
        <v>1513</v>
      </c>
      <c r="CQ76" t="s">
        <v>49</v>
      </c>
      <c r="CR76" t="s">
        <v>615</v>
      </c>
      <c r="CS76" t="s">
        <v>343</v>
      </c>
      <c r="CT76" t="s">
        <v>633</v>
      </c>
      <c r="CU76">
        <v>1399</v>
      </c>
    </row>
    <row r="77" spans="2:99">
      <c r="B77" t="s">
        <v>601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616</v>
      </c>
      <c r="CE77">
        <v>2653</v>
      </c>
      <c r="CI77" t="s">
        <v>49</v>
      </c>
      <c r="CJ77" t="s">
        <v>49</v>
      </c>
      <c r="CK77" t="s">
        <v>49</v>
      </c>
      <c r="CL77" t="s">
        <v>633</v>
      </c>
      <c r="CM77">
        <v>4191</v>
      </c>
      <c r="CQ77" t="s">
        <v>49</v>
      </c>
      <c r="CR77" t="s">
        <v>615</v>
      </c>
      <c r="CS77" t="s">
        <v>343</v>
      </c>
      <c r="CT77" t="s">
        <v>634</v>
      </c>
      <c r="CU77">
        <v>2576</v>
      </c>
    </row>
    <row r="78" spans="2:99">
      <c r="B78" t="s">
        <v>601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617</v>
      </c>
      <c r="CE78">
        <v>1745</v>
      </c>
      <c r="CI78" t="s">
        <v>49</v>
      </c>
      <c r="CJ78" t="s">
        <v>49</v>
      </c>
      <c r="CK78" t="s">
        <v>49</v>
      </c>
      <c r="CL78" t="s">
        <v>634</v>
      </c>
      <c r="CM78">
        <v>6389</v>
      </c>
      <c r="CQ78" t="s">
        <v>49</v>
      </c>
      <c r="CR78" t="s">
        <v>615</v>
      </c>
      <c r="CS78" t="s">
        <v>343</v>
      </c>
      <c r="CT78" t="s">
        <v>164</v>
      </c>
      <c r="CU78">
        <v>5260</v>
      </c>
    </row>
    <row r="79" spans="2:99">
      <c r="B79" t="s">
        <v>601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618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615</v>
      </c>
      <c r="CS79" t="s">
        <v>343</v>
      </c>
      <c r="CT79" t="s">
        <v>647</v>
      </c>
      <c r="CU79">
        <v>123</v>
      </c>
    </row>
    <row r="80" spans="2:99">
      <c r="B80" t="s">
        <v>601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619</v>
      </c>
      <c r="CE80">
        <v>1176</v>
      </c>
      <c r="CI80" t="s">
        <v>49</v>
      </c>
      <c r="CJ80" t="s">
        <v>49</v>
      </c>
      <c r="CK80" t="s">
        <v>49</v>
      </c>
      <c r="CL80" t="s">
        <v>647</v>
      </c>
      <c r="CM80">
        <v>469</v>
      </c>
      <c r="CQ80" t="s">
        <v>49</v>
      </c>
      <c r="CR80" t="s">
        <v>615</v>
      </c>
      <c r="CS80" t="s">
        <v>343</v>
      </c>
      <c r="CT80" t="s">
        <v>635</v>
      </c>
      <c r="CU80">
        <v>67</v>
      </c>
    </row>
    <row r="81" spans="2:99">
      <c r="B81" t="s">
        <v>601</v>
      </c>
      <c r="C81" t="s">
        <v>649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620</v>
      </c>
      <c r="CE81">
        <v>1039</v>
      </c>
      <c r="CI81" t="s">
        <v>49</v>
      </c>
      <c r="CJ81" t="s">
        <v>49</v>
      </c>
      <c r="CK81" t="s">
        <v>49</v>
      </c>
      <c r="CL81" t="s">
        <v>635</v>
      </c>
      <c r="CM81">
        <v>217</v>
      </c>
      <c r="CQ81" t="s">
        <v>49</v>
      </c>
      <c r="CR81" t="s">
        <v>615</v>
      </c>
      <c r="CS81" t="s">
        <v>343</v>
      </c>
      <c r="CT81" t="s">
        <v>636</v>
      </c>
      <c r="CU81">
        <v>43</v>
      </c>
    </row>
    <row r="82" spans="2:99">
      <c r="B82" t="s">
        <v>601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621</v>
      </c>
      <c r="CE82">
        <v>1530</v>
      </c>
      <c r="CI82" t="s">
        <v>49</v>
      </c>
      <c r="CJ82" t="s">
        <v>49</v>
      </c>
      <c r="CK82" t="s">
        <v>49</v>
      </c>
      <c r="CL82" t="s">
        <v>636</v>
      </c>
      <c r="CM82">
        <v>126</v>
      </c>
      <c r="CQ82" t="s">
        <v>49</v>
      </c>
      <c r="CR82" t="s">
        <v>615</v>
      </c>
      <c r="CS82" t="s">
        <v>343</v>
      </c>
      <c r="CT82" t="s">
        <v>637</v>
      </c>
      <c r="CU82">
        <v>72</v>
      </c>
    </row>
    <row r="83" spans="2:99">
      <c r="B83" t="s">
        <v>601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622</v>
      </c>
      <c r="CE83">
        <v>2247</v>
      </c>
      <c r="CI83" t="s">
        <v>49</v>
      </c>
      <c r="CJ83" t="s">
        <v>49</v>
      </c>
      <c r="CK83" t="s">
        <v>49</v>
      </c>
      <c r="CL83" t="s">
        <v>637</v>
      </c>
      <c r="CM83">
        <v>182</v>
      </c>
      <c r="CQ83" t="s">
        <v>49</v>
      </c>
      <c r="CR83" t="s">
        <v>615</v>
      </c>
      <c r="CS83" t="s">
        <v>343</v>
      </c>
      <c r="CT83" t="s">
        <v>638</v>
      </c>
      <c r="CU83">
        <v>75</v>
      </c>
    </row>
    <row r="84" spans="2:99">
      <c r="B84" t="s">
        <v>601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623</v>
      </c>
      <c r="CE84">
        <v>365</v>
      </c>
      <c r="CI84" t="s">
        <v>49</v>
      </c>
      <c r="CJ84" t="s">
        <v>49</v>
      </c>
      <c r="CK84" t="s">
        <v>49</v>
      </c>
      <c r="CL84" t="s">
        <v>638</v>
      </c>
      <c r="CM84">
        <v>203</v>
      </c>
      <c r="CQ84" t="s">
        <v>49</v>
      </c>
      <c r="CR84" t="s">
        <v>615</v>
      </c>
      <c r="CS84" t="s">
        <v>343</v>
      </c>
      <c r="CT84" t="s">
        <v>624</v>
      </c>
      <c r="CU84">
        <v>157</v>
      </c>
    </row>
    <row r="85" spans="2:99">
      <c r="B85" t="s">
        <v>601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624</v>
      </c>
      <c r="CE85">
        <v>7267</v>
      </c>
      <c r="CI85" t="s">
        <v>49</v>
      </c>
      <c r="CJ85" t="s">
        <v>49</v>
      </c>
      <c r="CK85" t="s">
        <v>49</v>
      </c>
      <c r="CL85" t="s">
        <v>624</v>
      </c>
      <c r="CM85">
        <v>2900</v>
      </c>
      <c r="CQ85" t="s">
        <v>49</v>
      </c>
      <c r="CR85" t="s">
        <v>615</v>
      </c>
      <c r="CS85" t="s">
        <v>624</v>
      </c>
    </row>
    <row r="86" spans="2:99">
      <c r="B86" t="s">
        <v>601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630</v>
      </c>
      <c r="CI86" t="s">
        <v>49</v>
      </c>
      <c r="CJ86" t="s">
        <v>49</v>
      </c>
      <c r="CK86" t="s">
        <v>630</v>
      </c>
      <c r="CQ86" t="s">
        <v>49</v>
      </c>
      <c r="CR86" t="s">
        <v>615</v>
      </c>
      <c r="CS86" t="s">
        <v>624</v>
      </c>
      <c r="CT86" t="s">
        <v>613</v>
      </c>
      <c r="CU86">
        <v>935</v>
      </c>
    </row>
    <row r="87" spans="2:99">
      <c r="B87" t="s">
        <v>601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614</v>
      </c>
      <c r="CE87">
        <v>3266</v>
      </c>
      <c r="CI87" t="s">
        <v>49</v>
      </c>
      <c r="CJ87" t="s">
        <v>49</v>
      </c>
      <c r="CK87" t="s">
        <v>49</v>
      </c>
      <c r="CL87" t="s">
        <v>613</v>
      </c>
      <c r="CM87">
        <v>3266</v>
      </c>
      <c r="CQ87" t="s">
        <v>49</v>
      </c>
      <c r="CR87" t="s">
        <v>615</v>
      </c>
      <c r="CS87" t="s">
        <v>624</v>
      </c>
      <c r="CT87" t="s">
        <v>632</v>
      </c>
      <c r="CU87">
        <v>38</v>
      </c>
    </row>
    <row r="88" spans="2:99">
      <c r="B88" t="s">
        <v>601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615</v>
      </c>
      <c r="CE88">
        <v>972</v>
      </c>
      <c r="CI88" t="s">
        <v>49</v>
      </c>
      <c r="CJ88" t="s">
        <v>49</v>
      </c>
      <c r="CK88" t="s">
        <v>49</v>
      </c>
      <c r="CL88" t="s">
        <v>632</v>
      </c>
      <c r="CM88">
        <v>266</v>
      </c>
      <c r="CQ88" t="s">
        <v>49</v>
      </c>
      <c r="CR88" t="s">
        <v>615</v>
      </c>
      <c r="CS88" t="s">
        <v>624</v>
      </c>
      <c r="CT88" t="s">
        <v>633</v>
      </c>
      <c r="CU88">
        <v>368</v>
      </c>
    </row>
    <row r="89" spans="2:99">
      <c r="B89" t="s">
        <v>602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616</v>
      </c>
      <c r="CE89">
        <v>306</v>
      </c>
      <c r="CI89" t="s">
        <v>49</v>
      </c>
      <c r="CJ89" t="s">
        <v>49</v>
      </c>
      <c r="CK89" t="s">
        <v>49</v>
      </c>
      <c r="CL89" t="s">
        <v>633</v>
      </c>
      <c r="CM89">
        <v>412</v>
      </c>
      <c r="CQ89" t="s">
        <v>49</v>
      </c>
      <c r="CR89" t="s">
        <v>615</v>
      </c>
      <c r="CS89" t="s">
        <v>624</v>
      </c>
      <c r="CT89" t="s">
        <v>634</v>
      </c>
      <c r="CU89">
        <v>110</v>
      </c>
    </row>
    <row r="90" spans="2:99">
      <c r="B90" t="s">
        <v>602</v>
      </c>
      <c r="C90" t="s">
        <v>648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617</v>
      </c>
      <c r="CE90">
        <v>229</v>
      </c>
      <c r="CI90" t="s">
        <v>49</v>
      </c>
      <c r="CJ90" t="s">
        <v>49</v>
      </c>
      <c r="CK90" t="s">
        <v>49</v>
      </c>
      <c r="CL90" t="s">
        <v>634</v>
      </c>
      <c r="CM90">
        <v>535</v>
      </c>
      <c r="CQ90" t="s">
        <v>49</v>
      </c>
      <c r="CR90" t="s">
        <v>615</v>
      </c>
      <c r="CS90" t="s">
        <v>624</v>
      </c>
      <c r="CT90" t="s">
        <v>164</v>
      </c>
      <c r="CU90">
        <v>104</v>
      </c>
    </row>
    <row r="91" spans="2:99">
      <c r="B91" t="s">
        <v>602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618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615</v>
      </c>
      <c r="CS91" t="s">
        <v>624</v>
      </c>
      <c r="CT91" t="s">
        <v>647</v>
      </c>
      <c r="CU91">
        <v>104</v>
      </c>
    </row>
    <row r="92" spans="2:99">
      <c r="B92" t="s">
        <v>602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619</v>
      </c>
      <c r="CE92">
        <v>152</v>
      </c>
      <c r="CI92" t="s">
        <v>49</v>
      </c>
      <c r="CJ92" t="s">
        <v>49</v>
      </c>
      <c r="CK92" t="s">
        <v>49</v>
      </c>
      <c r="CL92" t="s">
        <v>647</v>
      </c>
      <c r="CM92">
        <v>34</v>
      </c>
      <c r="CQ92" t="s">
        <v>49</v>
      </c>
      <c r="CR92" t="s">
        <v>615</v>
      </c>
      <c r="CS92" t="s">
        <v>624</v>
      </c>
      <c r="CT92" t="s">
        <v>635</v>
      </c>
      <c r="CU92">
        <v>112</v>
      </c>
    </row>
    <row r="93" spans="2:99">
      <c r="B93" t="s">
        <v>602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620</v>
      </c>
      <c r="CE93">
        <v>136</v>
      </c>
      <c r="CI93" t="s">
        <v>49</v>
      </c>
      <c r="CJ93" t="s">
        <v>49</v>
      </c>
      <c r="CK93" t="s">
        <v>49</v>
      </c>
      <c r="CL93" t="s">
        <v>635</v>
      </c>
      <c r="CM93">
        <v>31</v>
      </c>
      <c r="CQ93" t="s">
        <v>49</v>
      </c>
      <c r="CR93" t="s">
        <v>615</v>
      </c>
      <c r="CS93" t="s">
        <v>624</v>
      </c>
      <c r="CT93" t="s">
        <v>636</v>
      </c>
      <c r="CU93">
        <v>4</v>
      </c>
    </row>
    <row r="94" spans="2:99">
      <c r="B94" t="s">
        <v>602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621</v>
      </c>
      <c r="CE94">
        <v>142</v>
      </c>
      <c r="CI94" t="s">
        <v>49</v>
      </c>
      <c r="CJ94" t="s">
        <v>49</v>
      </c>
      <c r="CK94" t="s">
        <v>49</v>
      </c>
      <c r="CL94" t="s">
        <v>636</v>
      </c>
      <c r="CM94">
        <v>19</v>
      </c>
      <c r="CQ94" t="s">
        <v>49</v>
      </c>
      <c r="CR94" t="s">
        <v>615</v>
      </c>
      <c r="CS94" t="s">
        <v>624</v>
      </c>
      <c r="CT94" t="s">
        <v>637</v>
      </c>
      <c r="CU94">
        <v>47</v>
      </c>
    </row>
    <row r="95" spans="2:99">
      <c r="B95" t="s">
        <v>602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622</v>
      </c>
      <c r="CE95">
        <v>152</v>
      </c>
      <c r="CI95" t="s">
        <v>49</v>
      </c>
      <c r="CJ95" t="s">
        <v>49</v>
      </c>
      <c r="CK95" t="s">
        <v>49</v>
      </c>
      <c r="CL95" t="s">
        <v>637</v>
      </c>
      <c r="CM95">
        <v>16</v>
      </c>
      <c r="CQ95" t="s">
        <v>49</v>
      </c>
      <c r="CR95" t="s">
        <v>615</v>
      </c>
      <c r="CS95" t="s">
        <v>624</v>
      </c>
      <c r="CT95" t="s">
        <v>638</v>
      </c>
      <c r="CU95">
        <v>2</v>
      </c>
    </row>
    <row r="96" spans="2:99">
      <c r="B96" t="s">
        <v>602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623</v>
      </c>
      <c r="CE96">
        <v>42</v>
      </c>
      <c r="CI96" t="s">
        <v>49</v>
      </c>
      <c r="CJ96" t="s">
        <v>49</v>
      </c>
      <c r="CK96" t="s">
        <v>49</v>
      </c>
      <c r="CL96" t="s">
        <v>638</v>
      </c>
      <c r="CM96">
        <v>49</v>
      </c>
      <c r="CQ96" t="s">
        <v>49</v>
      </c>
      <c r="CR96" t="s">
        <v>615</v>
      </c>
      <c r="CS96" t="s">
        <v>624</v>
      </c>
      <c r="CT96" t="s">
        <v>624</v>
      </c>
      <c r="CU96">
        <v>46</v>
      </c>
    </row>
    <row r="97" spans="2:99">
      <c r="B97" t="s">
        <v>602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624</v>
      </c>
      <c r="CE97">
        <v>940</v>
      </c>
      <c r="CI97" t="s">
        <v>49</v>
      </c>
      <c r="CJ97" t="s">
        <v>49</v>
      </c>
      <c r="CK97" t="s">
        <v>49</v>
      </c>
      <c r="CL97" t="s">
        <v>624</v>
      </c>
      <c r="CM97">
        <v>296</v>
      </c>
      <c r="CQ97" t="s">
        <v>49</v>
      </c>
      <c r="CR97" t="s">
        <v>616</v>
      </c>
    </row>
    <row r="98" spans="2:99">
      <c r="B98" t="s">
        <v>602</v>
      </c>
      <c r="C98" t="s">
        <v>649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624</v>
      </c>
      <c r="CI98" t="s">
        <v>49</v>
      </c>
      <c r="CJ98" t="s">
        <v>49</v>
      </c>
      <c r="CK98" t="s">
        <v>624</v>
      </c>
      <c r="CQ98" t="s">
        <v>49</v>
      </c>
      <c r="CR98" t="s">
        <v>650</v>
      </c>
      <c r="CS98" t="s">
        <v>613</v>
      </c>
    </row>
    <row r="99" spans="2:99">
      <c r="B99" t="s">
        <v>602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614</v>
      </c>
      <c r="CE99">
        <v>21870</v>
      </c>
      <c r="CI99" t="s">
        <v>49</v>
      </c>
      <c r="CJ99" t="s">
        <v>49</v>
      </c>
      <c r="CK99" t="s">
        <v>49</v>
      </c>
      <c r="CL99" t="s">
        <v>613</v>
      </c>
      <c r="CM99">
        <v>21870</v>
      </c>
      <c r="CQ99" t="s">
        <v>49</v>
      </c>
      <c r="CR99" t="s">
        <v>650</v>
      </c>
      <c r="CS99" t="s">
        <v>49</v>
      </c>
      <c r="CT99" t="s">
        <v>613</v>
      </c>
      <c r="CU99">
        <v>109668</v>
      </c>
    </row>
    <row r="100" spans="2:99">
      <c r="B100" t="s">
        <v>602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615</v>
      </c>
      <c r="CE100">
        <v>935</v>
      </c>
      <c r="CI100" t="s">
        <v>49</v>
      </c>
      <c r="CJ100" t="s">
        <v>49</v>
      </c>
      <c r="CK100" t="s">
        <v>49</v>
      </c>
      <c r="CL100" t="s">
        <v>632</v>
      </c>
      <c r="CM100">
        <v>229</v>
      </c>
      <c r="CQ100" t="s">
        <v>49</v>
      </c>
      <c r="CR100" t="s">
        <v>650</v>
      </c>
      <c r="CS100" t="s">
        <v>49</v>
      </c>
      <c r="CT100" t="s">
        <v>632</v>
      </c>
      <c r="CU100">
        <v>2951</v>
      </c>
    </row>
    <row r="101" spans="2:99">
      <c r="B101" t="s">
        <v>602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616</v>
      </c>
      <c r="CE101">
        <v>685</v>
      </c>
      <c r="CI101" t="s">
        <v>49</v>
      </c>
      <c r="CJ101" t="s">
        <v>49</v>
      </c>
      <c r="CK101" t="s">
        <v>49</v>
      </c>
      <c r="CL101" t="s">
        <v>633</v>
      </c>
      <c r="CM101">
        <v>4384</v>
      </c>
      <c r="CQ101" t="s">
        <v>49</v>
      </c>
      <c r="CR101" t="s">
        <v>650</v>
      </c>
      <c r="CS101" t="s">
        <v>49</v>
      </c>
      <c r="CT101" t="s">
        <v>633</v>
      </c>
      <c r="CU101">
        <v>42020</v>
      </c>
    </row>
    <row r="102" spans="2:99">
      <c r="B102" t="s">
        <v>602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617</v>
      </c>
      <c r="CE102">
        <v>760</v>
      </c>
      <c r="CI102" t="s">
        <v>49</v>
      </c>
      <c r="CJ102" t="s">
        <v>49</v>
      </c>
      <c r="CK102" t="s">
        <v>49</v>
      </c>
      <c r="CL102" t="s">
        <v>634</v>
      </c>
      <c r="CM102">
        <v>4623</v>
      </c>
      <c r="CQ102" t="s">
        <v>49</v>
      </c>
      <c r="CR102" t="s">
        <v>650</v>
      </c>
      <c r="CS102" t="s">
        <v>49</v>
      </c>
      <c r="CT102" t="s">
        <v>634</v>
      </c>
      <c r="CU102">
        <v>35749</v>
      </c>
    </row>
    <row r="103" spans="2:99">
      <c r="B103" t="s">
        <v>602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618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650</v>
      </c>
      <c r="CS103" t="s">
        <v>49</v>
      </c>
      <c r="CT103" t="s">
        <v>164</v>
      </c>
      <c r="CU103">
        <v>5995</v>
      </c>
    </row>
    <row r="104" spans="2:99">
      <c r="B104" t="s">
        <v>602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619</v>
      </c>
      <c r="CE104">
        <v>1121</v>
      </c>
      <c r="CI104" t="s">
        <v>49</v>
      </c>
      <c r="CJ104" t="s">
        <v>49</v>
      </c>
      <c r="CK104" t="s">
        <v>49</v>
      </c>
      <c r="CL104" t="s">
        <v>647</v>
      </c>
      <c r="CM104">
        <v>1141</v>
      </c>
      <c r="CQ104" t="s">
        <v>49</v>
      </c>
      <c r="CR104" t="s">
        <v>650</v>
      </c>
      <c r="CS104" t="s">
        <v>49</v>
      </c>
      <c r="CT104" t="s">
        <v>647</v>
      </c>
      <c r="CU104">
        <v>8805</v>
      </c>
    </row>
    <row r="105" spans="2:99">
      <c r="B105" t="s">
        <v>603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620</v>
      </c>
      <c r="CE105">
        <v>989</v>
      </c>
      <c r="CI105" t="s">
        <v>49</v>
      </c>
      <c r="CJ105" t="s">
        <v>49</v>
      </c>
      <c r="CK105" t="s">
        <v>49</v>
      </c>
      <c r="CL105" t="s">
        <v>635</v>
      </c>
      <c r="CM105">
        <v>852</v>
      </c>
      <c r="CQ105" t="s">
        <v>49</v>
      </c>
      <c r="CR105" t="s">
        <v>650</v>
      </c>
      <c r="CS105" t="s">
        <v>49</v>
      </c>
      <c r="CT105" t="s">
        <v>635</v>
      </c>
      <c r="CU105">
        <v>9852</v>
      </c>
    </row>
    <row r="106" spans="2:99">
      <c r="B106" t="s">
        <v>603</v>
      </c>
      <c r="C106" t="s">
        <v>648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621</v>
      </c>
      <c r="CE106">
        <v>978</v>
      </c>
      <c r="CI106" t="s">
        <v>49</v>
      </c>
      <c r="CJ106" t="s">
        <v>49</v>
      </c>
      <c r="CK106" t="s">
        <v>49</v>
      </c>
      <c r="CL106" t="s">
        <v>636</v>
      </c>
      <c r="CM106">
        <v>34</v>
      </c>
      <c r="CQ106" t="s">
        <v>49</v>
      </c>
      <c r="CR106" t="s">
        <v>650</v>
      </c>
      <c r="CS106" t="s">
        <v>49</v>
      </c>
      <c r="CT106" t="s">
        <v>636</v>
      </c>
      <c r="CU106">
        <v>400</v>
      </c>
    </row>
    <row r="107" spans="2:99">
      <c r="B107" t="s">
        <v>603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622</v>
      </c>
      <c r="CE107">
        <v>2069</v>
      </c>
      <c r="CI107" t="s">
        <v>49</v>
      </c>
      <c r="CJ107" t="s">
        <v>49</v>
      </c>
      <c r="CK107" t="s">
        <v>49</v>
      </c>
      <c r="CL107" t="s">
        <v>637</v>
      </c>
      <c r="CM107">
        <v>243</v>
      </c>
      <c r="CQ107" t="s">
        <v>49</v>
      </c>
      <c r="CR107" t="s">
        <v>650</v>
      </c>
      <c r="CS107" t="s">
        <v>49</v>
      </c>
      <c r="CT107" t="s">
        <v>637</v>
      </c>
      <c r="CU107">
        <v>2925</v>
      </c>
    </row>
    <row r="108" spans="2:99">
      <c r="B108" t="s">
        <v>603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623</v>
      </c>
      <c r="CE108">
        <v>235</v>
      </c>
      <c r="CI108" t="s">
        <v>49</v>
      </c>
      <c r="CJ108" t="s">
        <v>49</v>
      </c>
      <c r="CK108" t="s">
        <v>49</v>
      </c>
      <c r="CL108" t="s">
        <v>638</v>
      </c>
      <c r="CM108">
        <v>71</v>
      </c>
      <c r="CQ108" t="s">
        <v>49</v>
      </c>
      <c r="CR108" t="s">
        <v>650</v>
      </c>
      <c r="CS108" t="s">
        <v>49</v>
      </c>
      <c r="CT108" t="s">
        <v>638</v>
      </c>
      <c r="CU108">
        <v>391</v>
      </c>
    </row>
    <row r="109" spans="2:99">
      <c r="B109" t="s">
        <v>603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624</v>
      </c>
      <c r="CE109">
        <v>13432</v>
      </c>
      <c r="CI109" t="s">
        <v>49</v>
      </c>
      <c r="CJ109" t="s">
        <v>49</v>
      </c>
      <c r="CK109" t="s">
        <v>49</v>
      </c>
      <c r="CL109" t="s">
        <v>624</v>
      </c>
      <c r="CM109">
        <v>8840</v>
      </c>
      <c r="CQ109" t="s">
        <v>49</v>
      </c>
      <c r="CR109" t="s">
        <v>650</v>
      </c>
      <c r="CS109" t="s">
        <v>49</v>
      </c>
      <c r="CT109" t="s">
        <v>624</v>
      </c>
      <c r="CU109">
        <v>580</v>
      </c>
    </row>
    <row r="110" spans="2:99">
      <c r="B110" t="s">
        <v>603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650</v>
      </c>
      <c r="CS110" t="s">
        <v>55</v>
      </c>
    </row>
    <row r="111" spans="2:99">
      <c r="B111" t="s">
        <v>603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650</v>
      </c>
      <c r="CS111" t="s">
        <v>55</v>
      </c>
      <c r="CT111" t="s">
        <v>613</v>
      </c>
      <c r="CU111">
        <v>46847</v>
      </c>
    </row>
    <row r="112" spans="2:99">
      <c r="B112" t="s">
        <v>603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650</v>
      </c>
      <c r="CS112" t="s">
        <v>55</v>
      </c>
      <c r="CT112" t="s">
        <v>632</v>
      </c>
      <c r="CU112">
        <v>1343</v>
      </c>
    </row>
    <row r="113" spans="2:99">
      <c r="B113" t="s">
        <v>603</v>
      </c>
      <c r="C113" t="s">
        <v>649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650</v>
      </c>
      <c r="CS113" t="s">
        <v>55</v>
      </c>
      <c r="CT113" t="s">
        <v>633</v>
      </c>
      <c r="CU113">
        <v>25936</v>
      </c>
    </row>
    <row r="114" spans="2:99">
      <c r="B114" t="s">
        <v>603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650</v>
      </c>
      <c r="CS114" t="s">
        <v>55</v>
      </c>
      <c r="CT114" t="s">
        <v>634</v>
      </c>
      <c r="CU114">
        <v>3575</v>
      </c>
    </row>
    <row r="115" spans="2:99">
      <c r="B115" t="s">
        <v>603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650</v>
      </c>
      <c r="CS115" t="s">
        <v>55</v>
      </c>
      <c r="CT115" t="s">
        <v>164</v>
      </c>
      <c r="CU115">
        <v>1041</v>
      </c>
    </row>
    <row r="116" spans="2:99">
      <c r="B116" t="s">
        <v>603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650</v>
      </c>
      <c r="CS116" t="s">
        <v>55</v>
      </c>
      <c r="CT116" t="s">
        <v>647</v>
      </c>
      <c r="CU116">
        <v>4238</v>
      </c>
    </row>
    <row r="117" spans="2:99">
      <c r="B117" t="s">
        <v>603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650</v>
      </c>
      <c r="CS117" t="s">
        <v>55</v>
      </c>
      <c r="CT117" t="s">
        <v>635</v>
      </c>
      <c r="CU117">
        <v>7788</v>
      </c>
    </row>
    <row r="118" spans="2:99">
      <c r="B118" t="s">
        <v>603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650</v>
      </c>
      <c r="CS118" t="s">
        <v>55</v>
      </c>
      <c r="CT118" t="s">
        <v>636</v>
      </c>
      <c r="CU118">
        <v>266</v>
      </c>
    </row>
    <row r="119" spans="2:99">
      <c r="B119" t="s">
        <v>603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650</v>
      </c>
      <c r="CS119" t="s">
        <v>55</v>
      </c>
      <c r="CT119" t="s">
        <v>637</v>
      </c>
      <c r="CU119">
        <v>2251</v>
      </c>
    </row>
    <row r="120" spans="2:99">
      <c r="B120" t="s">
        <v>603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650</v>
      </c>
      <c r="CS120" t="s">
        <v>55</v>
      </c>
      <c r="CT120" t="s">
        <v>638</v>
      </c>
      <c r="CU120">
        <v>191</v>
      </c>
    </row>
    <row r="121" spans="2:99">
      <c r="B121" t="s">
        <v>604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650</v>
      </c>
      <c r="CS121" t="s">
        <v>55</v>
      </c>
      <c r="CT121" t="s">
        <v>624</v>
      </c>
      <c r="CU121">
        <v>218</v>
      </c>
    </row>
    <row r="122" spans="2:99">
      <c r="B122" t="s">
        <v>604</v>
      </c>
      <c r="C122" t="s">
        <v>648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650</v>
      </c>
      <c r="CS122" t="s">
        <v>53</v>
      </c>
    </row>
    <row r="123" spans="2:99">
      <c r="B123" t="s">
        <v>604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650</v>
      </c>
      <c r="CS123" t="s">
        <v>53</v>
      </c>
      <c r="CT123" t="s">
        <v>613</v>
      </c>
      <c r="CU123">
        <v>25149</v>
      </c>
    </row>
    <row r="124" spans="2:99">
      <c r="B124" t="s">
        <v>604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650</v>
      </c>
      <c r="CS124" t="s">
        <v>53</v>
      </c>
      <c r="CT124" t="s">
        <v>632</v>
      </c>
      <c r="CU124">
        <v>466</v>
      </c>
    </row>
    <row r="125" spans="2:99">
      <c r="B125" t="s">
        <v>604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650</v>
      </c>
      <c r="CS125" t="s">
        <v>53</v>
      </c>
      <c r="CT125" t="s">
        <v>633</v>
      </c>
      <c r="CU125">
        <v>8157</v>
      </c>
    </row>
    <row r="126" spans="2:99">
      <c r="B126" t="s">
        <v>604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650</v>
      </c>
      <c r="CS126" t="s">
        <v>53</v>
      </c>
      <c r="CT126" t="s">
        <v>634</v>
      </c>
      <c r="CU126">
        <v>12128</v>
      </c>
    </row>
    <row r="127" spans="2:99">
      <c r="B127" t="s">
        <v>604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650</v>
      </c>
      <c r="CS127" t="s">
        <v>53</v>
      </c>
      <c r="CT127" t="s">
        <v>164</v>
      </c>
      <c r="CU127">
        <v>847</v>
      </c>
    </row>
    <row r="128" spans="2:99">
      <c r="B128" t="s">
        <v>604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650</v>
      </c>
      <c r="CS128" t="s">
        <v>53</v>
      </c>
      <c r="CT128" t="s">
        <v>647</v>
      </c>
      <c r="CU128">
        <v>1673</v>
      </c>
    </row>
    <row r="129" spans="2:99">
      <c r="B129" t="s">
        <v>604</v>
      </c>
      <c r="C129" t="s">
        <v>649</v>
      </c>
      <c r="D129">
        <v>16</v>
      </c>
      <c r="E129">
        <v>767</v>
      </c>
      <c r="F129">
        <v>90</v>
      </c>
      <c r="CQ129" t="s">
        <v>49</v>
      </c>
      <c r="CR129" t="s">
        <v>650</v>
      </c>
      <c r="CS129" t="s">
        <v>53</v>
      </c>
      <c r="CT129" t="s">
        <v>635</v>
      </c>
      <c r="CU129">
        <v>1258</v>
      </c>
    </row>
    <row r="130" spans="2:99">
      <c r="B130" t="s">
        <v>604</v>
      </c>
      <c r="C130" t="s">
        <v>515</v>
      </c>
      <c r="E130">
        <v>30</v>
      </c>
      <c r="F130">
        <v>20</v>
      </c>
      <c r="CQ130" t="s">
        <v>49</v>
      </c>
      <c r="CR130" t="s">
        <v>650</v>
      </c>
      <c r="CS130" t="s">
        <v>53</v>
      </c>
      <c r="CT130" t="s">
        <v>636</v>
      </c>
      <c r="CU130">
        <v>73</v>
      </c>
    </row>
    <row r="131" spans="2:99">
      <c r="B131" t="s">
        <v>604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650</v>
      </c>
      <c r="CS131" t="s">
        <v>53</v>
      </c>
      <c r="CT131" t="s">
        <v>637</v>
      </c>
      <c r="CU131">
        <v>350</v>
      </c>
    </row>
    <row r="132" spans="2:99">
      <c r="B132" t="s">
        <v>604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650</v>
      </c>
      <c r="CS132" t="s">
        <v>53</v>
      </c>
      <c r="CT132" t="s">
        <v>638</v>
      </c>
      <c r="CU132">
        <v>78</v>
      </c>
    </row>
    <row r="133" spans="2:99">
      <c r="B133" t="s">
        <v>604</v>
      </c>
      <c r="C133" t="s">
        <v>568</v>
      </c>
      <c r="E133">
        <v>2</v>
      </c>
      <c r="F133">
        <v>1</v>
      </c>
      <c r="CQ133" t="s">
        <v>49</v>
      </c>
      <c r="CR133" t="s">
        <v>650</v>
      </c>
      <c r="CS133" t="s">
        <v>53</v>
      </c>
      <c r="CT133" t="s">
        <v>624</v>
      </c>
      <c r="CU133">
        <v>119</v>
      </c>
    </row>
    <row r="134" spans="2:99">
      <c r="B134" t="s">
        <v>604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650</v>
      </c>
      <c r="CS134" t="s">
        <v>53</v>
      </c>
    </row>
    <row r="135" spans="2:99">
      <c r="B135" t="s">
        <v>604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650</v>
      </c>
      <c r="CS135" t="s">
        <v>53</v>
      </c>
      <c r="CT135" t="s">
        <v>613</v>
      </c>
      <c r="CU135">
        <v>31594</v>
      </c>
    </row>
    <row r="136" spans="2:99">
      <c r="B136" t="s">
        <v>604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650</v>
      </c>
      <c r="CS136" t="s">
        <v>53</v>
      </c>
      <c r="CT136" t="s">
        <v>632</v>
      </c>
      <c r="CU136">
        <v>894</v>
      </c>
    </row>
    <row r="137" spans="2:99">
      <c r="B137" t="s">
        <v>605</v>
      </c>
      <c r="D137">
        <v>170</v>
      </c>
      <c r="E137">
        <v>68</v>
      </c>
      <c r="F137">
        <v>17</v>
      </c>
      <c r="CQ137" t="s">
        <v>49</v>
      </c>
      <c r="CR137" t="s">
        <v>650</v>
      </c>
      <c r="CS137" t="s">
        <v>53</v>
      </c>
      <c r="CT137" t="s">
        <v>633</v>
      </c>
      <c r="CU137">
        <v>7089</v>
      </c>
    </row>
    <row r="138" spans="2:99">
      <c r="B138" t="s">
        <v>605</v>
      </c>
      <c r="C138" t="s">
        <v>648</v>
      </c>
      <c r="E138">
        <v>7</v>
      </c>
      <c r="F138">
        <v>6</v>
      </c>
      <c r="CQ138" t="s">
        <v>49</v>
      </c>
      <c r="CR138" t="s">
        <v>650</v>
      </c>
      <c r="CS138" t="s">
        <v>53</v>
      </c>
      <c r="CT138" t="s">
        <v>634</v>
      </c>
      <c r="CU138">
        <v>17813</v>
      </c>
    </row>
    <row r="139" spans="2:99">
      <c r="B139" t="s">
        <v>605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650</v>
      </c>
      <c r="CS139" t="s">
        <v>53</v>
      </c>
      <c r="CT139" t="s">
        <v>164</v>
      </c>
      <c r="CU139">
        <v>1834</v>
      </c>
    </row>
    <row r="140" spans="2:99">
      <c r="B140" t="s">
        <v>605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650</v>
      </c>
      <c r="CS140" t="s">
        <v>53</v>
      </c>
      <c r="CT140" t="s">
        <v>647</v>
      </c>
      <c r="CU140">
        <v>2708</v>
      </c>
    </row>
    <row r="141" spans="2:99">
      <c r="B141" t="s">
        <v>605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650</v>
      </c>
      <c r="CS141" t="s">
        <v>53</v>
      </c>
      <c r="CT141" t="s">
        <v>635</v>
      </c>
      <c r="CU141">
        <v>684</v>
      </c>
    </row>
    <row r="142" spans="2:99">
      <c r="B142" t="s">
        <v>605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650</v>
      </c>
      <c r="CS142" t="s">
        <v>53</v>
      </c>
      <c r="CT142" t="s">
        <v>636</v>
      </c>
      <c r="CU142">
        <v>49</v>
      </c>
    </row>
    <row r="143" spans="2:99">
      <c r="B143" t="s">
        <v>605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650</v>
      </c>
      <c r="CS143" t="s">
        <v>53</v>
      </c>
      <c r="CT143" t="s">
        <v>637</v>
      </c>
      <c r="CU143">
        <v>273</v>
      </c>
    </row>
    <row r="144" spans="2:99">
      <c r="B144" t="s">
        <v>605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650</v>
      </c>
      <c r="CS144" t="s">
        <v>53</v>
      </c>
      <c r="CT144" t="s">
        <v>638</v>
      </c>
      <c r="CU144">
        <v>83</v>
      </c>
    </row>
    <row r="145" spans="2:99">
      <c r="B145" t="s">
        <v>605</v>
      </c>
      <c r="C145" t="s">
        <v>649</v>
      </c>
      <c r="D145">
        <v>66</v>
      </c>
      <c r="E145">
        <v>912</v>
      </c>
      <c r="F145">
        <v>101</v>
      </c>
      <c r="CQ145" t="s">
        <v>49</v>
      </c>
      <c r="CR145" t="s">
        <v>650</v>
      </c>
      <c r="CS145" t="s">
        <v>53</v>
      </c>
      <c r="CT145" t="s">
        <v>624</v>
      </c>
      <c r="CU145">
        <v>167</v>
      </c>
    </row>
    <row r="146" spans="2:99">
      <c r="B146" t="s">
        <v>605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650</v>
      </c>
      <c r="CS146" t="s">
        <v>343</v>
      </c>
    </row>
    <row r="147" spans="2:99">
      <c r="B147" t="s">
        <v>605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650</v>
      </c>
      <c r="CS147" t="s">
        <v>343</v>
      </c>
      <c r="CT147" t="s">
        <v>613</v>
      </c>
      <c r="CU147">
        <v>2434</v>
      </c>
    </row>
    <row r="148" spans="2:99">
      <c r="B148" t="s">
        <v>605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650</v>
      </c>
      <c r="CS148" t="s">
        <v>343</v>
      </c>
      <c r="CT148" t="s">
        <v>632</v>
      </c>
      <c r="CU148">
        <v>62</v>
      </c>
    </row>
    <row r="149" spans="2:99">
      <c r="B149" t="s">
        <v>605</v>
      </c>
      <c r="C149" t="s">
        <v>568</v>
      </c>
      <c r="F149">
        <v>4</v>
      </c>
      <c r="CQ149" t="s">
        <v>49</v>
      </c>
      <c r="CR149" t="s">
        <v>650</v>
      </c>
      <c r="CS149" t="s">
        <v>343</v>
      </c>
      <c r="CT149" t="s">
        <v>633</v>
      </c>
      <c r="CU149">
        <v>140</v>
      </c>
    </row>
    <row r="150" spans="2:99">
      <c r="B150" t="s">
        <v>605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650</v>
      </c>
      <c r="CS150" t="s">
        <v>343</v>
      </c>
      <c r="CT150" t="s">
        <v>634</v>
      </c>
      <c r="CU150">
        <v>1393</v>
      </c>
    </row>
    <row r="151" spans="2:99">
      <c r="B151" t="s">
        <v>605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650</v>
      </c>
      <c r="CS151" t="s">
        <v>343</v>
      </c>
      <c r="CT151" t="s">
        <v>164</v>
      </c>
      <c r="CU151">
        <v>715</v>
      </c>
    </row>
    <row r="152" spans="2:99">
      <c r="B152" t="s">
        <v>605</v>
      </c>
      <c r="C152" t="s">
        <v>516</v>
      </c>
      <c r="E152">
        <v>4</v>
      </c>
      <c r="F152">
        <v>16</v>
      </c>
      <c r="CQ152" t="s">
        <v>49</v>
      </c>
      <c r="CR152" t="s">
        <v>650</v>
      </c>
      <c r="CS152" t="s">
        <v>343</v>
      </c>
      <c r="CT152" t="s">
        <v>647</v>
      </c>
      <c r="CU152">
        <v>55</v>
      </c>
    </row>
    <row r="153" spans="2:99">
      <c r="B153" t="s">
        <v>606</v>
      </c>
      <c r="D153">
        <v>626</v>
      </c>
      <c r="E153">
        <v>182</v>
      </c>
      <c r="F153">
        <v>16</v>
      </c>
      <c r="CQ153" t="s">
        <v>49</v>
      </c>
      <c r="CR153" t="s">
        <v>650</v>
      </c>
      <c r="CS153" t="s">
        <v>343</v>
      </c>
      <c r="CT153" t="s">
        <v>635</v>
      </c>
      <c r="CU153">
        <v>19</v>
      </c>
    </row>
    <row r="154" spans="2:99">
      <c r="B154" t="s">
        <v>606</v>
      </c>
      <c r="C154" t="s">
        <v>648</v>
      </c>
      <c r="E154">
        <v>3</v>
      </c>
      <c r="F154">
        <v>1</v>
      </c>
      <c r="CQ154" t="s">
        <v>49</v>
      </c>
      <c r="CR154" t="s">
        <v>650</v>
      </c>
      <c r="CS154" t="s">
        <v>343</v>
      </c>
      <c r="CT154" t="s">
        <v>636</v>
      </c>
      <c r="CU154">
        <v>4</v>
      </c>
    </row>
    <row r="155" spans="2:99">
      <c r="B155" t="s">
        <v>606</v>
      </c>
      <c r="C155" t="s">
        <v>489</v>
      </c>
      <c r="D155">
        <v>1</v>
      </c>
      <c r="CQ155" t="s">
        <v>49</v>
      </c>
      <c r="CR155" t="s">
        <v>650</v>
      </c>
      <c r="CS155" t="s">
        <v>343</v>
      </c>
      <c r="CT155" t="s">
        <v>637</v>
      </c>
      <c r="CU155">
        <v>12</v>
      </c>
    </row>
    <row r="156" spans="2:99">
      <c r="B156" t="s">
        <v>606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650</v>
      </c>
      <c r="CS156" t="s">
        <v>343</v>
      </c>
      <c r="CT156" t="s">
        <v>638</v>
      </c>
      <c r="CU156">
        <v>11</v>
      </c>
    </row>
    <row r="157" spans="2:99">
      <c r="B157" t="s">
        <v>606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650</v>
      </c>
      <c r="CS157" t="s">
        <v>343</v>
      </c>
      <c r="CT157" t="s">
        <v>624</v>
      </c>
      <c r="CU157">
        <v>23</v>
      </c>
    </row>
    <row r="158" spans="2:99">
      <c r="B158" t="s">
        <v>606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650</v>
      </c>
      <c r="CS158" t="s">
        <v>343</v>
      </c>
    </row>
    <row r="159" spans="2:99">
      <c r="B159" t="s">
        <v>606</v>
      </c>
      <c r="C159" t="s">
        <v>517</v>
      </c>
      <c r="D159">
        <v>1</v>
      </c>
      <c r="E159">
        <v>1</v>
      </c>
      <c r="CQ159" t="s">
        <v>49</v>
      </c>
      <c r="CR159" t="s">
        <v>650</v>
      </c>
      <c r="CS159" t="s">
        <v>343</v>
      </c>
      <c r="CT159" t="s">
        <v>613</v>
      </c>
      <c r="CU159">
        <v>2959</v>
      </c>
    </row>
    <row r="160" spans="2:99">
      <c r="B160" t="s">
        <v>606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650</v>
      </c>
      <c r="CS160" t="s">
        <v>343</v>
      </c>
      <c r="CT160" t="s">
        <v>632</v>
      </c>
      <c r="CU160">
        <v>172</v>
      </c>
    </row>
    <row r="161" spans="2:99">
      <c r="B161" t="s">
        <v>606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650</v>
      </c>
      <c r="CS161" t="s">
        <v>343</v>
      </c>
      <c r="CT161" t="s">
        <v>633</v>
      </c>
      <c r="CU161">
        <v>435</v>
      </c>
    </row>
    <row r="162" spans="2:99">
      <c r="B162" t="s">
        <v>606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650</v>
      </c>
      <c r="CS162" t="s">
        <v>343</v>
      </c>
      <c r="CT162" t="s">
        <v>634</v>
      </c>
      <c r="CU162">
        <v>676</v>
      </c>
    </row>
    <row r="163" spans="2:99">
      <c r="B163" t="s">
        <v>606</v>
      </c>
      <c r="C163" t="s">
        <v>649</v>
      </c>
      <c r="D163">
        <v>50</v>
      </c>
      <c r="E163">
        <v>974</v>
      </c>
      <c r="F163">
        <v>78</v>
      </c>
      <c r="CQ163" t="s">
        <v>49</v>
      </c>
      <c r="CR163" t="s">
        <v>650</v>
      </c>
      <c r="CS163" t="s">
        <v>343</v>
      </c>
      <c r="CT163" t="s">
        <v>164</v>
      </c>
      <c r="CU163">
        <v>1520</v>
      </c>
    </row>
    <row r="164" spans="2:99">
      <c r="B164" t="s">
        <v>606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650</v>
      </c>
      <c r="CS164" t="s">
        <v>343</v>
      </c>
      <c r="CT164" t="s">
        <v>647</v>
      </c>
      <c r="CU164">
        <v>44</v>
      </c>
    </row>
    <row r="165" spans="2:99">
      <c r="B165" t="s">
        <v>606</v>
      </c>
      <c r="C165" t="s">
        <v>518</v>
      </c>
      <c r="E165">
        <v>46</v>
      </c>
      <c r="F165">
        <v>51</v>
      </c>
      <c r="CQ165" t="s">
        <v>49</v>
      </c>
      <c r="CR165" t="s">
        <v>650</v>
      </c>
      <c r="CS165" t="s">
        <v>343</v>
      </c>
      <c r="CT165" t="s">
        <v>635</v>
      </c>
      <c r="CU165">
        <v>24</v>
      </c>
    </row>
    <row r="166" spans="2:99">
      <c r="B166" t="s">
        <v>606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650</v>
      </c>
      <c r="CS166" t="s">
        <v>343</v>
      </c>
      <c r="CT166" t="s">
        <v>636</v>
      </c>
      <c r="CU166">
        <v>7</v>
      </c>
    </row>
    <row r="167" spans="2:99">
      <c r="B167" t="s">
        <v>606</v>
      </c>
      <c r="C167" t="s">
        <v>568</v>
      </c>
      <c r="E167">
        <v>2</v>
      </c>
      <c r="F167">
        <v>1</v>
      </c>
      <c r="CQ167" t="s">
        <v>49</v>
      </c>
      <c r="CR167" t="s">
        <v>650</v>
      </c>
      <c r="CS167" t="s">
        <v>343</v>
      </c>
      <c r="CT167" t="s">
        <v>637</v>
      </c>
      <c r="CU167">
        <v>17</v>
      </c>
    </row>
    <row r="168" spans="2:99">
      <c r="B168" t="s">
        <v>606</v>
      </c>
      <c r="C168" t="s">
        <v>520</v>
      </c>
      <c r="E168">
        <v>27</v>
      </c>
      <c r="F168">
        <v>34</v>
      </c>
      <c r="CQ168" t="s">
        <v>49</v>
      </c>
      <c r="CR168" t="s">
        <v>650</v>
      </c>
      <c r="CS168" t="s">
        <v>343</v>
      </c>
      <c r="CT168" t="s">
        <v>638</v>
      </c>
      <c r="CU168">
        <v>28</v>
      </c>
    </row>
    <row r="169" spans="2:99">
      <c r="B169" t="s">
        <v>606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650</v>
      </c>
      <c r="CS169" t="s">
        <v>343</v>
      </c>
      <c r="CT169" t="s">
        <v>624</v>
      </c>
      <c r="CU169">
        <v>36</v>
      </c>
    </row>
    <row r="170" spans="2:99">
      <c r="B170" t="s">
        <v>606</v>
      </c>
      <c r="C170" t="s">
        <v>516</v>
      </c>
      <c r="E170">
        <v>5</v>
      </c>
      <c r="F170">
        <v>9</v>
      </c>
      <c r="CQ170" t="s">
        <v>49</v>
      </c>
      <c r="CR170" t="s">
        <v>650</v>
      </c>
      <c r="CS170" t="s">
        <v>624</v>
      </c>
    </row>
    <row r="171" spans="2:99">
      <c r="B171" t="s">
        <v>639</v>
      </c>
      <c r="D171" s="604">
        <v>3552</v>
      </c>
      <c r="E171">
        <v>356</v>
      </c>
      <c r="F171">
        <v>48</v>
      </c>
      <c r="CQ171" t="s">
        <v>49</v>
      </c>
      <c r="CR171" t="s">
        <v>650</v>
      </c>
      <c r="CS171" t="s">
        <v>624</v>
      </c>
      <c r="CT171" t="s">
        <v>613</v>
      </c>
      <c r="CU171">
        <v>685</v>
      </c>
    </row>
    <row r="172" spans="2:99">
      <c r="B172" t="s">
        <v>639</v>
      </c>
      <c r="C172" t="s">
        <v>489</v>
      </c>
      <c r="D172">
        <v>1</v>
      </c>
      <c r="CQ172" t="s">
        <v>49</v>
      </c>
      <c r="CR172" t="s">
        <v>650</v>
      </c>
      <c r="CS172" t="s">
        <v>624</v>
      </c>
      <c r="CT172" t="s">
        <v>632</v>
      </c>
      <c r="CU172">
        <v>14</v>
      </c>
    </row>
    <row r="173" spans="2:99">
      <c r="B173" t="s">
        <v>639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650</v>
      </c>
      <c r="CS173" t="s">
        <v>624</v>
      </c>
      <c r="CT173" t="s">
        <v>633</v>
      </c>
      <c r="CU173">
        <v>263</v>
      </c>
    </row>
    <row r="174" spans="2:99">
      <c r="B174" t="s">
        <v>639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650</v>
      </c>
      <c r="CS174" t="s">
        <v>624</v>
      </c>
      <c r="CT174" t="s">
        <v>634</v>
      </c>
      <c r="CU174">
        <v>164</v>
      </c>
    </row>
    <row r="175" spans="2:99">
      <c r="B175" t="s">
        <v>639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650</v>
      </c>
      <c r="CS175" t="s">
        <v>624</v>
      </c>
      <c r="CT175" t="s">
        <v>164</v>
      </c>
      <c r="CU175">
        <v>38</v>
      </c>
    </row>
    <row r="176" spans="2:99">
      <c r="B176" t="s">
        <v>639</v>
      </c>
      <c r="C176" t="s">
        <v>570</v>
      </c>
      <c r="E176" s="604"/>
      <c r="F176" s="604">
        <v>6</v>
      </c>
      <c r="CQ176" t="s">
        <v>49</v>
      </c>
      <c r="CR176" t="s">
        <v>650</v>
      </c>
      <c r="CS176" t="s">
        <v>624</v>
      </c>
      <c r="CT176" t="s">
        <v>647</v>
      </c>
      <c r="CU176">
        <v>87</v>
      </c>
    </row>
    <row r="177" spans="2:99">
      <c r="B177" t="s">
        <v>639</v>
      </c>
      <c r="C177" t="s">
        <v>571</v>
      </c>
      <c r="F177">
        <v>1</v>
      </c>
      <c r="CQ177" t="s">
        <v>49</v>
      </c>
      <c r="CR177" t="s">
        <v>650</v>
      </c>
      <c r="CS177" t="s">
        <v>624</v>
      </c>
      <c r="CT177" t="s">
        <v>635</v>
      </c>
      <c r="CU177">
        <v>79</v>
      </c>
    </row>
    <row r="178" spans="2:99">
      <c r="B178" t="s">
        <v>639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650</v>
      </c>
      <c r="CS178" t="s">
        <v>624</v>
      </c>
      <c r="CT178" t="s">
        <v>636</v>
      </c>
      <c r="CU178">
        <v>1</v>
      </c>
    </row>
    <row r="179" spans="2:99">
      <c r="B179" t="s">
        <v>639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650</v>
      </c>
      <c r="CS179" t="s">
        <v>624</v>
      </c>
      <c r="CT179" t="s">
        <v>637</v>
      </c>
      <c r="CU179">
        <v>22</v>
      </c>
    </row>
    <row r="180" spans="2:99">
      <c r="B180" t="s">
        <v>639</v>
      </c>
      <c r="C180" t="s">
        <v>514</v>
      </c>
      <c r="E180">
        <v>256</v>
      </c>
      <c r="F180">
        <v>62</v>
      </c>
      <c r="CQ180" t="s">
        <v>49</v>
      </c>
      <c r="CR180" t="s">
        <v>650</v>
      </c>
      <c r="CS180" t="s">
        <v>624</v>
      </c>
      <c r="CT180" t="s">
        <v>638</v>
      </c>
      <c r="CU180">
        <v>0</v>
      </c>
    </row>
    <row r="181" spans="2:99">
      <c r="B181" t="s">
        <v>639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650</v>
      </c>
      <c r="CS181" t="s">
        <v>624</v>
      </c>
      <c r="CT181" t="s">
        <v>624</v>
      </c>
      <c r="CU181">
        <v>17</v>
      </c>
    </row>
    <row r="182" spans="2:99">
      <c r="B182" t="s">
        <v>639</v>
      </c>
      <c r="C182" t="s">
        <v>649</v>
      </c>
      <c r="D182">
        <v>27</v>
      </c>
      <c r="E182" s="604">
        <v>330</v>
      </c>
      <c r="F182">
        <v>69</v>
      </c>
      <c r="CQ182" t="s">
        <v>49</v>
      </c>
      <c r="CR182" t="s">
        <v>617</v>
      </c>
    </row>
    <row r="183" spans="2:99">
      <c r="B183" t="s">
        <v>639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617</v>
      </c>
      <c r="CS183" t="s">
        <v>613</v>
      </c>
    </row>
    <row r="184" spans="2:99">
      <c r="B184" t="s">
        <v>639</v>
      </c>
      <c r="C184" t="s">
        <v>518</v>
      </c>
      <c r="E184">
        <v>52</v>
      </c>
      <c r="F184">
        <v>17</v>
      </c>
      <c r="CQ184" t="s">
        <v>49</v>
      </c>
      <c r="CR184" t="s">
        <v>617</v>
      </c>
      <c r="CS184" t="s">
        <v>49</v>
      </c>
      <c r="CT184" t="s">
        <v>613</v>
      </c>
      <c r="CU184">
        <v>126107</v>
      </c>
    </row>
    <row r="185" spans="2:99">
      <c r="B185" t="s">
        <v>639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617</v>
      </c>
      <c r="CS185" t="s">
        <v>49</v>
      </c>
      <c r="CT185" t="s">
        <v>632</v>
      </c>
      <c r="CU185">
        <v>2346</v>
      </c>
    </row>
    <row r="186" spans="2:99">
      <c r="B186" t="s">
        <v>639</v>
      </c>
      <c r="C186" t="s">
        <v>568</v>
      </c>
      <c r="E186">
        <v>2</v>
      </c>
      <c r="F186">
        <v>8</v>
      </c>
      <c r="CQ186" t="s">
        <v>49</v>
      </c>
      <c r="CR186" t="s">
        <v>617</v>
      </c>
      <c r="CS186" t="s">
        <v>49</v>
      </c>
      <c r="CT186" t="s">
        <v>633</v>
      </c>
      <c r="CU186">
        <v>45409</v>
      </c>
    </row>
    <row r="187" spans="2:99">
      <c r="B187" t="s">
        <v>639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617</v>
      </c>
      <c r="CS187" t="s">
        <v>49</v>
      </c>
      <c r="CT187" t="s">
        <v>634</v>
      </c>
      <c r="CU187">
        <v>52319</v>
      </c>
    </row>
    <row r="188" spans="2:99">
      <c r="B188" t="s">
        <v>639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617</v>
      </c>
      <c r="CS188" t="s">
        <v>49</v>
      </c>
      <c r="CT188" t="s">
        <v>164</v>
      </c>
      <c r="CU188">
        <v>5334</v>
      </c>
    </row>
    <row r="189" spans="2:99">
      <c r="B189" t="s">
        <v>639</v>
      </c>
      <c r="C189" t="s">
        <v>516</v>
      </c>
      <c r="E189">
        <v>44</v>
      </c>
      <c r="F189">
        <v>17</v>
      </c>
      <c r="CQ189" t="s">
        <v>49</v>
      </c>
      <c r="CR189" t="s">
        <v>617</v>
      </c>
      <c r="CS189" t="s">
        <v>49</v>
      </c>
      <c r="CT189" t="s">
        <v>647</v>
      </c>
      <c r="CU189">
        <v>8187</v>
      </c>
    </row>
    <row r="190" spans="2:99">
      <c r="B190" t="s">
        <v>640</v>
      </c>
      <c r="D190" s="604">
        <v>3321</v>
      </c>
      <c r="E190">
        <v>227</v>
      </c>
      <c r="F190">
        <v>43</v>
      </c>
      <c r="CQ190" t="s">
        <v>49</v>
      </c>
      <c r="CR190" t="s">
        <v>617</v>
      </c>
      <c r="CS190" t="s">
        <v>49</v>
      </c>
      <c r="CT190" t="s">
        <v>635</v>
      </c>
      <c r="CU190">
        <v>8789</v>
      </c>
    </row>
    <row r="191" spans="2:99">
      <c r="B191" t="s">
        <v>640</v>
      </c>
      <c r="C191" t="s">
        <v>489</v>
      </c>
      <c r="D191">
        <v>1</v>
      </c>
      <c r="E191" s="604"/>
      <c r="CQ191" t="s">
        <v>49</v>
      </c>
      <c r="CR191" t="s">
        <v>617</v>
      </c>
      <c r="CS191" t="s">
        <v>49</v>
      </c>
      <c r="CT191" t="s">
        <v>636</v>
      </c>
      <c r="CU191">
        <v>310</v>
      </c>
    </row>
    <row r="192" spans="2:99">
      <c r="B192" t="s">
        <v>640</v>
      </c>
      <c r="C192" t="s">
        <v>490</v>
      </c>
      <c r="D192" s="604">
        <v>1</v>
      </c>
      <c r="E192" s="604"/>
      <c r="F192" s="604"/>
      <c r="CQ192" t="s">
        <v>49</v>
      </c>
      <c r="CR192" t="s">
        <v>617</v>
      </c>
      <c r="CS192" t="s">
        <v>49</v>
      </c>
      <c r="CT192" t="s">
        <v>637</v>
      </c>
      <c r="CU192">
        <v>2440</v>
      </c>
    </row>
    <row r="193" spans="2:99">
      <c r="B193" t="s">
        <v>640</v>
      </c>
      <c r="C193" t="s">
        <v>512</v>
      </c>
      <c r="E193">
        <v>1</v>
      </c>
      <c r="F193">
        <v>7</v>
      </c>
      <c r="CQ193" t="s">
        <v>49</v>
      </c>
      <c r="CR193" t="s">
        <v>617</v>
      </c>
      <c r="CS193" t="s">
        <v>49</v>
      </c>
      <c r="CT193" t="s">
        <v>638</v>
      </c>
      <c r="CU193">
        <v>386</v>
      </c>
    </row>
    <row r="194" spans="2:99">
      <c r="B194" t="s">
        <v>640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617</v>
      </c>
      <c r="CS194" t="s">
        <v>49</v>
      </c>
      <c r="CT194" t="s">
        <v>624</v>
      </c>
      <c r="CU194">
        <v>587</v>
      </c>
    </row>
    <row r="195" spans="2:99">
      <c r="B195" t="s">
        <v>640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617</v>
      </c>
      <c r="CS195" t="s">
        <v>55</v>
      </c>
    </row>
    <row r="196" spans="2:99">
      <c r="B196" t="s">
        <v>640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617</v>
      </c>
      <c r="CS196" t="s">
        <v>55</v>
      </c>
      <c r="CT196" t="s">
        <v>613</v>
      </c>
      <c r="CU196">
        <v>42427</v>
      </c>
    </row>
    <row r="197" spans="2:99">
      <c r="B197" t="s">
        <v>640</v>
      </c>
      <c r="C197" t="s">
        <v>514</v>
      </c>
      <c r="F197">
        <v>3</v>
      </c>
      <c r="CQ197" t="s">
        <v>49</v>
      </c>
      <c r="CR197" t="s">
        <v>617</v>
      </c>
      <c r="CS197" t="s">
        <v>55</v>
      </c>
      <c r="CT197" t="s">
        <v>632</v>
      </c>
      <c r="CU197">
        <v>834</v>
      </c>
    </row>
    <row r="198" spans="2:99">
      <c r="B198" t="s">
        <v>640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617</v>
      </c>
      <c r="CS198" t="s">
        <v>55</v>
      </c>
      <c r="CT198" t="s">
        <v>633</v>
      </c>
      <c r="CU198">
        <v>23868</v>
      </c>
    </row>
    <row r="199" spans="2:99">
      <c r="B199" t="s">
        <v>640</v>
      </c>
      <c r="C199" t="s">
        <v>649</v>
      </c>
      <c r="F199">
        <v>3</v>
      </c>
      <c r="CQ199" t="s">
        <v>49</v>
      </c>
      <c r="CR199" t="s">
        <v>617</v>
      </c>
      <c r="CS199" t="s">
        <v>55</v>
      </c>
      <c r="CT199" t="s">
        <v>634</v>
      </c>
      <c r="CU199">
        <v>4865</v>
      </c>
    </row>
    <row r="200" spans="2:99">
      <c r="B200" t="s">
        <v>640</v>
      </c>
      <c r="C200" t="s">
        <v>518</v>
      </c>
      <c r="F200">
        <v>1</v>
      </c>
      <c r="CQ200" t="s">
        <v>49</v>
      </c>
      <c r="CR200" t="s">
        <v>617</v>
      </c>
      <c r="CS200" t="s">
        <v>55</v>
      </c>
      <c r="CT200" t="s">
        <v>164</v>
      </c>
      <c r="CU200">
        <v>864</v>
      </c>
    </row>
    <row r="201" spans="2:99">
      <c r="B201" t="s">
        <v>640</v>
      </c>
      <c r="C201" t="s">
        <v>513</v>
      </c>
      <c r="E201">
        <v>9</v>
      </c>
      <c r="F201">
        <v>35</v>
      </c>
      <c r="CQ201" t="s">
        <v>49</v>
      </c>
      <c r="CR201" t="s">
        <v>617</v>
      </c>
      <c r="CS201" t="s">
        <v>55</v>
      </c>
      <c r="CT201" t="s">
        <v>647</v>
      </c>
      <c r="CU201">
        <v>3293</v>
      </c>
    </row>
    <row r="202" spans="2:99">
      <c r="B202" t="s">
        <v>640</v>
      </c>
      <c r="C202" t="s">
        <v>568</v>
      </c>
      <c r="F202">
        <v>1</v>
      </c>
      <c r="CQ202" t="s">
        <v>49</v>
      </c>
      <c r="CR202" t="s">
        <v>617</v>
      </c>
      <c r="CS202" t="s">
        <v>55</v>
      </c>
      <c r="CT202" t="s">
        <v>635</v>
      </c>
      <c r="CU202">
        <v>6483</v>
      </c>
    </row>
    <row r="203" spans="2:99">
      <c r="B203" t="s">
        <v>640</v>
      </c>
      <c r="C203" t="s">
        <v>520</v>
      </c>
      <c r="F203">
        <v>27</v>
      </c>
      <c r="CQ203" t="s">
        <v>49</v>
      </c>
      <c r="CR203" t="s">
        <v>617</v>
      </c>
      <c r="CS203" t="s">
        <v>55</v>
      </c>
      <c r="CT203" t="s">
        <v>636</v>
      </c>
      <c r="CU203">
        <v>185</v>
      </c>
    </row>
    <row r="204" spans="2:99">
      <c r="B204" t="s">
        <v>640</v>
      </c>
      <c r="C204" t="s">
        <v>494</v>
      </c>
      <c r="E204">
        <v>10</v>
      </c>
      <c r="F204">
        <v>22</v>
      </c>
      <c r="CQ204" t="s">
        <v>49</v>
      </c>
      <c r="CR204" t="s">
        <v>617</v>
      </c>
      <c r="CS204" t="s">
        <v>55</v>
      </c>
      <c r="CT204" t="s">
        <v>637</v>
      </c>
      <c r="CU204">
        <v>1648</v>
      </c>
    </row>
    <row r="205" spans="2:99">
      <c r="B205" t="s">
        <v>640</v>
      </c>
      <c r="C205" t="s">
        <v>516</v>
      </c>
      <c r="F205">
        <v>1</v>
      </c>
      <c r="CQ205" t="s">
        <v>49</v>
      </c>
      <c r="CR205" t="s">
        <v>617</v>
      </c>
      <c r="CS205" t="s">
        <v>55</v>
      </c>
      <c r="CT205" t="s">
        <v>638</v>
      </c>
      <c r="CU205">
        <v>192</v>
      </c>
    </row>
    <row r="206" spans="2:99">
      <c r="CQ206" t="s">
        <v>49</v>
      </c>
      <c r="CR206" t="s">
        <v>617</v>
      </c>
      <c r="CS206" t="s">
        <v>55</v>
      </c>
      <c r="CT206" t="s">
        <v>624</v>
      </c>
      <c r="CU206">
        <v>195</v>
      </c>
    </row>
    <row r="207" spans="2:99">
      <c r="CQ207" t="s">
        <v>49</v>
      </c>
      <c r="CR207" t="s">
        <v>617</v>
      </c>
      <c r="CS207" t="s">
        <v>53</v>
      </c>
    </row>
    <row r="208" spans="2:99">
      <c r="CQ208" t="s">
        <v>49</v>
      </c>
      <c r="CR208" t="s">
        <v>617</v>
      </c>
      <c r="CS208" t="s">
        <v>53</v>
      </c>
      <c r="CT208" t="s">
        <v>613</v>
      </c>
      <c r="CU208">
        <v>39121</v>
      </c>
    </row>
    <row r="209" spans="95:99">
      <c r="CQ209" t="s">
        <v>49</v>
      </c>
      <c r="CR209" t="s">
        <v>617</v>
      </c>
      <c r="CS209" t="s">
        <v>53</v>
      </c>
      <c r="CT209" t="s">
        <v>632</v>
      </c>
      <c r="CU209">
        <v>499</v>
      </c>
    </row>
    <row r="210" spans="95:99">
      <c r="CQ210" t="s">
        <v>49</v>
      </c>
      <c r="CR210" t="s">
        <v>617</v>
      </c>
      <c r="CS210" t="s">
        <v>53</v>
      </c>
      <c r="CT210" t="s">
        <v>633</v>
      </c>
      <c r="CU210">
        <v>11993</v>
      </c>
    </row>
    <row r="211" spans="95:99">
      <c r="CQ211" t="s">
        <v>49</v>
      </c>
      <c r="CR211" t="s">
        <v>617</v>
      </c>
      <c r="CS211" t="s">
        <v>53</v>
      </c>
      <c r="CT211" t="s">
        <v>634</v>
      </c>
      <c r="CU211">
        <v>21486</v>
      </c>
    </row>
    <row r="212" spans="95:99">
      <c r="CQ212" t="s">
        <v>49</v>
      </c>
      <c r="CR212" t="s">
        <v>617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617</v>
      </c>
      <c r="CS213" t="s">
        <v>53</v>
      </c>
      <c r="CT213" t="s">
        <v>647</v>
      </c>
      <c r="CU213">
        <v>1969</v>
      </c>
    </row>
    <row r="214" spans="95:99">
      <c r="CQ214" t="s">
        <v>49</v>
      </c>
      <c r="CR214" t="s">
        <v>617</v>
      </c>
      <c r="CS214" t="s">
        <v>53</v>
      </c>
      <c r="CT214" t="s">
        <v>635</v>
      </c>
      <c r="CU214">
        <v>1282</v>
      </c>
    </row>
    <row r="215" spans="95:99">
      <c r="CQ215" t="s">
        <v>49</v>
      </c>
      <c r="CR215" t="s">
        <v>617</v>
      </c>
      <c r="CS215" t="s">
        <v>53</v>
      </c>
      <c r="CT215" t="s">
        <v>636</v>
      </c>
      <c r="CU215">
        <v>64</v>
      </c>
    </row>
    <row r="216" spans="95:99">
      <c r="CQ216" t="s">
        <v>49</v>
      </c>
      <c r="CR216" t="s">
        <v>617</v>
      </c>
      <c r="CS216" t="s">
        <v>53</v>
      </c>
      <c r="CT216" t="s">
        <v>637</v>
      </c>
      <c r="CU216">
        <v>423</v>
      </c>
    </row>
    <row r="217" spans="95:99">
      <c r="CQ217" t="s">
        <v>49</v>
      </c>
      <c r="CR217" t="s">
        <v>617</v>
      </c>
      <c r="CS217" t="s">
        <v>53</v>
      </c>
      <c r="CT217" t="s">
        <v>638</v>
      </c>
      <c r="CU217">
        <v>91</v>
      </c>
    </row>
    <row r="218" spans="95:99">
      <c r="CQ218" t="s">
        <v>49</v>
      </c>
      <c r="CR218" t="s">
        <v>617</v>
      </c>
      <c r="CS218" t="s">
        <v>53</v>
      </c>
      <c r="CT218" t="s">
        <v>624</v>
      </c>
      <c r="CU218">
        <v>177</v>
      </c>
    </row>
    <row r="219" spans="95:99">
      <c r="CQ219" t="s">
        <v>49</v>
      </c>
      <c r="CR219" t="s">
        <v>617</v>
      </c>
      <c r="CS219" t="s">
        <v>53</v>
      </c>
    </row>
    <row r="220" spans="95:99">
      <c r="CQ220" t="s">
        <v>49</v>
      </c>
      <c r="CR220" t="s">
        <v>617</v>
      </c>
      <c r="CS220" t="s">
        <v>53</v>
      </c>
      <c r="CT220" t="s">
        <v>613</v>
      </c>
      <c r="CU220">
        <v>38410</v>
      </c>
    </row>
    <row r="221" spans="95:99">
      <c r="CQ221" t="s">
        <v>49</v>
      </c>
      <c r="CR221" t="s">
        <v>617</v>
      </c>
      <c r="CS221" t="s">
        <v>53</v>
      </c>
      <c r="CT221" t="s">
        <v>632</v>
      </c>
      <c r="CU221">
        <v>787</v>
      </c>
    </row>
    <row r="222" spans="95:99">
      <c r="CQ222" t="s">
        <v>49</v>
      </c>
      <c r="CR222" t="s">
        <v>617</v>
      </c>
      <c r="CS222" t="s">
        <v>53</v>
      </c>
      <c r="CT222" t="s">
        <v>633</v>
      </c>
      <c r="CU222">
        <v>8816</v>
      </c>
    </row>
    <row r="223" spans="95:99">
      <c r="CQ223" t="s">
        <v>49</v>
      </c>
      <c r="CR223" t="s">
        <v>617</v>
      </c>
      <c r="CS223" t="s">
        <v>53</v>
      </c>
      <c r="CT223" t="s">
        <v>634</v>
      </c>
      <c r="CU223">
        <v>22951</v>
      </c>
    </row>
    <row r="224" spans="95:99">
      <c r="CQ224" t="s">
        <v>49</v>
      </c>
      <c r="CR224" t="s">
        <v>617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617</v>
      </c>
      <c r="CS225" t="s">
        <v>53</v>
      </c>
      <c r="CT225" t="s">
        <v>647</v>
      </c>
      <c r="CU225">
        <v>2750</v>
      </c>
    </row>
    <row r="226" spans="95:99">
      <c r="CQ226" t="s">
        <v>49</v>
      </c>
      <c r="CR226" t="s">
        <v>617</v>
      </c>
      <c r="CS226" t="s">
        <v>53</v>
      </c>
      <c r="CT226" t="s">
        <v>635</v>
      </c>
      <c r="CU226">
        <v>920</v>
      </c>
    </row>
    <row r="227" spans="95:99">
      <c r="CQ227" t="s">
        <v>49</v>
      </c>
      <c r="CR227" t="s">
        <v>617</v>
      </c>
      <c r="CS227" t="s">
        <v>53</v>
      </c>
      <c r="CT227" t="s">
        <v>636</v>
      </c>
      <c r="CU227">
        <v>48</v>
      </c>
    </row>
    <row r="228" spans="95:99">
      <c r="CQ228" t="s">
        <v>49</v>
      </c>
      <c r="CR228" t="s">
        <v>617</v>
      </c>
      <c r="CS228" t="s">
        <v>53</v>
      </c>
      <c r="CT228" t="s">
        <v>637</v>
      </c>
      <c r="CU228">
        <v>333</v>
      </c>
    </row>
    <row r="229" spans="95:99">
      <c r="CQ229" t="s">
        <v>49</v>
      </c>
      <c r="CR229" t="s">
        <v>617</v>
      </c>
      <c r="CS229" t="s">
        <v>53</v>
      </c>
      <c r="CT229" t="s">
        <v>638</v>
      </c>
      <c r="CU229">
        <v>72</v>
      </c>
    </row>
    <row r="230" spans="95:99">
      <c r="CQ230" t="s">
        <v>49</v>
      </c>
      <c r="CR230" t="s">
        <v>617</v>
      </c>
      <c r="CS230" t="s">
        <v>53</v>
      </c>
      <c r="CT230" t="s">
        <v>624</v>
      </c>
      <c r="CU230">
        <v>154</v>
      </c>
    </row>
    <row r="231" spans="95:99">
      <c r="CQ231" t="s">
        <v>49</v>
      </c>
      <c r="CR231" t="s">
        <v>617</v>
      </c>
      <c r="CS231" t="s">
        <v>343</v>
      </c>
    </row>
    <row r="232" spans="95:99">
      <c r="CQ232" t="s">
        <v>49</v>
      </c>
      <c r="CR232" t="s">
        <v>617</v>
      </c>
      <c r="CS232" t="s">
        <v>343</v>
      </c>
      <c r="CT232" t="s">
        <v>613</v>
      </c>
      <c r="CU232">
        <v>3415</v>
      </c>
    </row>
    <row r="233" spans="95:99">
      <c r="CQ233" t="s">
        <v>49</v>
      </c>
      <c r="CR233" t="s">
        <v>617</v>
      </c>
      <c r="CS233" t="s">
        <v>343</v>
      </c>
      <c r="CT233" t="s">
        <v>632</v>
      </c>
      <c r="CU233">
        <v>78</v>
      </c>
    </row>
    <row r="234" spans="95:99">
      <c r="CQ234" t="s">
        <v>49</v>
      </c>
      <c r="CR234" t="s">
        <v>617</v>
      </c>
      <c r="CS234" t="s">
        <v>343</v>
      </c>
      <c r="CT234" t="s">
        <v>633</v>
      </c>
      <c r="CU234">
        <v>182</v>
      </c>
    </row>
    <row r="235" spans="95:99">
      <c r="CQ235" t="s">
        <v>49</v>
      </c>
      <c r="CR235" t="s">
        <v>617</v>
      </c>
      <c r="CS235" t="s">
        <v>343</v>
      </c>
      <c r="CT235" t="s">
        <v>634</v>
      </c>
      <c r="CU235">
        <v>2264</v>
      </c>
    </row>
    <row r="236" spans="95:99">
      <c r="CQ236" t="s">
        <v>49</v>
      </c>
      <c r="CR236" t="s">
        <v>617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617</v>
      </c>
      <c r="CS237" t="s">
        <v>343</v>
      </c>
      <c r="CT237" t="s">
        <v>647</v>
      </c>
      <c r="CU237">
        <v>62</v>
      </c>
    </row>
    <row r="238" spans="95:99">
      <c r="CQ238" t="s">
        <v>49</v>
      </c>
      <c r="CR238" t="s">
        <v>617</v>
      </c>
      <c r="CS238" t="s">
        <v>343</v>
      </c>
      <c r="CT238" t="s">
        <v>635</v>
      </c>
      <c r="CU238">
        <v>15</v>
      </c>
    </row>
    <row r="239" spans="95:99">
      <c r="CQ239" t="s">
        <v>49</v>
      </c>
      <c r="CR239" t="s">
        <v>617</v>
      </c>
      <c r="CS239" t="s">
        <v>343</v>
      </c>
      <c r="CT239" t="s">
        <v>636</v>
      </c>
      <c r="CU239">
        <v>4</v>
      </c>
    </row>
    <row r="240" spans="95:99">
      <c r="CQ240" t="s">
        <v>49</v>
      </c>
      <c r="CR240" t="s">
        <v>617</v>
      </c>
      <c r="CS240" t="s">
        <v>343</v>
      </c>
      <c r="CT240" t="s">
        <v>637</v>
      </c>
      <c r="CU240">
        <v>10</v>
      </c>
    </row>
    <row r="241" spans="95:99">
      <c r="CQ241" t="s">
        <v>49</v>
      </c>
      <c r="CR241" t="s">
        <v>617</v>
      </c>
      <c r="CS241" t="s">
        <v>343</v>
      </c>
      <c r="CT241" t="s">
        <v>638</v>
      </c>
      <c r="CU241">
        <v>10</v>
      </c>
    </row>
    <row r="242" spans="95:99">
      <c r="CQ242" t="s">
        <v>49</v>
      </c>
      <c r="CR242" t="s">
        <v>617</v>
      </c>
      <c r="CS242" t="s">
        <v>343</v>
      </c>
      <c r="CT242" t="s">
        <v>624</v>
      </c>
      <c r="CU242">
        <v>26</v>
      </c>
    </row>
    <row r="243" spans="95:99">
      <c r="CQ243" t="s">
        <v>49</v>
      </c>
      <c r="CR243" t="s">
        <v>617</v>
      </c>
      <c r="CS243" t="s">
        <v>343</v>
      </c>
    </row>
    <row r="244" spans="95:99">
      <c r="CQ244" t="s">
        <v>49</v>
      </c>
      <c r="CR244" t="s">
        <v>617</v>
      </c>
      <c r="CS244" t="s">
        <v>343</v>
      </c>
      <c r="CT244" t="s">
        <v>613</v>
      </c>
      <c r="CU244">
        <v>1974</v>
      </c>
    </row>
    <row r="245" spans="95:99">
      <c r="CQ245" t="s">
        <v>49</v>
      </c>
      <c r="CR245" t="s">
        <v>617</v>
      </c>
      <c r="CS245" t="s">
        <v>343</v>
      </c>
      <c r="CT245" t="s">
        <v>632</v>
      </c>
      <c r="CU245">
        <v>134</v>
      </c>
    </row>
    <row r="246" spans="95:99">
      <c r="CQ246" t="s">
        <v>49</v>
      </c>
      <c r="CR246" t="s">
        <v>617</v>
      </c>
      <c r="CS246" t="s">
        <v>343</v>
      </c>
      <c r="CT246" t="s">
        <v>633</v>
      </c>
      <c r="CU246">
        <v>323</v>
      </c>
    </row>
    <row r="247" spans="95:99">
      <c r="CQ247" t="s">
        <v>49</v>
      </c>
      <c r="CR247" t="s">
        <v>617</v>
      </c>
      <c r="CS247" t="s">
        <v>343</v>
      </c>
      <c r="CT247" t="s">
        <v>634</v>
      </c>
      <c r="CU247">
        <v>466</v>
      </c>
    </row>
    <row r="248" spans="95:99">
      <c r="CQ248" t="s">
        <v>49</v>
      </c>
      <c r="CR248" t="s">
        <v>617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617</v>
      </c>
      <c r="CS249" t="s">
        <v>343</v>
      </c>
      <c r="CT249" t="s">
        <v>647</v>
      </c>
      <c r="CU249">
        <v>36</v>
      </c>
    </row>
    <row r="250" spans="95:99">
      <c r="CQ250" t="s">
        <v>49</v>
      </c>
      <c r="CR250" t="s">
        <v>617</v>
      </c>
      <c r="CS250" t="s">
        <v>343</v>
      </c>
      <c r="CT250" t="s">
        <v>635</v>
      </c>
      <c r="CU250">
        <v>22</v>
      </c>
    </row>
    <row r="251" spans="95:99">
      <c r="CQ251" t="s">
        <v>49</v>
      </c>
      <c r="CR251" t="s">
        <v>617</v>
      </c>
      <c r="CS251" t="s">
        <v>343</v>
      </c>
      <c r="CT251" t="s">
        <v>636</v>
      </c>
      <c r="CU251">
        <v>8</v>
      </c>
    </row>
    <row r="252" spans="95:99">
      <c r="CQ252" t="s">
        <v>49</v>
      </c>
      <c r="CR252" t="s">
        <v>617</v>
      </c>
      <c r="CS252" t="s">
        <v>343</v>
      </c>
      <c r="CT252" t="s">
        <v>637</v>
      </c>
      <c r="CU252">
        <v>9</v>
      </c>
    </row>
    <row r="253" spans="95:99">
      <c r="CQ253" t="s">
        <v>49</v>
      </c>
      <c r="CR253" t="s">
        <v>617</v>
      </c>
      <c r="CS253" t="s">
        <v>343</v>
      </c>
      <c r="CT253" t="s">
        <v>638</v>
      </c>
      <c r="CU253">
        <v>20</v>
      </c>
    </row>
    <row r="254" spans="95:99">
      <c r="CQ254" t="s">
        <v>49</v>
      </c>
      <c r="CR254" t="s">
        <v>617</v>
      </c>
      <c r="CS254" t="s">
        <v>343</v>
      </c>
      <c r="CT254" t="s">
        <v>624</v>
      </c>
      <c r="CU254">
        <v>10</v>
      </c>
    </row>
    <row r="255" spans="95:99">
      <c r="CQ255" t="s">
        <v>49</v>
      </c>
      <c r="CR255" t="s">
        <v>617</v>
      </c>
      <c r="CS255" t="s">
        <v>624</v>
      </c>
    </row>
    <row r="256" spans="95:99">
      <c r="CQ256" t="s">
        <v>49</v>
      </c>
      <c r="CR256" t="s">
        <v>617</v>
      </c>
      <c r="CS256" t="s">
        <v>624</v>
      </c>
      <c r="CT256" t="s">
        <v>613</v>
      </c>
      <c r="CU256">
        <v>760</v>
      </c>
    </row>
    <row r="257" spans="95:99">
      <c r="CQ257" t="s">
        <v>49</v>
      </c>
      <c r="CR257" t="s">
        <v>617</v>
      </c>
      <c r="CS257" t="s">
        <v>624</v>
      </c>
      <c r="CT257" t="s">
        <v>632</v>
      </c>
      <c r="CU257">
        <v>14</v>
      </c>
    </row>
    <row r="258" spans="95:99">
      <c r="CQ258" t="s">
        <v>49</v>
      </c>
      <c r="CR258" t="s">
        <v>617</v>
      </c>
      <c r="CS258" t="s">
        <v>624</v>
      </c>
      <c r="CT258" t="s">
        <v>633</v>
      </c>
      <c r="CU258">
        <v>227</v>
      </c>
    </row>
    <row r="259" spans="95:99">
      <c r="CQ259" t="s">
        <v>49</v>
      </c>
      <c r="CR259" t="s">
        <v>617</v>
      </c>
      <c r="CS259" t="s">
        <v>624</v>
      </c>
      <c r="CT259" t="s">
        <v>634</v>
      </c>
      <c r="CU259">
        <v>287</v>
      </c>
    </row>
    <row r="260" spans="95:99">
      <c r="CQ260" t="s">
        <v>49</v>
      </c>
      <c r="CR260" t="s">
        <v>617</v>
      </c>
      <c r="CS260" t="s">
        <v>624</v>
      </c>
      <c r="CT260" t="s">
        <v>164</v>
      </c>
      <c r="CU260">
        <v>44</v>
      </c>
    </row>
    <row r="261" spans="95:99">
      <c r="CQ261" t="s">
        <v>49</v>
      </c>
      <c r="CR261" t="s">
        <v>617</v>
      </c>
      <c r="CS261" t="s">
        <v>624</v>
      </c>
      <c r="CT261" t="s">
        <v>647</v>
      </c>
      <c r="CU261">
        <v>77</v>
      </c>
    </row>
    <row r="262" spans="95:99">
      <c r="CQ262" t="s">
        <v>49</v>
      </c>
      <c r="CR262" t="s">
        <v>617</v>
      </c>
      <c r="CS262" t="s">
        <v>624</v>
      </c>
      <c r="CT262" t="s">
        <v>635</v>
      </c>
      <c r="CU262">
        <v>67</v>
      </c>
    </row>
    <row r="263" spans="95:99">
      <c r="CQ263" t="s">
        <v>49</v>
      </c>
      <c r="CR263" t="s">
        <v>617</v>
      </c>
      <c r="CS263" t="s">
        <v>624</v>
      </c>
      <c r="CT263" t="s">
        <v>636</v>
      </c>
      <c r="CU263">
        <v>1</v>
      </c>
    </row>
    <row r="264" spans="95:99">
      <c r="CQ264" t="s">
        <v>49</v>
      </c>
      <c r="CR264" t="s">
        <v>617</v>
      </c>
      <c r="CS264" t="s">
        <v>624</v>
      </c>
      <c r="CT264" t="s">
        <v>637</v>
      </c>
      <c r="CU264">
        <v>17</v>
      </c>
    </row>
    <row r="265" spans="95:99">
      <c r="CQ265" t="s">
        <v>49</v>
      </c>
      <c r="CR265" t="s">
        <v>617</v>
      </c>
      <c r="CS265" t="s">
        <v>624</v>
      </c>
      <c r="CT265" t="s">
        <v>638</v>
      </c>
      <c r="CU265">
        <v>1</v>
      </c>
    </row>
    <row r="266" spans="95:99">
      <c r="CQ266" t="s">
        <v>49</v>
      </c>
      <c r="CR266" t="s">
        <v>617</v>
      </c>
      <c r="CS266" t="s">
        <v>624</v>
      </c>
      <c r="CT266" t="s">
        <v>624</v>
      </c>
      <c r="CU266">
        <v>25</v>
      </c>
    </row>
    <row r="267" spans="95:99">
      <c r="CQ267" t="s">
        <v>49</v>
      </c>
      <c r="CR267" t="s">
        <v>618</v>
      </c>
    </row>
    <row r="268" spans="95:99">
      <c r="CQ268" t="s">
        <v>49</v>
      </c>
      <c r="CR268" t="s">
        <v>618</v>
      </c>
      <c r="CS268" t="s">
        <v>613</v>
      </c>
    </row>
    <row r="269" spans="95:99">
      <c r="CQ269" t="s">
        <v>49</v>
      </c>
      <c r="CR269" t="s">
        <v>618</v>
      </c>
      <c r="CS269" t="s">
        <v>49</v>
      </c>
      <c r="CT269" t="s">
        <v>613</v>
      </c>
      <c r="CU269">
        <v>116041</v>
      </c>
    </row>
    <row r="270" spans="95:99">
      <c r="CQ270" t="s">
        <v>49</v>
      </c>
      <c r="CR270" t="s">
        <v>618</v>
      </c>
      <c r="CS270" t="s">
        <v>49</v>
      </c>
      <c r="CT270" t="s">
        <v>632</v>
      </c>
      <c r="CU270">
        <v>1455</v>
      </c>
    </row>
    <row r="271" spans="95:99">
      <c r="CQ271" t="s">
        <v>49</v>
      </c>
      <c r="CR271" t="s">
        <v>618</v>
      </c>
      <c r="CS271" t="s">
        <v>49</v>
      </c>
      <c r="CT271" t="s">
        <v>633</v>
      </c>
      <c r="CU271">
        <v>49346</v>
      </c>
    </row>
    <row r="272" spans="95:99">
      <c r="CQ272" t="s">
        <v>49</v>
      </c>
      <c r="CR272" t="s">
        <v>618</v>
      </c>
      <c r="CS272" t="s">
        <v>49</v>
      </c>
      <c r="CT272" t="s">
        <v>634</v>
      </c>
      <c r="CU272">
        <v>45221</v>
      </c>
    </row>
    <row r="273" spans="95:99">
      <c r="CQ273" t="s">
        <v>49</v>
      </c>
      <c r="CR273" t="s">
        <v>618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618</v>
      </c>
      <c r="CS274" t="s">
        <v>49</v>
      </c>
      <c r="CT274" t="s">
        <v>647</v>
      </c>
      <c r="CU274">
        <v>6401</v>
      </c>
    </row>
    <row r="275" spans="95:99">
      <c r="CQ275" t="s">
        <v>49</v>
      </c>
      <c r="CR275" t="s">
        <v>618</v>
      </c>
      <c r="CS275" t="s">
        <v>49</v>
      </c>
      <c r="CT275" t="s">
        <v>635</v>
      </c>
      <c r="CU275">
        <v>5888</v>
      </c>
    </row>
    <row r="276" spans="95:99">
      <c r="CQ276" t="s">
        <v>49</v>
      </c>
      <c r="CR276" t="s">
        <v>618</v>
      </c>
      <c r="CS276" t="s">
        <v>49</v>
      </c>
      <c r="CT276" t="s">
        <v>636</v>
      </c>
      <c r="CU276">
        <v>443</v>
      </c>
    </row>
    <row r="277" spans="95:99">
      <c r="CQ277" t="s">
        <v>49</v>
      </c>
      <c r="CR277" t="s">
        <v>618</v>
      </c>
      <c r="CS277" t="s">
        <v>49</v>
      </c>
      <c r="CT277" t="s">
        <v>637</v>
      </c>
      <c r="CU277">
        <v>1688</v>
      </c>
    </row>
    <row r="278" spans="95:99">
      <c r="CQ278" t="s">
        <v>49</v>
      </c>
      <c r="CR278" t="s">
        <v>618</v>
      </c>
      <c r="CS278" t="s">
        <v>49</v>
      </c>
      <c r="CT278" t="s">
        <v>638</v>
      </c>
      <c r="CU278">
        <v>329</v>
      </c>
    </row>
    <row r="279" spans="95:99">
      <c r="CQ279" t="s">
        <v>49</v>
      </c>
      <c r="CR279" t="s">
        <v>618</v>
      </c>
      <c r="CS279" t="s">
        <v>49</v>
      </c>
      <c r="CT279" t="s">
        <v>624</v>
      </c>
      <c r="CU279">
        <v>550</v>
      </c>
    </row>
    <row r="280" spans="95:99">
      <c r="CQ280" t="s">
        <v>49</v>
      </c>
      <c r="CR280" t="s">
        <v>618</v>
      </c>
      <c r="CS280" t="s">
        <v>55</v>
      </c>
    </row>
    <row r="281" spans="95:99">
      <c r="CQ281" t="s">
        <v>49</v>
      </c>
      <c r="CR281" t="s">
        <v>618</v>
      </c>
      <c r="CS281" t="s">
        <v>55</v>
      </c>
      <c r="CT281" t="s">
        <v>613</v>
      </c>
      <c r="CU281">
        <v>42221</v>
      </c>
    </row>
    <row r="282" spans="95:99">
      <c r="CQ282" t="s">
        <v>49</v>
      </c>
      <c r="CR282" t="s">
        <v>618</v>
      </c>
      <c r="CS282" t="s">
        <v>55</v>
      </c>
      <c r="CT282" t="s">
        <v>632</v>
      </c>
      <c r="CU282">
        <v>492</v>
      </c>
    </row>
    <row r="283" spans="95:99">
      <c r="CQ283" t="s">
        <v>49</v>
      </c>
      <c r="CR283" t="s">
        <v>618</v>
      </c>
      <c r="CS283" t="s">
        <v>55</v>
      </c>
      <c r="CT283" t="s">
        <v>633</v>
      </c>
      <c r="CU283">
        <v>26248</v>
      </c>
    </row>
    <row r="284" spans="95:99">
      <c r="CQ284" t="s">
        <v>49</v>
      </c>
      <c r="CR284" t="s">
        <v>618</v>
      </c>
      <c r="CS284" t="s">
        <v>55</v>
      </c>
      <c r="CT284" t="s">
        <v>634</v>
      </c>
      <c r="CU284">
        <v>6182</v>
      </c>
    </row>
    <row r="285" spans="95:99">
      <c r="CQ285" t="s">
        <v>49</v>
      </c>
      <c r="CR285" t="s">
        <v>618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618</v>
      </c>
      <c r="CS286" t="s">
        <v>55</v>
      </c>
      <c r="CT286" t="s">
        <v>647</v>
      </c>
      <c r="CU286">
        <v>2338</v>
      </c>
    </row>
    <row r="287" spans="95:99">
      <c r="CQ287" t="s">
        <v>49</v>
      </c>
      <c r="CR287" t="s">
        <v>618</v>
      </c>
      <c r="CS287" t="s">
        <v>55</v>
      </c>
      <c r="CT287" t="s">
        <v>635</v>
      </c>
      <c r="CU287">
        <v>4315</v>
      </c>
    </row>
    <row r="288" spans="95:99">
      <c r="CQ288" t="s">
        <v>49</v>
      </c>
      <c r="CR288" t="s">
        <v>618</v>
      </c>
      <c r="CS288" t="s">
        <v>55</v>
      </c>
      <c r="CT288" t="s">
        <v>636</v>
      </c>
      <c r="CU288">
        <v>298</v>
      </c>
    </row>
    <row r="289" spans="95:99">
      <c r="CQ289" t="s">
        <v>49</v>
      </c>
      <c r="CR289" t="s">
        <v>618</v>
      </c>
      <c r="CS289" t="s">
        <v>55</v>
      </c>
      <c r="CT289" t="s">
        <v>637</v>
      </c>
      <c r="CU289">
        <v>1142</v>
      </c>
    </row>
    <row r="290" spans="95:99">
      <c r="CQ290" t="s">
        <v>49</v>
      </c>
      <c r="CR290" t="s">
        <v>618</v>
      </c>
      <c r="CS290" t="s">
        <v>55</v>
      </c>
      <c r="CT290" t="s">
        <v>638</v>
      </c>
      <c r="CU290">
        <v>160</v>
      </c>
    </row>
    <row r="291" spans="95:99">
      <c r="CQ291" t="s">
        <v>49</v>
      </c>
      <c r="CR291" t="s">
        <v>618</v>
      </c>
      <c r="CS291" t="s">
        <v>55</v>
      </c>
      <c r="CT291" t="s">
        <v>624</v>
      </c>
      <c r="CU291">
        <v>190</v>
      </c>
    </row>
    <row r="292" spans="95:99">
      <c r="CQ292" t="s">
        <v>49</v>
      </c>
      <c r="CR292" t="s">
        <v>618</v>
      </c>
      <c r="CS292" t="s">
        <v>53</v>
      </c>
    </row>
    <row r="293" spans="95:99">
      <c r="CQ293" t="s">
        <v>49</v>
      </c>
      <c r="CR293" t="s">
        <v>618</v>
      </c>
      <c r="CS293" t="s">
        <v>53</v>
      </c>
      <c r="CT293" t="s">
        <v>613</v>
      </c>
      <c r="CU293">
        <v>43364</v>
      </c>
    </row>
    <row r="294" spans="95:99">
      <c r="CQ294" t="s">
        <v>49</v>
      </c>
      <c r="CR294" t="s">
        <v>618</v>
      </c>
      <c r="CS294" t="s">
        <v>53</v>
      </c>
      <c r="CT294" t="s">
        <v>632</v>
      </c>
      <c r="CU294">
        <v>342</v>
      </c>
    </row>
    <row r="295" spans="95:99">
      <c r="CQ295" t="s">
        <v>49</v>
      </c>
      <c r="CR295" t="s">
        <v>618</v>
      </c>
      <c r="CS295" t="s">
        <v>53</v>
      </c>
      <c r="CT295" t="s">
        <v>633</v>
      </c>
      <c r="CU295">
        <v>15757</v>
      </c>
    </row>
    <row r="296" spans="95:99">
      <c r="CQ296" t="s">
        <v>49</v>
      </c>
      <c r="CR296" t="s">
        <v>618</v>
      </c>
      <c r="CS296" t="s">
        <v>53</v>
      </c>
      <c r="CT296" t="s">
        <v>634</v>
      </c>
      <c r="CU296">
        <v>22945</v>
      </c>
    </row>
    <row r="297" spans="95:99">
      <c r="CQ297" t="s">
        <v>49</v>
      </c>
      <c r="CR297" t="s">
        <v>618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618</v>
      </c>
      <c r="CS298" t="s">
        <v>53</v>
      </c>
      <c r="CT298" t="s">
        <v>647</v>
      </c>
      <c r="CU298">
        <v>1779</v>
      </c>
    </row>
    <row r="299" spans="95:99">
      <c r="CQ299" t="s">
        <v>49</v>
      </c>
      <c r="CR299" t="s">
        <v>618</v>
      </c>
      <c r="CS299" t="s">
        <v>53</v>
      </c>
      <c r="CT299" t="s">
        <v>635</v>
      </c>
      <c r="CU299">
        <v>835</v>
      </c>
    </row>
    <row r="300" spans="95:99">
      <c r="CQ300" t="s">
        <v>49</v>
      </c>
      <c r="CR300" t="s">
        <v>618</v>
      </c>
      <c r="CS300" t="s">
        <v>53</v>
      </c>
      <c r="CT300" t="s">
        <v>636</v>
      </c>
      <c r="CU300">
        <v>99</v>
      </c>
    </row>
    <row r="301" spans="95:99">
      <c r="CQ301" t="s">
        <v>49</v>
      </c>
      <c r="CR301" t="s">
        <v>618</v>
      </c>
      <c r="CS301" t="s">
        <v>53</v>
      </c>
      <c r="CT301" t="s">
        <v>637</v>
      </c>
      <c r="CU301">
        <v>322</v>
      </c>
    </row>
    <row r="302" spans="95:99">
      <c r="CQ302" t="s">
        <v>49</v>
      </c>
      <c r="CR302" t="s">
        <v>618</v>
      </c>
      <c r="CS302" t="s">
        <v>53</v>
      </c>
      <c r="CT302" t="s">
        <v>638</v>
      </c>
      <c r="CU302">
        <v>76</v>
      </c>
    </row>
    <row r="303" spans="95:99">
      <c r="CQ303" t="s">
        <v>49</v>
      </c>
      <c r="CR303" t="s">
        <v>618</v>
      </c>
      <c r="CS303" t="s">
        <v>53</v>
      </c>
      <c r="CT303" t="s">
        <v>624</v>
      </c>
      <c r="CU303">
        <v>158</v>
      </c>
    </row>
    <row r="304" spans="95:99">
      <c r="CQ304" t="s">
        <v>49</v>
      </c>
      <c r="CR304" t="s">
        <v>618</v>
      </c>
      <c r="CS304" t="s">
        <v>53</v>
      </c>
    </row>
    <row r="305" spans="95:99">
      <c r="CQ305" t="s">
        <v>49</v>
      </c>
      <c r="CR305" t="s">
        <v>618</v>
      </c>
      <c r="CS305" t="s">
        <v>53</v>
      </c>
      <c r="CT305" t="s">
        <v>613</v>
      </c>
      <c r="CU305">
        <v>24370</v>
      </c>
    </row>
    <row r="306" spans="95:99">
      <c r="CQ306" t="s">
        <v>49</v>
      </c>
      <c r="CR306" t="s">
        <v>618</v>
      </c>
      <c r="CS306" t="s">
        <v>53</v>
      </c>
      <c r="CT306" t="s">
        <v>632</v>
      </c>
      <c r="CU306">
        <v>410</v>
      </c>
    </row>
    <row r="307" spans="95:99">
      <c r="CQ307" t="s">
        <v>49</v>
      </c>
      <c r="CR307" t="s">
        <v>618</v>
      </c>
      <c r="CS307" t="s">
        <v>53</v>
      </c>
      <c r="CT307" t="s">
        <v>633</v>
      </c>
      <c r="CU307">
        <v>6586</v>
      </c>
    </row>
    <row r="308" spans="95:99">
      <c r="CQ308" t="s">
        <v>49</v>
      </c>
      <c r="CR308" t="s">
        <v>618</v>
      </c>
      <c r="CS308" t="s">
        <v>53</v>
      </c>
      <c r="CT308" t="s">
        <v>634</v>
      </c>
      <c r="CU308">
        <v>13317</v>
      </c>
    </row>
    <row r="309" spans="95:99">
      <c r="CQ309" t="s">
        <v>49</v>
      </c>
      <c r="CR309" t="s">
        <v>618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618</v>
      </c>
      <c r="CS310" t="s">
        <v>53</v>
      </c>
      <c r="CT310" t="s">
        <v>647</v>
      </c>
      <c r="CU310">
        <v>2122</v>
      </c>
    </row>
    <row r="311" spans="95:99">
      <c r="CQ311" t="s">
        <v>49</v>
      </c>
      <c r="CR311" t="s">
        <v>618</v>
      </c>
      <c r="CS311" t="s">
        <v>53</v>
      </c>
      <c r="CT311" t="s">
        <v>635</v>
      </c>
      <c r="CU311">
        <v>644</v>
      </c>
    </row>
    <row r="312" spans="95:99">
      <c r="CQ312" t="s">
        <v>49</v>
      </c>
      <c r="CR312" t="s">
        <v>618</v>
      </c>
      <c r="CS312" t="s">
        <v>53</v>
      </c>
      <c r="CT312" t="s">
        <v>636</v>
      </c>
      <c r="CU312">
        <v>30</v>
      </c>
    </row>
    <row r="313" spans="95:99">
      <c r="CQ313" t="s">
        <v>49</v>
      </c>
      <c r="CR313" t="s">
        <v>618</v>
      </c>
      <c r="CS313" t="s">
        <v>53</v>
      </c>
      <c r="CT313" t="s">
        <v>637</v>
      </c>
      <c r="CU313">
        <v>191</v>
      </c>
    </row>
    <row r="314" spans="95:99">
      <c r="CQ314" t="s">
        <v>49</v>
      </c>
      <c r="CR314" t="s">
        <v>618</v>
      </c>
      <c r="CS314" t="s">
        <v>53</v>
      </c>
      <c r="CT314" t="s">
        <v>638</v>
      </c>
      <c r="CU314">
        <v>43</v>
      </c>
    </row>
    <row r="315" spans="95:99">
      <c r="CQ315" t="s">
        <v>49</v>
      </c>
      <c r="CR315" t="s">
        <v>618</v>
      </c>
      <c r="CS315" t="s">
        <v>53</v>
      </c>
      <c r="CT315" t="s">
        <v>624</v>
      </c>
      <c r="CU315">
        <v>123</v>
      </c>
    </row>
    <row r="316" spans="95:99">
      <c r="CQ316" t="s">
        <v>49</v>
      </c>
      <c r="CR316" t="s">
        <v>618</v>
      </c>
      <c r="CS316" t="s">
        <v>343</v>
      </c>
    </row>
    <row r="317" spans="95:99">
      <c r="CQ317" t="s">
        <v>49</v>
      </c>
      <c r="CR317" t="s">
        <v>618</v>
      </c>
      <c r="CS317" t="s">
        <v>343</v>
      </c>
      <c r="CT317" t="s">
        <v>613</v>
      </c>
      <c r="CU317">
        <v>4039</v>
      </c>
    </row>
    <row r="318" spans="95:99">
      <c r="CQ318" t="s">
        <v>49</v>
      </c>
      <c r="CR318" t="s">
        <v>618</v>
      </c>
      <c r="CS318" t="s">
        <v>343</v>
      </c>
      <c r="CT318" t="s">
        <v>632</v>
      </c>
      <c r="CU318">
        <v>126</v>
      </c>
    </row>
    <row r="319" spans="95:99">
      <c r="CQ319" t="s">
        <v>49</v>
      </c>
      <c r="CR319" t="s">
        <v>618</v>
      </c>
      <c r="CS319" t="s">
        <v>343</v>
      </c>
      <c r="CT319" t="s">
        <v>633</v>
      </c>
      <c r="CU319">
        <v>242</v>
      </c>
    </row>
    <row r="320" spans="95:99">
      <c r="CQ320" t="s">
        <v>49</v>
      </c>
      <c r="CR320" t="s">
        <v>618</v>
      </c>
      <c r="CS320" t="s">
        <v>343</v>
      </c>
      <c r="CT320" t="s">
        <v>634</v>
      </c>
      <c r="CU320">
        <v>2214</v>
      </c>
    </row>
    <row r="321" spans="95:99">
      <c r="CQ321" t="s">
        <v>49</v>
      </c>
      <c r="CR321" t="s">
        <v>618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618</v>
      </c>
      <c r="CS322" t="s">
        <v>343</v>
      </c>
      <c r="CT322" t="s">
        <v>647</v>
      </c>
      <c r="CU322">
        <v>81</v>
      </c>
    </row>
    <row r="323" spans="95:99">
      <c r="CQ323" t="s">
        <v>49</v>
      </c>
      <c r="CR323" t="s">
        <v>618</v>
      </c>
      <c r="CS323" t="s">
        <v>343</v>
      </c>
      <c r="CT323" t="s">
        <v>635</v>
      </c>
      <c r="CU323">
        <v>20</v>
      </c>
    </row>
    <row r="324" spans="95:99">
      <c r="CQ324" t="s">
        <v>49</v>
      </c>
      <c r="CR324" t="s">
        <v>618</v>
      </c>
      <c r="CS324" t="s">
        <v>343</v>
      </c>
      <c r="CT324" t="s">
        <v>636</v>
      </c>
      <c r="CU324">
        <v>10</v>
      </c>
    </row>
    <row r="325" spans="95:99">
      <c r="CQ325" t="s">
        <v>49</v>
      </c>
      <c r="CR325" t="s">
        <v>618</v>
      </c>
      <c r="CS325" t="s">
        <v>343</v>
      </c>
      <c r="CT325" t="s">
        <v>637</v>
      </c>
      <c r="CU325">
        <v>16</v>
      </c>
    </row>
    <row r="326" spans="95:99">
      <c r="CQ326" t="s">
        <v>49</v>
      </c>
      <c r="CR326" t="s">
        <v>618</v>
      </c>
      <c r="CS326" t="s">
        <v>343</v>
      </c>
      <c r="CT326" t="s">
        <v>638</v>
      </c>
      <c r="CU326">
        <v>36</v>
      </c>
    </row>
    <row r="327" spans="95:99">
      <c r="CQ327" t="s">
        <v>49</v>
      </c>
      <c r="CR327" t="s">
        <v>618</v>
      </c>
      <c r="CS327" t="s">
        <v>343</v>
      </c>
      <c r="CT327" t="s">
        <v>624</v>
      </c>
      <c r="CU327">
        <v>43</v>
      </c>
    </row>
    <row r="328" spans="95:99">
      <c r="CQ328" t="s">
        <v>49</v>
      </c>
      <c r="CR328" t="s">
        <v>618</v>
      </c>
      <c r="CS328" t="s">
        <v>343</v>
      </c>
    </row>
    <row r="329" spans="95:99">
      <c r="CQ329" t="s">
        <v>49</v>
      </c>
      <c r="CR329" t="s">
        <v>618</v>
      </c>
      <c r="CS329" t="s">
        <v>343</v>
      </c>
      <c r="CT329" t="s">
        <v>613</v>
      </c>
      <c r="CU329">
        <v>1381</v>
      </c>
    </row>
    <row r="330" spans="95:99">
      <c r="CQ330" t="s">
        <v>49</v>
      </c>
      <c r="CR330" t="s">
        <v>618</v>
      </c>
      <c r="CS330" t="s">
        <v>343</v>
      </c>
      <c r="CT330" t="s">
        <v>632</v>
      </c>
      <c r="CU330">
        <v>71</v>
      </c>
    </row>
    <row r="331" spans="95:99">
      <c r="CQ331" t="s">
        <v>49</v>
      </c>
      <c r="CR331" t="s">
        <v>618</v>
      </c>
      <c r="CS331" t="s">
        <v>343</v>
      </c>
      <c r="CT331" t="s">
        <v>633</v>
      </c>
      <c r="CU331">
        <v>264</v>
      </c>
    </row>
    <row r="332" spans="95:99">
      <c r="CQ332" t="s">
        <v>49</v>
      </c>
      <c r="CR332" t="s">
        <v>618</v>
      </c>
      <c r="CS332" t="s">
        <v>343</v>
      </c>
      <c r="CT332" t="s">
        <v>634</v>
      </c>
      <c r="CU332">
        <v>346</v>
      </c>
    </row>
    <row r="333" spans="95:99">
      <c r="CQ333" t="s">
        <v>49</v>
      </c>
      <c r="CR333" t="s">
        <v>618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618</v>
      </c>
      <c r="CS334" t="s">
        <v>343</v>
      </c>
      <c r="CT334" t="s">
        <v>647</v>
      </c>
      <c r="CU334">
        <v>19</v>
      </c>
    </row>
    <row r="335" spans="95:99">
      <c r="CQ335" t="s">
        <v>49</v>
      </c>
      <c r="CR335" t="s">
        <v>618</v>
      </c>
      <c r="CS335" t="s">
        <v>343</v>
      </c>
      <c r="CT335" t="s">
        <v>635</v>
      </c>
      <c r="CU335">
        <v>14</v>
      </c>
    </row>
    <row r="336" spans="95:99">
      <c r="CQ336" t="s">
        <v>49</v>
      </c>
      <c r="CR336" t="s">
        <v>618</v>
      </c>
      <c r="CS336" t="s">
        <v>343</v>
      </c>
      <c r="CT336" t="s">
        <v>636</v>
      </c>
      <c r="CU336">
        <v>5</v>
      </c>
    </row>
    <row r="337" spans="95:99">
      <c r="CQ337" t="s">
        <v>49</v>
      </c>
      <c r="CR337" t="s">
        <v>618</v>
      </c>
      <c r="CS337" t="s">
        <v>343</v>
      </c>
      <c r="CT337" t="s">
        <v>637</v>
      </c>
      <c r="CU337">
        <v>8</v>
      </c>
    </row>
    <row r="338" spans="95:99">
      <c r="CQ338" t="s">
        <v>49</v>
      </c>
      <c r="CR338" t="s">
        <v>618</v>
      </c>
      <c r="CS338" t="s">
        <v>343</v>
      </c>
      <c r="CT338" t="s">
        <v>638</v>
      </c>
      <c r="CU338">
        <v>13</v>
      </c>
    </row>
    <row r="339" spans="95:99">
      <c r="CQ339" t="s">
        <v>49</v>
      </c>
      <c r="CR339" t="s">
        <v>618</v>
      </c>
      <c r="CS339" t="s">
        <v>343</v>
      </c>
      <c r="CT339" t="s">
        <v>624</v>
      </c>
      <c r="CU339">
        <v>13</v>
      </c>
    </row>
    <row r="340" spans="95:99">
      <c r="CQ340" t="s">
        <v>49</v>
      </c>
      <c r="CR340" t="s">
        <v>618</v>
      </c>
      <c r="CS340" t="s">
        <v>624</v>
      </c>
    </row>
    <row r="341" spans="95:99">
      <c r="CQ341" t="s">
        <v>49</v>
      </c>
      <c r="CR341" t="s">
        <v>618</v>
      </c>
      <c r="CS341" t="s">
        <v>624</v>
      </c>
      <c r="CT341" t="s">
        <v>613</v>
      </c>
      <c r="CU341">
        <v>666</v>
      </c>
    </row>
    <row r="342" spans="95:99">
      <c r="CQ342" t="s">
        <v>49</v>
      </c>
      <c r="CR342" t="s">
        <v>618</v>
      </c>
      <c r="CS342" t="s">
        <v>624</v>
      </c>
      <c r="CT342" t="s">
        <v>632</v>
      </c>
      <c r="CU342">
        <v>14</v>
      </c>
    </row>
    <row r="343" spans="95:99">
      <c r="CQ343" t="s">
        <v>49</v>
      </c>
      <c r="CR343" t="s">
        <v>618</v>
      </c>
      <c r="CS343" t="s">
        <v>624</v>
      </c>
      <c r="CT343" t="s">
        <v>633</v>
      </c>
      <c r="CU343">
        <v>249</v>
      </c>
    </row>
    <row r="344" spans="95:99">
      <c r="CQ344" t="s">
        <v>49</v>
      </c>
      <c r="CR344" t="s">
        <v>618</v>
      </c>
      <c r="CS344" t="s">
        <v>624</v>
      </c>
      <c r="CT344" t="s">
        <v>634</v>
      </c>
      <c r="CU344">
        <v>217</v>
      </c>
    </row>
    <row r="345" spans="95:99">
      <c r="CQ345" t="s">
        <v>49</v>
      </c>
      <c r="CR345" t="s">
        <v>618</v>
      </c>
      <c r="CS345" t="s">
        <v>624</v>
      </c>
      <c r="CT345" t="s">
        <v>164</v>
      </c>
      <c r="CU345">
        <v>30</v>
      </c>
    </row>
    <row r="346" spans="95:99">
      <c r="CQ346" t="s">
        <v>49</v>
      </c>
      <c r="CR346" t="s">
        <v>618</v>
      </c>
      <c r="CS346" t="s">
        <v>624</v>
      </c>
      <c r="CT346" t="s">
        <v>647</v>
      </c>
      <c r="CU346">
        <v>62</v>
      </c>
    </row>
    <row r="347" spans="95:99">
      <c r="CQ347" t="s">
        <v>49</v>
      </c>
      <c r="CR347" t="s">
        <v>618</v>
      </c>
      <c r="CS347" t="s">
        <v>624</v>
      </c>
      <c r="CT347" t="s">
        <v>635</v>
      </c>
      <c r="CU347">
        <v>60</v>
      </c>
    </row>
    <row r="348" spans="95:99">
      <c r="CQ348" t="s">
        <v>49</v>
      </c>
      <c r="CR348" t="s">
        <v>618</v>
      </c>
      <c r="CS348" t="s">
        <v>624</v>
      </c>
      <c r="CT348" t="s">
        <v>636</v>
      </c>
      <c r="CU348">
        <v>1</v>
      </c>
    </row>
    <row r="349" spans="95:99">
      <c r="CQ349" t="s">
        <v>49</v>
      </c>
      <c r="CR349" t="s">
        <v>618</v>
      </c>
      <c r="CS349" t="s">
        <v>624</v>
      </c>
      <c r="CT349" t="s">
        <v>637</v>
      </c>
      <c r="CU349">
        <v>9</v>
      </c>
    </row>
    <row r="350" spans="95:99">
      <c r="CQ350" t="s">
        <v>49</v>
      </c>
      <c r="CR350" t="s">
        <v>618</v>
      </c>
      <c r="CS350" t="s">
        <v>624</v>
      </c>
      <c r="CT350" t="s">
        <v>638</v>
      </c>
      <c r="CU350">
        <v>1</v>
      </c>
    </row>
    <row r="351" spans="95:99">
      <c r="CQ351" t="s">
        <v>49</v>
      </c>
      <c r="CR351" t="s">
        <v>618</v>
      </c>
      <c r="CS351" t="s">
        <v>624</v>
      </c>
      <c r="CT351" t="s">
        <v>624</v>
      </c>
      <c r="CU351">
        <v>23</v>
      </c>
    </row>
    <row r="352" spans="95:99">
      <c r="CQ352" t="s">
        <v>49</v>
      </c>
      <c r="CR352" t="s">
        <v>619</v>
      </c>
    </row>
    <row r="353" spans="95:99">
      <c r="CQ353" t="s">
        <v>49</v>
      </c>
      <c r="CR353" t="s">
        <v>619</v>
      </c>
      <c r="CS353" t="s">
        <v>613</v>
      </c>
    </row>
    <row r="354" spans="95:99">
      <c r="CQ354" t="s">
        <v>49</v>
      </c>
      <c r="CR354" t="s">
        <v>619</v>
      </c>
      <c r="CS354" t="s">
        <v>49</v>
      </c>
      <c r="CT354" t="s">
        <v>613</v>
      </c>
      <c r="CU354">
        <v>213473</v>
      </c>
    </row>
    <row r="355" spans="95:99">
      <c r="CQ355" t="s">
        <v>49</v>
      </c>
      <c r="CR355" t="s">
        <v>619</v>
      </c>
      <c r="CS355" t="s">
        <v>49</v>
      </c>
      <c r="CT355" t="s">
        <v>632</v>
      </c>
      <c r="CU355">
        <v>2065</v>
      </c>
    </row>
    <row r="356" spans="95:99">
      <c r="CQ356" t="s">
        <v>49</v>
      </c>
      <c r="CR356" t="s">
        <v>619</v>
      </c>
      <c r="CS356" t="s">
        <v>49</v>
      </c>
      <c r="CT356" t="s">
        <v>633</v>
      </c>
      <c r="CU356">
        <v>107466</v>
      </c>
    </row>
    <row r="357" spans="95:99">
      <c r="CQ357" t="s">
        <v>49</v>
      </c>
      <c r="CR357" t="s">
        <v>619</v>
      </c>
      <c r="CS357" t="s">
        <v>49</v>
      </c>
      <c r="CT357" t="s">
        <v>634</v>
      </c>
      <c r="CU357">
        <v>64595</v>
      </c>
    </row>
    <row r="358" spans="95:99">
      <c r="CQ358" t="s">
        <v>49</v>
      </c>
      <c r="CR358" t="s">
        <v>619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619</v>
      </c>
      <c r="CS359" t="s">
        <v>49</v>
      </c>
      <c r="CT359" t="s">
        <v>647</v>
      </c>
      <c r="CU359">
        <v>13094</v>
      </c>
    </row>
    <row r="360" spans="95:99">
      <c r="CQ360" t="s">
        <v>49</v>
      </c>
      <c r="CR360" t="s">
        <v>619</v>
      </c>
      <c r="CS360" t="s">
        <v>49</v>
      </c>
      <c r="CT360" t="s">
        <v>635</v>
      </c>
      <c r="CU360">
        <v>12883</v>
      </c>
    </row>
    <row r="361" spans="95:99">
      <c r="CQ361" t="s">
        <v>49</v>
      </c>
      <c r="CR361" t="s">
        <v>619</v>
      </c>
      <c r="CS361" t="s">
        <v>49</v>
      </c>
      <c r="CT361" t="s">
        <v>636</v>
      </c>
      <c r="CU361">
        <v>1087</v>
      </c>
    </row>
    <row r="362" spans="95:99">
      <c r="CQ362" t="s">
        <v>49</v>
      </c>
      <c r="CR362" t="s">
        <v>619</v>
      </c>
      <c r="CS362" t="s">
        <v>49</v>
      </c>
      <c r="CT362" t="s">
        <v>637</v>
      </c>
      <c r="CU362">
        <v>3939</v>
      </c>
    </row>
    <row r="363" spans="95:99">
      <c r="CQ363" t="s">
        <v>49</v>
      </c>
      <c r="CR363" t="s">
        <v>619</v>
      </c>
      <c r="CS363" t="s">
        <v>49</v>
      </c>
      <c r="CT363" t="s">
        <v>638</v>
      </c>
      <c r="CU363">
        <v>636</v>
      </c>
    </row>
    <row r="364" spans="95:99">
      <c r="CQ364" t="s">
        <v>49</v>
      </c>
      <c r="CR364" t="s">
        <v>619</v>
      </c>
      <c r="CS364" t="s">
        <v>49</v>
      </c>
      <c r="CT364" t="s">
        <v>624</v>
      </c>
      <c r="CU364">
        <v>945</v>
      </c>
    </row>
    <row r="365" spans="95:99">
      <c r="CQ365" t="s">
        <v>49</v>
      </c>
      <c r="CR365" t="s">
        <v>619</v>
      </c>
      <c r="CS365" t="s">
        <v>55</v>
      </c>
    </row>
    <row r="366" spans="95:99">
      <c r="CQ366" t="s">
        <v>49</v>
      </c>
      <c r="CR366" t="s">
        <v>619</v>
      </c>
      <c r="CS366" t="s">
        <v>55</v>
      </c>
      <c r="CT366" t="s">
        <v>613</v>
      </c>
      <c r="CU366">
        <v>97698</v>
      </c>
    </row>
    <row r="367" spans="95:99">
      <c r="CQ367" t="s">
        <v>49</v>
      </c>
      <c r="CR367" t="s">
        <v>619</v>
      </c>
      <c r="CS367" t="s">
        <v>55</v>
      </c>
      <c r="CT367" t="s">
        <v>632</v>
      </c>
      <c r="CU367">
        <v>743</v>
      </c>
    </row>
    <row r="368" spans="95:99">
      <c r="CQ368" t="s">
        <v>49</v>
      </c>
      <c r="CR368" t="s">
        <v>619</v>
      </c>
      <c r="CS368" t="s">
        <v>55</v>
      </c>
      <c r="CT368" t="s">
        <v>633</v>
      </c>
      <c r="CU368">
        <v>66311</v>
      </c>
    </row>
    <row r="369" spans="95:99">
      <c r="CQ369" t="s">
        <v>49</v>
      </c>
      <c r="CR369" t="s">
        <v>619</v>
      </c>
      <c r="CS369" t="s">
        <v>55</v>
      </c>
      <c r="CT369" t="s">
        <v>634</v>
      </c>
      <c r="CU369">
        <v>10132</v>
      </c>
    </row>
    <row r="370" spans="95:99">
      <c r="CQ370" t="s">
        <v>49</v>
      </c>
      <c r="CR370" t="s">
        <v>619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619</v>
      </c>
      <c r="CS371" t="s">
        <v>55</v>
      </c>
      <c r="CT371" t="s">
        <v>647</v>
      </c>
      <c r="CU371">
        <v>5117</v>
      </c>
    </row>
    <row r="372" spans="95:99">
      <c r="CQ372" t="s">
        <v>49</v>
      </c>
      <c r="CR372" t="s">
        <v>619</v>
      </c>
      <c r="CS372" t="s">
        <v>55</v>
      </c>
      <c r="CT372" t="s">
        <v>635</v>
      </c>
      <c r="CU372">
        <v>9754</v>
      </c>
    </row>
    <row r="373" spans="95:99">
      <c r="CQ373" t="s">
        <v>49</v>
      </c>
      <c r="CR373" t="s">
        <v>619</v>
      </c>
      <c r="CS373" t="s">
        <v>55</v>
      </c>
      <c r="CT373" t="s">
        <v>636</v>
      </c>
      <c r="CU373">
        <v>841</v>
      </c>
    </row>
    <row r="374" spans="95:99">
      <c r="CQ374" t="s">
        <v>49</v>
      </c>
      <c r="CR374" t="s">
        <v>619</v>
      </c>
      <c r="CS374" t="s">
        <v>55</v>
      </c>
      <c r="CT374" t="s">
        <v>637</v>
      </c>
      <c r="CU374">
        <v>2881</v>
      </c>
    </row>
    <row r="375" spans="95:99">
      <c r="CQ375" t="s">
        <v>49</v>
      </c>
      <c r="CR375" t="s">
        <v>619</v>
      </c>
      <c r="CS375" t="s">
        <v>55</v>
      </c>
      <c r="CT375" t="s">
        <v>638</v>
      </c>
      <c r="CU375">
        <v>346</v>
      </c>
    </row>
    <row r="376" spans="95:99">
      <c r="CQ376" t="s">
        <v>49</v>
      </c>
      <c r="CR376" t="s">
        <v>619</v>
      </c>
      <c r="CS376" t="s">
        <v>55</v>
      </c>
      <c r="CT376" t="s">
        <v>624</v>
      </c>
      <c r="CU376">
        <v>411</v>
      </c>
    </row>
    <row r="377" spans="95:99">
      <c r="CQ377" t="s">
        <v>49</v>
      </c>
      <c r="CR377" t="s">
        <v>619</v>
      </c>
      <c r="CS377" t="s">
        <v>53</v>
      </c>
    </row>
    <row r="378" spans="95:99">
      <c r="CQ378" t="s">
        <v>49</v>
      </c>
      <c r="CR378" t="s">
        <v>619</v>
      </c>
      <c r="CS378" t="s">
        <v>53</v>
      </c>
      <c r="CT378" t="s">
        <v>613</v>
      </c>
      <c r="CU378">
        <v>71056</v>
      </c>
    </row>
    <row r="379" spans="95:99">
      <c r="CQ379" t="s">
        <v>49</v>
      </c>
      <c r="CR379" t="s">
        <v>619</v>
      </c>
      <c r="CS379" t="s">
        <v>53</v>
      </c>
      <c r="CT379" t="s">
        <v>632</v>
      </c>
      <c r="CU379">
        <v>476</v>
      </c>
    </row>
    <row r="380" spans="95:99">
      <c r="CQ380" t="s">
        <v>49</v>
      </c>
      <c r="CR380" t="s">
        <v>619</v>
      </c>
      <c r="CS380" t="s">
        <v>53</v>
      </c>
      <c r="CT380" t="s">
        <v>633</v>
      </c>
      <c r="CU380">
        <v>29781</v>
      </c>
    </row>
    <row r="381" spans="95:99">
      <c r="CQ381" t="s">
        <v>49</v>
      </c>
      <c r="CR381" t="s">
        <v>619</v>
      </c>
      <c r="CS381" t="s">
        <v>53</v>
      </c>
      <c r="CT381" t="s">
        <v>634</v>
      </c>
      <c r="CU381">
        <v>32465</v>
      </c>
    </row>
    <row r="382" spans="95:99">
      <c r="CQ382" t="s">
        <v>49</v>
      </c>
      <c r="CR382" t="s">
        <v>619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619</v>
      </c>
      <c r="CS383" t="s">
        <v>53</v>
      </c>
      <c r="CT383" t="s">
        <v>647</v>
      </c>
      <c r="CU383">
        <v>3866</v>
      </c>
    </row>
    <row r="384" spans="95:99">
      <c r="CQ384" t="s">
        <v>49</v>
      </c>
      <c r="CR384" t="s">
        <v>619</v>
      </c>
      <c r="CS384" t="s">
        <v>53</v>
      </c>
      <c r="CT384" t="s">
        <v>635</v>
      </c>
      <c r="CU384">
        <v>1862</v>
      </c>
    </row>
    <row r="385" spans="95:99">
      <c r="CQ385" t="s">
        <v>49</v>
      </c>
      <c r="CR385" t="s">
        <v>619</v>
      </c>
      <c r="CS385" t="s">
        <v>53</v>
      </c>
      <c r="CT385" t="s">
        <v>636</v>
      </c>
      <c r="CU385">
        <v>151</v>
      </c>
    </row>
    <row r="386" spans="95:99">
      <c r="CQ386" t="s">
        <v>49</v>
      </c>
      <c r="CR386" t="s">
        <v>619</v>
      </c>
      <c r="CS386" t="s">
        <v>53</v>
      </c>
      <c r="CT386" t="s">
        <v>637</v>
      </c>
      <c r="CU386">
        <v>632</v>
      </c>
    </row>
    <row r="387" spans="95:99">
      <c r="CQ387" t="s">
        <v>49</v>
      </c>
      <c r="CR387" t="s">
        <v>619</v>
      </c>
      <c r="CS387" t="s">
        <v>53</v>
      </c>
      <c r="CT387" t="s">
        <v>638</v>
      </c>
      <c r="CU387">
        <v>141</v>
      </c>
    </row>
    <row r="388" spans="95:99">
      <c r="CQ388" t="s">
        <v>49</v>
      </c>
      <c r="CR388" t="s">
        <v>619</v>
      </c>
      <c r="CS388" t="s">
        <v>53</v>
      </c>
      <c r="CT388" t="s">
        <v>624</v>
      </c>
      <c r="CU388">
        <v>277</v>
      </c>
    </row>
    <row r="389" spans="95:99">
      <c r="CQ389" t="s">
        <v>49</v>
      </c>
      <c r="CR389" t="s">
        <v>619</v>
      </c>
      <c r="CS389" t="s">
        <v>53</v>
      </c>
    </row>
    <row r="390" spans="95:99">
      <c r="CQ390" t="s">
        <v>49</v>
      </c>
      <c r="CR390" t="s">
        <v>619</v>
      </c>
      <c r="CS390" t="s">
        <v>53</v>
      </c>
      <c r="CT390" t="s">
        <v>613</v>
      </c>
      <c r="CU390">
        <v>36397</v>
      </c>
    </row>
    <row r="391" spans="95:99">
      <c r="CQ391" t="s">
        <v>49</v>
      </c>
      <c r="CR391" t="s">
        <v>619</v>
      </c>
      <c r="CS391" t="s">
        <v>53</v>
      </c>
      <c r="CT391" t="s">
        <v>632</v>
      </c>
      <c r="CU391">
        <v>587</v>
      </c>
    </row>
    <row r="392" spans="95:99">
      <c r="CQ392" t="s">
        <v>49</v>
      </c>
      <c r="CR392" t="s">
        <v>619</v>
      </c>
      <c r="CS392" t="s">
        <v>53</v>
      </c>
      <c r="CT392" t="s">
        <v>633</v>
      </c>
      <c r="CU392">
        <v>10271</v>
      </c>
    </row>
    <row r="393" spans="95:99">
      <c r="CQ393" t="s">
        <v>49</v>
      </c>
      <c r="CR393" t="s">
        <v>619</v>
      </c>
      <c r="CS393" t="s">
        <v>53</v>
      </c>
      <c r="CT393" t="s">
        <v>634</v>
      </c>
      <c r="CU393">
        <v>18730</v>
      </c>
    </row>
    <row r="394" spans="95:99">
      <c r="CQ394" t="s">
        <v>49</v>
      </c>
      <c r="CR394" t="s">
        <v>619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619</v>
      </c>
      <c r="CS395" t="s">
        <v>53</v>
      </c>
      <c r="CT395" t="s">
        <v>647</v>
      </c>
      <c r="CU395">
        <v>3826</v>
      </c>
    </row>
    <row r="396" spans="95:99">
      <c r="CQ396" t="s">
        <v>49</v>
      </c>
      <c r="CR396" t="s">
        <v>619</v>
      </c>
      <c r="CS396" t="s">
        <v>53</v>
      </c>
      <c r="CT396" t="s">
        <v>635</v>
      </c>
      <c r="CU396">
        <v>1118</v>
      </c>
    </row>
    <row r="397" spans="95:99">
      <c r="CQ397" t="s">
        <v>49</v>
      </c>
      <c r="CR397" t="s">
        <v>619</v>
      </c>
      <c r="CS397" t="s">
        <v>53</v>
      </c>
      <c r="CT397" t="s">
        <v>636</v>
      </c>
      <c r="CU397">
        <v>57</v>
      </c>
    </row>
    <row r="398" spans="95:99">
      <c r="CQ398" t="s">
        <v>49</v>
      </c>
      <c r="CR398" t="s">
        <v>619</v>
      </c>
      <c r="CS398" t="s">
        <v>53</v>
      </c>
      <c r="CT398" t="s">
        <v>637</v>
      </c>
      <c r="CU398">
        <v>362</v>
      </c>
    </row>
    <row r="399" spans="95:99">
      <c r="CQ399" t="s">
        <v>49</v>
      </c>
      <c r="CR399" t="s">
        <v>619</v>
      </c>
      <c r="CS399" t="s">
        <v>53</v>
      </c>
      <c r="CT399" t="s">
        <v>638</v>
      </c>
      <c r="CU399">
        <v>79</v>
      </c>
    </row>
    <row r="400" spans="95:99">
      <c r="CQ400" t="s">
        <v>49</v>
      </c>
      <c r="CR400" t="s">
        <v>619</v>
      </c>
      <c r="CS400" t="s">
        <v>53</v>
      </c>
      <c r="CT400" t="s">
        <v>624</v>
      </c>
      <c r="CU400">
        <v>172</v>
      </c>
    </row>
    <row r="401" spans="95:99">
      <c r="CQ401" t="s">
        <v>49</v>
      </c>
      <c r="CR401" t="s">
        <v>619</v>
      </c>
      <c r="CS401" t="s">
        <v>343</v>
      </c>
    </row>
    <row r="402" spans="95:99">
      <c r="CQ402" t="s">
        <v>49</v>
      </c>
      <c r="CR402" t="s">
        <v>619</v>
      </c>
      <c r="CS402" t="s">
        <v>343</v>
      </c>
      <c r="CT402" t="s">
        <v>613</v>
      </c>
      <c r="CU402">
        <v>5873</v>
      </c>
    </row>
    <row r="403" spans="95:99">
      <c r="CQ403" t="s">
        <v>49</v>
      </c>
      <c r="CR403" t="s">
        <v>619</v>
      </c>
      <c r="CS403" t="s">
        <v>343</v>
      </c>
      <c r="CT403" t="s">
        <v>632</v>
      </c>
      <c r="CU403">
        <v>165</v>
      </c>
    </row>
    <row r="404" spans="95:99">
      <c r="CQ404" t="s">
        <v>49</v>
      </c>
      <c r="CR404" t="s">
        <v>619</v>
      </c>
      <c r="CS404" t="s">
        <v>343</v>
      </c>
      <c r="CT404" t="s">
        <v>633</v>
      </c>
      <c r="CU404">
        <v>402</v>
      </c>
    </row>
    <row r="405" spans="95:99">
      <c r="CQ405" t="s">
        <v>49</v>
      </c>
      <c r="CR405" t="s">
        <v>619</v>
      </c>
      <c r="CS405" t="s">
        <v>343</v>
      </c>
      <c r="CT405" t="s">
        <v>634</v>
      </c>
      <c r="CU405">
        <v>2613</v>
      </c>
    </row>
    <row r="406" spans="95:99">
      <c r="CQ406" t="s">
        <v>49</v>
      </c>
      <c r="CR406" t="s">
        <v>619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619</v>
      </c>
      <c r="CS407" t="s">
        <v>343</v>
      </c>
      <c r="CT407" t="s">
        <v>647</v>
      </c>
      <c r="CU407">
        <v>127</v>
      </c>
    </row>
    <row r="408" spans="95:99">
      <c r="CQ408" t="s">
        <v>49</v>
      </c>
      <c r="CR408" t="s">
        <v>619</v>
      </c>
      <c r="CS408" t="s">
        <v>343</v>
      </c>
      <c r="CT408" t="s">
        <v>635</v>
      </c>
      <c r="CU408">
        <v>31</v>
      </c>
    </row>
    <row r="409" spans="95:99">
      <c r="CQ409" t="s">
        <v>49</v>
      </c>
      <c r="CR409" t="s">
        <v>619</v>
      </c>
      <c r="CS409" t="s">
        <v>343</v>
      </c>
      <c r="CT409" t="s">
        <v>636</v>
      </c>
      <c r="CU409">
        <v>26</v>
      </c>
    </row>
    <row r="410" spans="95:99">
      <c r="CQ410" t="s">
        <v>49</v>
      </c>
      <c r="CR410" t="s">
        <v>619</v>
      </c>
      <c r="CS410" t="s">
        <v>343</v>
      </c>
      <c r="CT410" t="s">
        <v>637</v>
      </c>
      <c r="CU410">
        <v>24</v>
      </c>
    </row>
    <row r="411" spans="95:99">
      <c r="CQ411" t="s">
        <v>49</v>
      </c>
      <c r="CR411" t="s">
        <v>619</v>
      </c>
      <c r="CS411" t="s">
        <v>343</v>
      </c>
      <c r="CT411" t="s">
        <v>638</v>
      </c>
      <c r="CU411">
        <v>46</v>
      </c>
    </row>
    <row r="412" spans="95:99">
      <c r="CQ412" t="s">
        <v>49</v>
      </c>
      <c r="CR412" t="s">
        <v>619</v>
      </c>
      <c r="CS412" t="s">
        <v>343</v>
      </c>
      <c r="CT412" t="s">
        <v>624</v>
      </c>
      <c r="CU412">
        <v>43</v>
      </c>
    </row>
    <row r="413" spans="95:99">
      <c r="CQ413" t="s">
        <v>49</v>
      </c>
      <c r="CR413" t="s">
        <v>619</v>
      </c>
      <c r="CS413" t="s">
        <v>343</v>
      </c>
    </row>
    <row r="414" spans="95:99">
      <c r="CQ414" t="s">
        <v>49</v>
      </c>
      <c r="CR414" t="s">
        <v>619</v>
      </c>
      <c r="CS414" t="s">
        <v>343</v>
      </c>
      <c r="CT414" t="s">
        <v>613</v>
      </c>
      <c r="CU414">
        <v>1328</v>
      </c>
    </row>
    <row r="415" spans="95:99">
      <c r="CQ415" t="s">
        <v>49</v>
      </c>
      <c r="CR415" t="s">
        <v>619</v>
      </c>
      <c r="CS415" t="s">
        <v>343</v>
      </c>
      <c r="CT415" t="s">
        <v>632</v>
      </c>
      <c r="CU415">
        <v>79</v>
      </c>
    </row>
    <row r="416" spans="95:99">
      <c r="CQ416" t="s">
        <v>49</v>
      </c>
      <c r="CR416" t="s">
        <v>619</v>
      </c>
      <c r="CS416" t="s">
        <v>343</v>
      </c>
      <c r="CT416" t="s">
        <v>633</v>
      </c>
      <c r="CU416">
        <v>277</v>
      </c>
    </row>
    <row r="417" spans="95:99">
      <c r="CQ417" t="s">
        <v>49</v>
      </c>
      <c r="CR417" t="s">
        <v>619</v>
      </c>
      <c r="CS417" t="s">
        <v>343</v>
      </c>
      <c r="CT417" t="s">
        <v>634</v>
      </c>
      <c r="CU417">
        <v>298</v>
      </c>
    </row>
    <row r="418" spans="95:99">
      <c r="CQ418" t="s">
        <v>49</v>
      </c>
      <c r="CR418" t="s">
        <v>619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619</v>
      </c>
      <c r="CS419" t="s">
        <v>343</v>
      </c>
      <c r="CT419" t="s">
        <v>647</v>
      </c>
      <c r="CU419">
        <v>48</v>
      </c>
    </row>
    <row r="420" spans="95:99">
      <c r="CQ420" t="s">
        <v>49</v>
      </c>
      <c r="CR420" t="s">
        <v>619</v>
      </c>
      <c r="CS420" t="s">
        <v>343</v>
      </c>
      <c r="CT420" t="s">
        <v>635</v>
      </c>
      <c r="CU420">
        <v>17</v>
      </c>
    </row>
    <row r="421" spans="95:99">
      <c r="CQ421" t="s">
        <v>49</v>
      </c>
      <c r="CR421" t="s">
        <v>619</v>
      </c>
      <c r="CS421" t="s">
        <v>343</v>
      </c>
      <c r="CT421" t="s">
        <v>636</v>
      </c>
      <c r="CU421">
        <v>11</v>
      </c>
    </row>
    <row r="422" spans="95:99">
      <c r="CQ422" t="s">
        <v>49</v>
      </c>
      <c r="CR422" t="s">
        <v>619</v>
      </c>
      <c r="CS422" t="s">
        <v>343</v>
      </c>
      <c r="CT422" t="s">
        <v>637</v>
      </c>
      <c r="CU422">
        <v>13</v>
      </c>
    </row>
    <row r="423" spans="95:99">
      <c r="CQ423" t="s">
        <v>49</v>
      </c>
      <c r="CR423" t="s">
        <v>619</v>
      </c>
      <c r="CS423" t="s">
        <v>343</v>
      </c>
      <c r="CT423" t="s">
        <v>638</v>
      </c>
      <c r="CU423">
        <v>16</v>
      </c>
    </row>
    <row r="424" spans="95:99">
      <c r="CQ424" t="s">
        <v>49</v>
      </c>
      <c r="CR424" t="s">
        <v>619</v>
      </c>
      <c r="CS424" t="s">
        <v>343</v>
      </c>
      <c r="CT424" t="s">
        <v>624</v>
      </c>
      <c r="CU424">
        <v>14</v>
      </c>
    </row>
    <row r="425" spans="95:99">
      <c r="CQ425" t="s">
        <v>49</v>
      </c>
      <c r="CR425" t="s">
        <v>619</v>
      </c>
      <c r="CS425" t="s">
        <v>624</v>
      </c>
    </row>
    <row r="426" spans="95:99">
      <c r="CQ426" t="s">
        <v>49</v>
      </c>
      <c r="CR426" t="s">
        <v>619</v>
      </c>
      <c r="CS426" t="s">
        <v>624</v>
      </c>
      <c r="CT426" t="s">
        <v>613</v>
      </c>
      <c r="CU426">
        <v>1121</v>
      </c>
    </row>
    <row r="427" spans="95:99">
      <c r="CQ427" t="s">
        <v>49</v>
      </c>
      <c r="CR427" t="s">
        <v>619</v>
      </c>
      <c r="CS427" t="s">
        <v>624</v>
      </c>
      <c r="CT427" t="s">
        <v>632</v>
      </c>
      <c r="CU427">
        <v>15</v>
      </c>
    </row>
    <row r="428" spans="95:99">
      <c r="CQ428" t="s">
        <v>49</v>
      </c>
      <c r="CR428" t="s">
        <v>619</v>
      </c>
      <c r="CS428" t="s">
        <v>624</v>
      </c>
      <c r="CT428" t="s">
        <v>633</v>
      </c>
      <c r="CU428">
        <v>424</v>
      </c>
    </row>
    <row r="429" spans="95:99">
      <c r="CQ429" t="s">
        <v>49</v>
      </c>
      <c r="CR429" t="s">
        <v>619</v>
      </c>
      <c r="CS429" t="s">
        <v>624</v>
      </c>
      <c r="CT429" t="s">
        <v>634</v>
      </c>
      <c r="CU429">
        <v>357</v>
      </c>
    </row>
    <row r="430" spans="95:99">
      <c r="CQ430" t="s">
        <v>49</v>
      </c>
      <c r="CR430" t="s">
        <v>619</v>
      </c>
      <c r="CS430" t="s">
        <v>624</v>
      </c>
      <c r="CT430" t="s">
        <v>164</v>
      </c>
      <c r="CU430">
        <v>50</v>
      </c>
    </row>
    <row r="431" spans="95:99">
      <c r="CQ431" t="s">
        <v>49</v>
      </c>
      <c r="CR431" t="s">
        <v>619</v>
      </c>
      <c r="CS431" t="s">
        <v>624</v>
      </c>
      <c r="CT431" t="s">
        <v>647</v>
      </c>
      <c r="CU431">
        <v>110</v>
      </c>
    </row>
    <row r="432" spans="95:99">
      <c r="CQ432" t="s">
        <v>49</v>
      </c>
      <c r="CR432" t="s">
        <v>619</v>
      </c>
      <c r="CS432" t="s">
        <v>624</v>
      </c>
      <c r="CT432" t="s">
        <v>635</v>
      </c>
      <c r="CU432">
        <v>101</v>
      </c>
    </row>
    <row r="433" spans="95:99">
      <c r="CQ433" t="s">
        <v>49</v>
      </c>
      <c r="CR433" t="s">
        <v>619</v>
      </c>
      <c r="CS433" t="s">
        <v>624</v>
      </c>
      <c r="CT433" t="s">
        <v>636</v>
      </c>
      <c r="CU433">
        <v>1</v>
      </c>
    </row>
    <row r="434" spans="95:99">
      <c r="CQ434" t="s">
        <v>49</v>
      </c>
      <c r="CR434" t="s">
        <v>619</v>
      </c>
      <c r="CS434" t="s">
        <v>624</v>
      </c>
      <c r="CT434" t="s">
        <v>637</v>
      </c>
      <c r="CU434">
        <v>27</v>
      </c>
    </row>
    <row r="435" spans="95:99">
      <c r="CQ435" t="s">
        <v>49</v>
      </c>
      <c r="CR435" t="s">
        <v>619</v>
      </c>
      <c r="CS435" t="s">
        <v>624</v>
      </c>
      <c r="CT435" t="s">
        <v>638</v>
      </c>
      <c r="CU435">
        <v>8</v>
      </c>
    </row>
    <row r="436" spans="95:99">
      <c r="CQ436" t="s">
        <v>49</v>
      </c>
      <c r="CR436" t="s">
        <v>619</v>
      </c>
      <c r="CS436" t="s">
        <v>624</v>
      </c>
      <c r="CT436" t="s">
        <v>624</v>
      </c>
      <c r="CU436">
        <v>28</v>
      </c>
    </row>
    <row r="437" spans="95:99">
      <c r="CQ437" t="s">
        <v>49</v>
      </c>
      <c r="CR437" t="s">
        <v>620</v>
      </c>
    </row>
    <row r="438" spans="95:99">
      <c r="CQ438" t="s">
        <v>49</v>
      </c>
      <c r="CR438" t="s">
        <v>620</v>
      </c>
      <c r="CS438" t="s">
        <v>613</v>
      </c>
    </row>
    <row r="439" spans="95:99">
      <c r="CQ439" t="s">
        <v>49</v>
      </c>
      <c r="CR439" t="s">
        <v>620</v>
      </c>
      <c r="CS439" t="s">
        <v>49</v>
      </c>
      <c r="CT439" t="s">
        <v>613</v>
      </c>
      <c r="CU439">
        <v>171044</v>
      </c>
    </row>
    <row r="440" spans="95:99">
      <c r="CQ440" t="s">
        <v>49</v>
      </c>
      <c r="CR440" t="s">
        <v>620</v>
      </c>
      <c r="CS440" t="s">
        <v>49</v>
      </c>
      <c r="CT440" t="s">
        <v>632</v>
      </c>
      <c r="CU440">
        <v>1605</v>
      </c>
    </row>
    <row r="441" spans="95:99">
      <c r="CQ441" t="s">
        <v>49</v>
      </c>
      <c r="CR441" t="s">
        <v>620</v>
      </c>
      <c r="CS441" t="s">
        <v>49</v>
      </c>
      <c r="CT441" t="s">
        <v>633</v>
      </c>
      <c r="CU441">
        <v>79276</v>
      </c>
    </row>
    <row r="442" spans="95:99">
      <c r="CQ442" t="s">
        <v>49</v>
      </c>
      <c r="CR442" t="s">
        <v>620</v>
      </c>
      <c r="CS442" t="s">
        <v>49</v>
      </c>
      <c r="CT442" t="s">
        <v>634</v>
      </c>
      <c r="CU442">
        <v>47640</v>
      </c>
    </row>
    <row r="443" spans="95:99">
      <c r="CQ443" t="s">
        <v>49</v>
      </c>
      <c r="CR443" t="s">
        <v>620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620</v>
      </c>
      <c r="CS444" t="s">
        <v>49</v>
      </c>
      <c r="CT444" t="s">
        <v>647</v>
      </c>
      <c r="CU444">
        <v>11935</v>
      </c>
    </row>
    <row r="445" spans="95:99">
      <c r="CQ445" t="s">
        <v>49</v>
      </c>
      <c r="CR445" t="s">
        <v>620</v>
      </c>
      <c r="CS445" t="s">
        <v>49</v>
      </c>
      <c r="CT445" t="s">
        <v>635</v>
      </c>
      <c r="CU445">
        <v>13578</v>
      </c>
    </row>
    <row r="446" spans="95:99">
      <c r="CQ446" t="s">
        <v>49</v>
      </c>
      <c r="CR446" t="s">
        <v>620</v>
      </c>
      <c r="CS446" t="s">
        <v>49</v>
      </c>
      <c r="CT446" t="s">
        <v>636</v>
      </c>
      <c r="CU446">
        <v>1414</v>
      </c>
    </row>
    <row r="447" spans="95:99">
      <c r="CQ447" t="s">
        <v>49</v>
      </c>
      <c r="CR447" t="s">
        <v>620</v>
      </c>
      <c r="CS447" t="s">
        <v>49</v>
      </c>
      <c r="CT447" t="s">
        <v>637</v>
      </c>
      <c r="CU447">
        <v>3748</v>
      </c>
    </row>
    <row r="448" spans="95:99">
      <c r="CQ448" t="s">
        <v>49</v>
      </c>
      <c r="CR448" t="s">
        <v>620</v>
      </c>
      <c r="CS448" t="s">
        <v>49</v>
      </c>
      <c r="CT448" t="s">
        <v>638</v>
      </c>
      <c r="CU448">
        <v>617</v>
      </c>
    </row>
    <row r="449" spans="95:99">
      <c r="CQ449" t="s">
        <v>49</v>
      </c>
      <c r="CR449" t="s">
        <v>620</v>
      </c>
      <c r="CS449" t="s">
        <v>49</v>
      </c>
      <c r="CT449" t="s">
        <v>624</v>
      </c>
      <c r="CU449">
        <v>753</v>
      </c>
    </row>
    <row r="450" spans="95:99">
      <c r="CQ450" t="s">
        <v>49</v>
      </c>
      <c r="CR450" t="s">
        <v>620</v>
      </c>
      <c r="CS450" t="s">
        <v>55</v>
      </c>
    </row>
    <row r="451" spans="95:99">
      <c r="CQ451" t="s">
        <v>49</v>
      </c>
      <c r="CR451" t="s">
        <v>620</v>
      </c>
      <c r="CS451" t="s">
        <v>55</v>
      </c>
      <c r="CT451" t="s">
        <v>613</v>
      </c>
      <c r="CU451">
        <v>86491</v>
      </c>
    </row>
    <row r="452" spans="95:99">
      <c r="CQ452" t="s">
        <v>49</v>
      </c>
      <c r="CR452" t="s">
        <v>620</v>
      </c>
      <c r="CS452" t="s">
        <v>55</v>
      </c>
      <c r="CT452" t="s">
        <v>632</v>
      </c>
      <c r="CU452">
        <v>474</v>
      </c>
    </row>
    <row r="453" spans="95:99">
      <c r="CQ453" t="s">
        <v>49</v>
      </c>
      <c r="CR453" t="s">
        <v>620</v>
      </c>
      <c r="CS453" t="s">
        <v>55</v>
      </c>
      <c r="CT453" t="s">
        <v>633</v>
      </c>
      <c r="CU453">
        <v>54892</v>
      </c>
    </row>
    <row r="454" spans="95:99">
      <c r="CQ454" t="s">
        <v>49</v>
      </c>
      <c r="CR454" t="s">
        <v>620</v>
      </c>
      <c r="CS454" t="s">
        <v>55</v>
      </c>
      <c r="CT454" t="s">
        <v>634</v>
      </c>
      <c r="CU454">
        <v>8821</v>
      </c>
    </row>
    <row r="455" spans="95:99">
      <c r="CQ455" t="s">
        <v>49</v>
      </c>
      <c r="CR455" t="s">
        <v>620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620</v>
      </c>
      <c r="CS456" t="s">
        <v>55</v>
      </c>
      <c r="CT456" t="s">
        <v>647</v>
      </c>
      <c r="CU456">
        <v>5425</v>
      </c>
    </row>
    <row r="457" spans="95:99">
      <c r="CQ457" t="s">
        <v>49</v>
      </c>
      <c r="CR457" t="s">
        <v>620</v>
      </c>
      <c r="CS457" t="s">
        <v>55</v>
      </c>
      <c r="CT457" t="s">
        <v>635</v>
      </c>
      <c r="CU457">
        <v>11032</v>
      </c>
    </row>
    <row r="458" spans="95:99">
      <c r="CQ458" t="s">
        <v>49</v>
      </c>
      <c r="CR458" t="s">
        <v>620</v>
      </c>
      <c r="CS458" t="s">
        <v>55</v>
      </c>
      <c r="CT458" t="s">
        <v>636</v>
      </c>
      <c r="CU458">
        <v>1160</v>
      </c>
    </row>
    <row r="459" spans="95:99">
      <c r="CQ459" t="s">
        <v>49</v>
      </c>
      <c r="CR459" t="s">
        <v>620</v>
      </c>
      <c r="CS459" t="s">
        <v>55</v>
      </c>
      <c r="CT459" t="s">
        <v>637</v>
      </c>
      <c r="CU459">
        <v>2941</v>
      </c>
    </row>
    <row r="460" spans="95:99">
      <c r="CQ460" t="s">
        <v>49</v>
      </c>
      <c r="CR460" t="s">
        <v>620</v>
      </c>
      <c r="CS460" t="s">
        <v>55</v>
      </c>
      <c r="CT460" t="s">
        <v>638</v>
      </c>
      <c r="CU460">
        <v>341</v>
      </c>
    </row>
    <row r="461" spans="95:99">
      <c r="CQ461" t="s">
        <v>49</v>
      </c>
      <c r="CR461" t="s">
        <v>620</v>
      </c>
      <c r="CS461" t="s">
        <v>55</v>
      </c>
      <c r="CT461" t="s">
        <v>624</v>
      </c>
      <c r="CU461">
        <v>356</v>
      </c>
    </row>
    <row r="462" spans="95:99">
      <c r="CQ462" t="s">
        <v>49</v>
      </c>
      <c r="CR462" t="s">
        <v>620</v>
      </c>
      <c r="CS462" t="s">
        <v>53</v>
      </c>
    </row>
    <row r="463" spans="95:99">
      <c r="CQ463" t="s">
        <v>49</v>
      </c>
      <c r="CR463" t="s">
        <v>620</v>
      </c>
      <c r="CS463" t="s">
        <v>53</v>
      </c>
      <c r="CT463" t="s">
        <v>613</v>
      </c>
      <c r="CU463">
        <v>49522</v>
      </c>
    </row>
    <row r="464" spans="95:99">
      <c r="CQ464" t="s">
        <v>49</v>
      </c>
      <c r="CR464" t="s">
        <v>620</v>
      </c>
      <c r="CS464" t="s">
        <v>53</v>
      </c>
      <c r="CT464" t="s">
        <v>632</v>
      </c>
      <c r="CU464">
        <v>361</v>
      </c>
    </row>
    <row r="465" spans="95:99">
      <c r="CQ465" t="s">
        <v>49</v>
      </c>
      <c r="CR465" t="s">
        <v>620</v>
      </c>
      <c r="CS465" t="s">
        <v>53</v>
      </c>
      <c r="CT465" t="s">
        <v>633</v>
      </c>
      <c r="CU465">
        <v>18320</v>
      </c>
    </row>
    <row r="466" spans="95:99">
      <c r="CQ466" t="s">
        <v>49</v>
      </c>
      <c r="CR466" t="s">
        <v>620</v>
      </c>
      <c r="CS466" t="s">
        <v>53</v>
      </c>
      <c r="CT466" t="s">
        <v>634</v>
      </c>
      <c r="CU466">
        <v>22832</v>
      </c>
    </row>
    <row r="467" spans="95:99">
      <c r="CQ467" t="s">
        <v>49</v>
      </c>
      <c r="CR467" t="s">
        <v>620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620</v>
      </c>
      <c r="CS468" t="s">
        <v>53</v>
      </c>
      <c r="CT468" t="s">
        <v>647</v>
      </c>
      <c r="CU468">
        <v>3709</v>
      </c>
    </row>
    <row r="469" spans="95:99">
      <c r="CQ469" t="s">
        <v>49</v>
      </c>
      <c r="CR469" t="s">
        <v>620</v>
      </c>
      <c r="CS469" t="s">
        <v>53</v>
      </c>
      <c r="CT469" t="s">
        <v>635</v>
      </c>
      <c r="CU469">
        <v>1719</v>
      </c>
    </row>
    <row r="470" spans="95:99">
      <c r="CQ470" t="s">
        <v>49</v>
      </c>
      <c r="CR470" t="s">
        <v>620</v>
      </c>
      <c r="CS470" t="s">
        <v>53</v>
      </c>
      <c r="CT470" t="s">
        <v>636</v>
      </c>
      <c r="CU470">
        <v>159</v>
      </c>
    </row>
    <row r="471" spans="95:99">
      <c r="CQ471" t="s">
        <v>49</v>
      </c>
      <c r="CR471" t="s">
        <v>620</v>
      </c>
      <c r="CS471" t="s">
        <v>53</v>
      </c>
      <c r="CT471" t="s">
        <v>637</v>
      </c>
      <c r="CU471">
        <v>532</v>
      </c>
    </row>
    <row r="472" spans="95:99">
      <c r="CQ472" t="s">
        <v>49</v>
      </c>
      <c r="CR472" t="s">
        <v>620</v>
      </c>
      <c r="CS472" t="s">
        <v>53</v>
      </c>
      <c r="CT472" t="s">
        <v>638</v>
      </c>
      <c r="CU472">
        <v>141</v>
      </c>
    </row>
    <row r="473" spans="95:99">
      <c r="CQ473" t="s">
        <v>49</v>
      </c>
      <c r="CR473" t="s">
        <v>620</v>
      </c>
      <c r="CS473" t="s">
        <v>53</v>
      </c>
      <c r="CT473" t="s">
        <v>624</v>
      </c>
      <c r="CU473">
        <v>183</v>
      </c>
    </row>
    <row r="474" spans="95:99">
      <c r="CQ474" t="s">
        <v>49</v>
      </c>
      <c r="CR474" t="s">
        <v>620</v>
      </c>
      <c r="CS474" t="s">
        <v>53</v>
      </c>
    </row>
    <row r="475" spans="95:99">
      <c r="CQ475" t="s">
        <v>49</v>
      </c>
      <c r="CR475" t="s">
        <v>620</v>
      </c>
      <c r="CS475" t="s">
        <v>53</v>
      </c>
      <c r="CT475" t="s">
        <v>613</v>
      </c>
      <c r="CU475">
        <v>23557</v>
      </c>
    </row>
    <row r="476" spans="95:99">
      <c r="CQ476" t="s">
        <v>49</v>
      </c>
      <c r="CR476" t="s">
        <v>620</v>
      </c>
      <c r="CS476" t="s">
        <v>53</v>
      </c>
      <c r="CT476" t="s">
        <v>632</v>
      </c>
      <c r="CU476">
        <v>401</v>
      </c>
    </row>
    <row r="477" spans="95:99">
      <c r="CQ477" t="s">
        <v>49</v>
      </c>
      <c r="CR477" t="s">
        <v>620</v>
      </c>
      <c r="CS477" t="s">
        <v>53</v>
      </c>
      <c r="CT477" t="s">
        <v>633</v>
      </c>
      <c r="CU477">
        <v>5065</v>
      </c>
    </row>
    <row r="478" spans="95:99">
      <c r="CQ478" t="s">
        <v>49</v>
      </c>
      <c r="CR478" t="s">
        <v>620</v>
      </c>
      <c r="CS478" t="s">
        <v>53</v>
      </c>
      <c r="CT478" t="s">
        <v>634</v>
      </c>
      <c r="CU478">
        <v>12785</v>
      </c>
    </row>
    <row r="479" spans="95:99">
      <c r="CQ479" t="s">
        <v>49</v>
      </c>
      <c r="CR479" t="s">
        <v>620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620</v>
      </c>
      <c r="CS480" t="s">
        <v>53</v>
      </c>
      <c r="CT480" t="s">
        <v>647</v>
      </c>
      <c r="CU480">
        <v>2451</v>
      </c>
    </row>
    <row r="481" spans="95:99">
      <c r="CQ481" t="s">
        <v>49</v>
      </c>
      <c r="CR481" t="s">
        <v>620</v>
      </c>
      <c r="CS481" t="s">
        <v>53</v>
      </c>
      <c r="CT481" t="s">
        <v>635</v>
      </c>
      <c r="CU481">
        <v>635</v>
      </c>
    </row>
    <row r="482" spans="95:99">
      <c r="CQ482" t="s">
        <v>49</v>
      </c>
      <c r="CR482" t="s">
        <v>620</v>
      </c>
      <c r="CS482" t="s">
        <v>53</v>
      </c>
      <c r="CT482" t="s">
        <v>636</v>
      </c>
      <c r="CU482">
        <v>37</v>
      </c>
    </row>
    <row r="483" spans="95:99">
      <c r="CQ483" t="s">
        <v>49</v>
      </c>
      <c r="CR483" t="s">
        <v>620</v>
      </c>
      <c r="CS483" t="s">
        <v>53</v>
      </c>
      <c r="CT483" t="s">
        <v>637</v>
      </c>
      <c r="CU483">
        <v>214</v>
      </c>
    </row>
    <row r="484" spans="95:99">
      <c r="CQ484" t="s">
        <v>49</v>
      </c>
      <c r="CR484" t="s">
        <v>620</v>
      </c>
      <c r="CS484" t="s">
        <v>53</v>
      </c>
      <c r="CT484" t="s">
        <v>638</v>
      </c>
      <c r="CU484">
        <v>52</v>
      </c>
    </row>
    <row r="485" spans="95:99">
      <c r="CQ485" t="s">
        <v>49</v>
      </c>
      <c r="CR485" t="s">
        <v>620</v>
      </c>
      <c r="CS485" t="s">
        <v>53</v>
      </c>
      <c r="CT485" t="s">
        <v>624</v>
      </c>
      <c r="CU485">
        <v>107</v>
      </c>
    </row>
    <row r="486" spans="95:99">
      <c r="CQ486" t="s">
        <v>49</v>
      </c>
      <c r="CR486" t="s">
        <v>620</v>
      </c>
      <c r="CS486" t="s">
        <v>343</v>
      </c>
    </row>
    <row r="487" spans="95:99">
      <c r="CQ487" t="s">
        <v>49</v>
      </c>
      <c r="CR487" t="s">
        <v>620</v>
      </c>
      <c r="CS487" t="s">
        <v>343</v>
      </c>
      <c r="CT487" t="s">
        <v>613</v>
      </c>
      <c r="CU487">
        <v>9310</v>
      </c>
    </row>
    <row r="488" spans="95:99">
      <c r="CQ488" t="s">
        <v>49</v>
      </c>
      <c r="CR488" t="s">
        <v>620</v>
      </c>
      <c r="CS488" t="s">
        <v>343</v>
      </c>
      <c r="CT488" t="s">
        <v>632</v>
      </c>
      <c r="CU488">
        <v>301</v>
      </c>
    </row>
    <row r="489" spans="95:99">
      <c r="CQ489" t="s">
        <v>49</v>
      </c>
      <c r="CR489" t="s">
        <v>620</v>
      </c>
      <c r="CS489" t="s">
        <v>343</v>
      </c>
      <c r="CT489" t="s">
        <v>633</v>
      </c>
      <c r="CU489">
        <v>390</v>
      </c>
    </row>
    <row r="490" spans="95:99">
      <c r="CQ490" t="s">
        <v>49</v>
      </c>
      <c r="CR490" t="s">
        <v>620</v>
      </c>
      <c r="CS490" t="s">
        <v>343</v>
      </c>
      <c r="CT490" t="s">
        <v>634</v>
      </c>
      <c r="CU490">
        <v>2691</v>
      </c>
    </row>
    <row r="491" spans="95:99">
      <c r="CQ491" t="s">
        <v>49</v>
      </c>
      <c r="CR491" t="s">
        <v>620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620</v>
      </c>
      <c r="CS492" t="s">
        <v>343</v>
      </c>
      <c r="CT492" t="s">
        <v>647</v>
      </c>
      <c r="CU492">
        <v>166</v>
      </c>
    </row>
    <row r="493" spans="95:99">
      <c r="CQ493" t="s">
        <v>49</v>
      </c>
      <c r="CR493" t="s">
        <v>620</v>
      </c>
      <c r="CS493" t="s">
        <v>343</v>
      </c>
      <c r="CT493" t="s">
        <v>635</v>
      </c>
      <c r="CU493">
        <v>61</v>
      </c>
    </row>
    <row r="494" spans="95:99">
      <c r="CQ494" t="s">
        <v>49</v>
      </c>
      <c r="CR494" t="s">
        <v>620</v>
      </c>
      <c r="CS494" t="s">
        <v>343</v>
      </c>
      <c r="CT494" t="s">
        <v>636</v>
      </c>
      <c r="CU494">
        <v>48</v>
      </c>
    </row>
    <row r="495" spans="95:99">
      <c r="CQ495" t="s">
        <v>49</v>
      </c>
      <c r="CR495" t="s">
        <v>620</v>
      </c>
      <c r="CS495" t="s">
        <v>343</v>
      </c>
      <c r="CT495" t="s">
        <v>637</v>
      </c>
      <c r="CU495">
        <v>32</v>
      </c>
    </row>
    <row r="496" spans="95:99">
      <c r="CQ496" t="s">
        <v>49</v>
      </c>
      <c r="CR496" t="s">
        <v>620</v>
      </c>
      <c r="CS496" t="s">
        <v>343</v>
      </c>
      <c r="CT496" t="s">
        <v>638</v>
      </c>
      <c r="CU496">
        <v>67</v>
      </c>
    </row>
    <row r="497" spans="95:99">
      <c r="CQ497" t="s">
        <v>49</v>
      </c>
      <c r="CR497" t="s">
        <v>620</v>
      </c>
      <c r="CS497" t="s">
        <v>343</v>
      </c>
      <c r="CT497" t="s">
        <v>624</v>
      </c>
      <c r="CU497">
        <v>68</v>
      </c>
    </row>
    <row r="498" spans="95:99">
      <c r="CQ498" t="s">
        <v>49</v>
      </c>
      <c r="CR498" t="s">
        <v>620</v>
      </c>
      <c r="CS498" t="s">
        <v>343</v>
      </c>
    </row>
    <row r="499" spans="95:99">
      <c r="CQ499" t="s">
        <v>49</v>
      </c>
      <c r="CR499" t="s">
        <v>620</v>
      </c>
      <c r="CS499" t="s">
        <v>343</v>
      </c>
      <c r="CT499" t="s">
        <v>613</v>
      </c>
      <c r="CU499">
        <v>1175</v>
      </c>
    </row>
    <row r="500" spans="95:99">
      <c r="CQ500" t="s">
        <v>49</v>
      </c>
      <c r="CR500" t="s">
        <v>620</v>
      </c>
      <c r="CS500" t="s">
        <v>343</v>
      </c>
      <c r="CT500" t="s">
        <v>632</v>
      </c>
      <c r="CU500">
        <v>57</v>
      </c>
    </row>
    <row r="501" spans="95:99">
      <c r="CQ501" t="s">
        <v>49</v>
      </c>
      <c r="CR501" t="s">
        <v>620</v>
      </c>
      <c r="CS501" t="s">
        <v>343</v>
      </c>
      <c r="CT501" t="s">
        <v>633</v>
      </c>
      <c r="CU501">
        <v>282</v>
      </c>
    </row>
    <row r="502" spans="95:99">
      <c r="CQ502" t="s">
        <v>49</v>
      </c>
      <c r="CR502" t="s">
        <v>620</v>
      </c>
      <c r="CS502" t="s">
        <v>343</v>
      </c>
      <c r="CT502" t="s">
        <v>634</v>
      </c>
      <c r="CU502">
        <v>235</v>
      </c>
    </row>
    <row r="503" spans="95:99">
      <c r="CQ503" t="s">
        <v>49</v>
      </c>
      <c r="CR503" t="s">
        <v>620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620</v>
      </c>
      <c r="CS504" t="s">
        <v>343</v>
      </c>
      <c r="CT504" t="s">
        <v>647</v>
      </c>
      <c r="CU504">
        <v>45</v>
      </c>
    </row>
    <row r="505" spans="95:99">
      <c r="CQ505" t="s">
        <v>49</v>
      </c>
      <c r="CR505" t="s">
        <v>620</v>
      </c>
      <c r="CS505" t="s">
        <v>343</v>
      </c>
      <c r="CT505" t="s">
        <v>635</v>
      </c>
      <c r="CU505">
        <v>21</v>
      </c>
    </row>
    <row r="506" spans="95:99">
      <c r="CQ506" t="s">
        <v>49</v>
      </c>
      <c r="CR506" t="s">
        <v>620</v>
      </c>
      <c r="CS506" t="s">
        <v>343</v>
      </c>
      <c r="CT506" t="s">
        <v>636</v>
      </c>
      <c r="CU506">
        <v>8</v>
      </c>
    </row>
    <row r="507" spans="95:99">
      <c r="CQ507" t="s">
        <v>49</v>
      </c>
      <c r="CR507" t="s">
        <v>620</v>
      </c>
      <c r="CS507" t="s">
        <v>343</v>
      </c>
      <c r="CT507" t="s">
        <v>637</v>
      </c>
      <c r="CU507">
        <v>11</v>
      </c>
    </row>
    <row r="508" spans="95:99">
      <c r="CQ508" t="s">
        <v>49</v>
      </c>
      <c r="CR508" t="s">
        <v>620</v>
      </c>
      <c r="CS508" t="s">
        <v>343</v>
      </c>
      <c r="CT508" t="s">
        <v>638</v>
      </c>
      <c r="CU508">
        <v>10</v>
      </c>
    </row>
    <row r="509" spans="95:99">
      <c r="CQ509" t="s">
        <v>49</v>
      </c>
      <c r="CR509" t="s">
        <v>620</v>
      </c>
      <c r="CS509" t="s">
        <v>343</v>
      </c>
      <c r="CT509" t="s">
        <v>624</v>
      </c>
      <c r="CU509">
        <v>8</v>
      </c>
    </row>
    <row r="510" spans="95:99">
      <c r="CQ510" t="s">
        <v>49</v>
      </c>
      <c r="CR510" t="s">
        <v>620</v>
      </c>
      <c r="CS510" t="s">
        <v>624</v>
      </c>
    </row>
    <row r="511" spans="95:99">
      <c r="CQ511" t="s">
        <v>49</v>
      </c>
      <c r="CR511" t="s">
        <v>620</v>
      </c>
      <c r="CS511" t="s">
        <v>624</v>
      </c>
      <c r="CT511" t="s">
        <v>613</v>
      </c>
      <c r="CU511">
        <v>989</v>
      </c>
    </row>
    <row r="512" spans="95:99">
      <c r="CQ512" t="s">
        <v>49</v>
      </c>
      <c r="CR512" t="s">
        <v>620</v>
      </c>
      <c r="CS512" t="s">
        <v>624</v>
      </c>
      <c r="CT512" t="s">
        <v>632</v>
      </c>
      <c r="CU512">
        <v>11</v>
      </c>
    </row>
    <row r="513" spans="95:99">
      <c r="CQ513" t="s">
        <v>49</v>
      </c>
      <c r="CR513" t="s">
        <v>620</v>
      </c>
      <c r="CS513" t="s">
        <v>624</v>
      </c>
      <c r="CT513" t="s">
        <v>633</v>
      </c>
      <c r="CU513">
        <v>327</v>
      </c>
    </row>
    <row r="514" spans="95:99">
      <c r="CQ514" t="s">
        <v>49</v>
      </c>
      <c r="CR514" t="s">
        <v>620</v>
      </c>
      <c r="CS514" t="s">
        <v>624</v>
      </c>
      <c r="CT514" t="s">
        <v>634</v>
      </c>
      <c r="CU514">
        <v>276</v>
      </c>
    </row>
    <row r="515" spans="95:99">
      <c r="CQ515" t="s">
        <v>49</v>
      </c>
      <c r="CR515" t="s">
        <v>620</v>
      </c>
      <c r="CS515" t="s">
        <v>624</v>
      </c>
      <c r="CT515" t="s">
        <v>164</v>
      </c>
      <c r="CU515">
        <v>69</v>
      </c>
    </row>
    <row r="516" spans="95:99">
      <c r="CQ516" t="s">
        <v>49</v>
      </c>
      <c r="CR516" t="s">
        <v>620</v>
      </c>
      <c r="CS516" t="s">
        <v>624</v>
      </c>
      <c r="CT516" t="s">
        <v>647</v>
      </c>
      <c r="CU516">
        <v>139</v>
      </c>
    </row>
    <row r="517" spans="95:99">
      <c r="CQ517" t="s">
        <v>49</v>
      </c>
      <c r="CR517" t="s">
        <v>620</v>
      </c>
      <c r="CS517" t="s">
        <v>624</v>
      </c>
      <c r="CT517" t="s">
        <v>635</v>
      </c>
      <c r="CU517">
        <v>110</v>
      </c>
    </row>
    <row r="518" spans="95:99">
      <c r="CQ518" t="s">
        <v>49</v>
      </c>
      <c r="CR518" t="s">
        <v>620</v>
      </c>
      <c r="CS518" t="s">
        <v>624</v>
      </c>
      <c r="CT518" t="s">
        <v>636</v>
      </c>
      <c r="CU518">
        <v>2</v>
      </c>
    </row>
    <row r="519" spans="95:99">
      <c r="CQ519" t="s">
        <v>49</v>
      </c>
      <c r="CR519" t="s">
        <v>620</v>
      </c>
      <c r="CS519" t="s">
        <v>624</v>
      </c>
      <c r="CT519" t="s">
        <v>637</v>
      </c>
      <c r="CU519">
        <v>18</v>
      </c>
    </row>
    <row r="520" spans="95:99">
      <c r="CQ520" t="s">
        <v>49</v>
      </c>
      <c r="CR520" t="s">
        <v>620</v>
      </c>
      <c r="CS520" t="s">
        <v>624</v>
      </c>
      <c r="CT520" t="s">
        <v>638</v>
      </c>
      <c r="CU520">
        <v>6</v>
      </c>
    </row>
    <row r="521" spans="95:99">
      <c r="CQ521" t="s">
        <v>49</v>
      </c>
      <c r="CR521" t="s">
        <v>620</v>
      </c>
      <c r="CS521" t="s">
        <v>624</v>
      </c>
      <c r="CT521" t="s">
        <v>624</v>
      </c>
      <c r="CU521">
        <v>31</v>
      </c>
    </row>
    <row r="522" spans="95:99">
      <c r="CQ522" t="s">
        <v>49</v>
      </c>
      <c r="CR522" t="s">
        <v>621</v>
      </c>
    </row>
    <row r="523" spans="95:99">
      <c r="CQ523" t="s">
        <v>49</v>
      </c>
      <c r="CR523" t="s">
        <v>621</v>
      </c>
      <c r="CS523" t="s">
        <v>613</v>
      </c>
    </row>
    <row r="524" spans="95:99">
      <c r="CQ524" t="s">
        <v>49</v>
      </c>
      <c r="CR524" t="s">
        <v>621</v>
      </c>
      <c r="CS524" t="s">
        <v>49</v>
      </c>
      <c r="CT524" t="s">
        <v>613</v>
      </c>
      <c r="CU524">
        <v>240811</v>
      </c>
    </row>
    <row r="525" spans="95:99">
      <c r="CQ525" t="s">
        <v>49</v>
      </c>
      <c r="CR525" t="s">
        <v>621</v>
      </c>
      <c r="CS525" t="s">
        <v>49</v>
      </c>
      <c r="CT525" t="s">
        <v>632</v>
      </c>
      <c r="CU525">
        <v>1766</v>
      </c>
    </row>
    <row r="526" spans="95:99">
      <c r="CQ526" t="s">
        <v>49</v>
      </c>
      <c r="CR526" t="s">
        <v>621</v>
      </c>
      <c r="CS526" t="s">
        <v>49</v>
      </c>
      <c r="CT526" t="s">
        <v>633</v>
      </c>
      <c r="CU526">
        <v>102250</v>
      </c>
    </row>
    <row r="527" spans="95:99">
      <c r="CQ527" t="s">
        <v>49</v>
      </c>
      <c r="CR527" t="s">
        <v>621</v>
      </c>
      <c r="CS527" t="s">
        <v>49</v>
      </c>
      <c r="CT527" t="s">
        <v>634</v>
      </c>
      <c r="CU527">
        <v>82895</v>
      </c>
    </row>
    <row r="528" spans="95:99">
      <c r="CQ528" t="s">
        <v>49</v>
      </c>
      <c r="CR528" t="s">
        <v>621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621</v>
      </c>
      <c r="CS529" t="s">
        <v>49</v>
      </c>
      <c r="CT529" t="s">
        <v>647</v>
      </c>
      <c r="CU529">
        <v>11120</v>
      </c>
    </row>
    <row r="530" spans="95:99">
      <c r="CQ530" t="s">
        <v>49</v>
      </c>
      <c r="CR530" t="s">
        <v>621</v>
      </c>
      <c r="CS530" t="s">
        <v>49</v>
      </c>
      <c r="CT530" t="s">
        <v>635</v>
      </c>
      <c r="CU530">
        <v>10850</v>
      </c>
    </row>
    <row r="531" spans="95:99">
      <c r="CQ531" t="s">
        <v>49</v>
      </c>
      <c r="CR531" t="s">
        <v>621</v>
      </c>
      <c r="CS531" t="s">
        <v>49</v>
      </c>
      <c r="CT531" t="s">
        <v>636</v>
      </c>
      <c r="CU531">
        <v>1378</v>
      </c>
    </row>
    <row r="532" spans="95:99">
      <c r="CQ532" t="s">
        <v>49</v>
      </c>
      <c r="CR532" t="s">
        <v>621</v>
      </c>
      <c r="CS532" t="s">
        <v>49</v>
      </c>
      <c r="CT532" t="s">
        <v>637</v>
      </c>
      <c r="CU532">
        <v>3613</v>
      </c>
    </row>
    <row r="533" spans="95:99">
      <c r="CQ533" t="s">
        <v>49</v>
      </c>
      <c r="CR533" t="s">
        <v>621</v>
      </c>
      <c r="CS533" t="s">
        <v>49</v>
      </c>
      <c r="CT533" t="s">
        <v>638</v>
      </c>
      <c r="CU533">
        <v>807</v>
      </c>
    </row>
    <row r="534" spans="95:99">
      <c r="CQ534" t="s">
        <v>49</v>
      </c>
      <c r="CR534" t="s">
        <v>621</v>
      </c>
      <c r="CS534" t="s">
        <v>49</v>
      </c>
      <c r="CT534" t="s">
        <v>624</v>
      </c>
      <c r="CU534">
        <v>1079</v>
      </c>
    </row>
    <row r="535" spans="95:99">
      <c r="CQ535" t="s">
        <v>49</v>
      </c>
      <c r="CR535" t="s">
        <v>621</v>
      </c>
      <c r="CS535" t="s">
        <v>55</v>
      </c>
    </row>
    <row r="536" spans="95:99">
      <c r="CQ536" t="s">
        <v>49</v>
      </c>
      <c r="CR536" t="s">
        <v>621</v>
      </c>
      <c r="CS536" t="s">
        <v>55</v>
      </c>
      <c r="CT536" t="s">
        <v>613</v>
      </c>
      <c r="CU536">
        <v>111455</v>
      </c>
    </row>
    <row r="537" spans="95:99">
      <c r="CQ537" t="s">
        <v>49</v>
      </c>
      <c r="CR537" t="s">
        <v>621</v>
      </c>
      <c r="CS537" t="s">
        <v>55</v>
      </c>
      <c r="CT537" t="s">
        <v>632</v>
      </c>
      <c r="CU537">
        <v>445</v>
      </c>
    </row>
    <row r="538" spans="95:99">
      <c r="CQ538" t="s">
        <v>49</v>
      </c>
      <c r="CR538" t="s">
        <v>621</v>
      </c>
      <c r="CS538" t="s">
        <v>55</v>
      </c>
      <c r="CT538" t="s">
        <v>633</v>
      </c>
      <c r="CU538">
        <v>74134</v>
      </c>
    </row>
    <row r="539" spans="95:99">
      <c r="CQ539" t="s">
        <v>49</v>
      </c>
      <c r="CR539" t="s">
        <v>621</v>
      </c>
      <c r="CS539" t="s">
        <v>55</v>
      </c>
      <c r="CT539" t="s">
        <v>634</v>
      </c>
      <c r="CU539">
        <v>17190</v>
      </c>
    </row>
    <row r="540" spans="95:99">
      <c r="CQ540" t="s">
        <v>49</v>
      </c>
      <c r="CR540" t="s">
        <v>621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621</v>
      </c>
      <c r="CS541" t="s">
        <v>55</v>
      </c>
      <c r="CT541" t="s">
        <v>647</v>
      </c>
      <c r="CU541">
        <v>4583</v>
      </c>
    </row>
    <row r="542" spans="95:99">
      <c r="CQ542" t="s">
        <v>49</v>
      </c>
      <c r="CR542" t="s">
        <v>621</v>
      </c>
      <c r="CS542" t="s">
        <v>55</v>
      </c>
      <c r="CT542" t="s">
        <v>635</v>
      </c>
      <c r="CU542">
        <v>8635</v>
      </c>
    </row>
    <row r="543" spans="95:99">
      <c r="CQ543" t="s">
        <v>49</v>
      </c>
      <c r="CR543" t="s">
        <v>621</v>
      </c>
      <c r="CS543" t="s">
        <v>55</v>
      </c>
      <c r="CT543" t="s">
        <v>636</v>
      </c>
      <c r="CU543">
        <v>969</v>
      </c>
    </row>
    <row r="544" spans="95:99">
      <c r="CQ544" t="s">
        <v>49</v>
      </c>
      <c r="CR544" t="s">
        <v>621</v>
      </c>
      <c r="CS544" t="s">
        <v>55</v>
      </c>
      <c r="CT544" t="s">
        <v>637</v>
      </c>
      <c r="CU544">
        <v>2895</v>
      </c>
    </row>
    <row r="545" spans="95:99">
      <c r="CQ545" t="s">
        <v>49</v>
      </c>
      <c r="CR545" t="s">
        <v>621</v>
      </c>
      <c r="CS545" t="s">
        <v>55</v>
      </c>
      <c r="CT545" t="s">
        <v>638</v>
      </c>
      <c r="CU545">
        <v>428</v>
      </c>
    </row>
    <row r="546" spans="95:99">
      <c r="CQ546" t="s">
        <v>49</v>
      </c>
      <c r="CR546" t="s">
        <v>621</v>
      </c>
      <c r="CS546" t="s">
        <v>55</v>
      </c>
      <c r="CT546" t="s">
        <v>624</v>
      </c>
      <c r="CU546">
        <v>429</v>
      </c>
    </row>
    <row r="547" spans="95:99">
      <c r="CQ547" t="s">
        <v>49</v>
      </c>
      <c r="CR547" t="s">
        <v>621</v>
      </c>
      <c r="CS547" t="s">
        <v>53</v>
      </c>
    </row>
    <row r="548" spans="95:99">
      <c r="CQ548" t="s">
        <v>49</v>
      </c>
      <c r="CR548" t="s">
        <v>621</v>
      </c>
      <c r="CS548" t="s">
        <v>53</v>
      </c>
      <c r="CT548" t="s">
        <v>613</v>
      </c>
      <c r="CU548">
        <v>80437</v>
      </c>
    </row>
    <row r="549" spans="95:99">
      <c r="CQ549" t="s">
        <v>49</v>
      </c>
      <c r="CR549" t="s">
        <v>621</v>
      </c>
      <c r="CS549" t="s">
        <v>53</v>
      </c>
      <c r="CT549" t="s">
        <v>632</v>
      </c>
      <c r="CU549">
        <v>339</v>
      </c>
    </row>
    <row r="550" spans="95:99">
      <c r="CQ550" t="s">
        <v>49</v>
      </c>
      <c r="CR550" t="s">
        <v>621</v>
      </c>
      <c r="CS550" t="s">
        <v>53</v>
      </c>
      <c r="CT550" t="s">
        <v>633</v>
      </c>
      <c r="CU550">
        <v>23596</v>
      </c>
    </row>
    <row r="551" spans="95:99">
      <c r="CQ551" t="s">
        <v>49</v>
      </c>
      <c r="CR551" t="s">
        <v>621</v>
      </c>
      <c r="CS551" t="s">
        <v>53</v>
      </c>
      <c r="CT551" t="s">
        <v>634</v>
      </c>
      <c r="CU551">
        <v>46106</v>
      </c>
    </row>
    <row r="552" spans="95:99">
      <c r="CQ552" t="s">
        <v>49</v>
      </c>
      <c r="CR552" t="s">
        <v>621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621</v>
      </c>
      <c r="CS553" t="s">
        <v>53</v>
      </c>
      <c r="CT553" t="s">
        <v>647</v>
      </c>
      <c r="CU553">
        <v>4671</v>
      </c>
    </row>
    <row r="554" spans="95:99">
      <c r="CQ554" t="s">
        <v>49</v>
      </c>
      <c r="CR554" t="s">
        <v>621</v>
      </c>
      <c r="CS554" t="s">
        <v>53</v>
      </c>
      <c r="CT554" t="s">
        <v>635</v>
      </c>
      <c r="CU554">
        <v>1692</v>
      </c>
    </row>
    <row r="555" spans="95:99">
      <c r="CQ555" t="s">
        <v>49</v>
      </c>
      <c r="CR555" t="s">
        <v>621</v>
      </c>
      <c r="CS555" t="s">
        <v>53</v>
      </c>
      <c r="CT555" t="s">
        <v>636</v>
      </c>
      <c r="CU555">
        <v>237</v>
      </c>
    </row>
    <row r="556" spans="95:99">
      <c r="CQ556" t="s">
        <v>49</v>
      </c>
      <c r="CR556" t="s">
        <v>621</v>
      </c>
      <c r="CS556" t="s">
        <v>53</v>
      </c>
      <c r="CT556" t="s">
        <v>637</v>
      </c>
      <c r="CU556">
        <v>506</v>
      </c>
    </row>
    <row r="557" spans="95:99">
      <c r="CQ557" t="s">
        <v>49</v>
      </c>
      <c r="CR557" t="s">
        <v>621</v>
      </c>
      <c r="CS557" t="s">
        <v>53</v>
      </c>
      <c r="CT557" t="s">
        <v>638</v>
      </c>
      <c r="CU557">
        <v>150</v>
      </c>
    </row>
    <row r="558" spans="95:99">
      <c r="CQ558" t="s">
        <v>49</v>
      </c>
      <c r="CR558" t="s">
        <v>621</v>
      </c>
      <c r="CS558" t="s">
        <v>53</v>
      </c>
      <c r="CT558" t="s">
        <v>624</v>
      </c>
      <c r="CU558">
        <v>299</v>
      </c>
    </row>
    <row r="559" spans="95:99">
      <c r="CQ559" t="s">
        <v>49</v>
      </c>
      <c r="CR559" t="s">
        <v>621</v>
      </c>
      <c r="CS559" t="s">
        <v>53</v>
      </c>
    </row>
    <row r="560" spans="95:99">
      <c r="CQ560" t="s">
        <v>49</v>
      </c>
      <c r="CR560" t="s">
        <v>621</v>
      </c>
      <c r="CS560" t="s">
        <v>53</v>
      </c>
      <c r="CT560" t="s">
        <v>613</v>
      </c>
      <c r="CU560">
        <v>19161</v>
      </c>
    </row>
    <row r="561" spans="95:99">
      <c r="CQ561" t="s">
        <v>49</v>
      </c>
      <c r="CR561" t="s">
        <v>621</v>
      </c>
      <c r="CS561" t="s">
        <v>53</v>
      </c>
      <c r="CT561" t="s">
        <v>632</v>
      </c>
      <c r="CU561">
        <v>216</v>
      </c>
    </row>
    <row r="562" spans="95:99">
      <c r="CQ562" t="s">
        <v>49</v>
      </c>
      <c r="CR562" t="s">
        <v>621</v>
      </c>
      <c r="CS562" t="s">
        <v>53</v>
      </c>
      <c r="CT562" t="s">
        <v>633</v>
      </c>
      <c r="CU562">
        <v>3064</v>
      </c>
    </row>
    <row r="563" spans="95:99">
      <c r="CQ563" t="s">
        <v>49</v>
      </c>
      <c r="CR563" t="s">
        <v>621</v>
      </c>
      <c r="CS563" t="s">
        <v>53</v>
      </c>
      <c r="CT563" t="s">
        <v>634</v>
      </c>
      <c r="CU563">
        <v>11328</v>
      </c>
    </row>
    <row r="564" spans="95:99">
      <c r="CQ564" t="s">
        <v>49</v>
      </c>
      <c r="CR564" t="s">
        <v>621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621</v>
      </c>
      <c r="CS565" t="s">
        <v>53</v>
      </c>
      <c r="CT565" t="s">
        <v>647</v>
      </c>
      <c r="CU565">
        <v>1462</v>
      </c>
    </row>
    <row r="566" spans="95:99">
      <c r="CQ566" t="s">
        <v>49</v>
      </c>
      <c r="CR566" t="s">
        <v>621</v>
      </c>
      <c r="CS566" t="s">
        <v>53</v>
      </c>
      <c r="CT566" t="s">
        <v>635</v>
      </c>
      <c r="CU566">
        <v>374</v>
      </c>
    </row>
    <row r="567" spans="95:99">
      <c r="CQ567" t="s">
        <v>49</v>
      </c>
      <c r="CR567" t="s">
        <v>621</v>
      </c>
      <c r="CS567" t="s">
        <v>53</v>
      </c>
      <c r="CT567" t="s">
        <v>636</v>
      </c>
      <c r="CU567">
        <v>68</v>
      </c>
    </row>
    <row r="568" spans="95:99">
      <c r="CQ568" t="s">
        <v>49</v>
      </c>
      <c r="CR568" t="s">
        <v>621</v>
      </c>
      <c r="CS568" t="s">
        <v>53</v>
      </c>
      <c r="CT568" t="s">
        <v>637</v>
      </c>
      <c r="CU568">
        <v>139</v>
      </c>
    </row>
    <row r="569" spans="95:99">
      <c r="CQ569" t="s">
        <v>49</v>
      </c>
      <c r="CR569" t="s">
        <v>621</v>
      </c>
      <c r="CS569" t="s">
        <v>53</v>
      </c>
      <c r="CT569" t="s">
        <v>638</v>
      </c>
      <c r="CU569">
        <v>55</v>
      </c>
    </row>
    <row r="570" spans="95:99">
      <c r="CQ570" t="s">
        <v>49</v>
      </c>
      <c r="CR570" t="s">
        <v>621</v>
      </c>
      <c r="CS570" t="s">
        <v>53</v>
      </c>
      <c r="CT570" t="s">
        <v>624</v>
      </c>
      <c r="CU570">
        <v>77</v>
      </c>
    </row>
    <row r="571" spans="95:99">
      <c r="CQ571" t="s">
        <v>49</v>
      </c>
      <c r="CR571" t="s">
        <v>621</v>
      </c>
      <c r="CS571" t="s">
        <v>343</v>
      </c>
    </row>
    <row r="572" spans="95:99">
      <c r="CQ572" t="s">
        <v>49</v>
      </c>
      <c r="CR572" t="s">
        <v>621</v>
      </c>
      <c r="CS572" t="s">
        <v>343</v>
      </c>
      <c r="CT572" t="s">
        <v>613</v>
      </c>
      <c r="CU572">
        <v>27108</v>
      </c>
    </row>
    <row r="573" spans="95:99">
      <c r="CQ573" t="s">
        <v>49</v>
      </c>
      <c r="CR573" t="s">
        <v>621</v>
      </c>
      <c r="CS573" t="s">
        <v>343</v>
      </c>
      <c r="CT573" t="s">
        <v>632</v>
      </c>
      <c r="CU573">
        <v>694</v>
      </c>
    </row>
    <row r="574" spans="95:99">
      <c r="CQ574" t="s">
        <v>49</v>
      </c>
      <c r="CR574" t="s">
        <v>621</v>
      </c>
      <c r="CS574" t="s">
        <v>343</v>
      </c>
      <c r="CT574" t="s">
        <v>633</v>
      </c>
      <c r="CU574">
        <v>753</v>
      </c>
    </row>
    <row r="575" spans="95:99">
      <c r="CQ575" t="s">
        <v>49</v>
      </c>
      <c r="CR575" t="s">
        <v>621</v>
      </c>
      <c r="CS575" t="s">
        <v>343</v>
      </c>
      <c r="CT575" t="s">
        <v>634</v>
      </c>
      <c r="CU575">
        <v>7608</v>
      </c>
    </row>
    <row r="576" spans="95:99">
      <c r="CQ576" t="s">
        <v>49</v>
      </c>
      <c r="CR576" t="s">
        <v>621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621</v>
      </c>
      <c r="CS577" t="s">
        <v>343</v>
      </c>
      <c r="CT577" t="s">
        <v>647</v>
      </c>
      <c r="CU577">
        <v>234</v>
      </c>
    </row>
    <row r="578" spans="95:99">
      <c r="CQ578" t="s">
        <v>49</v>
      </c>
      <c r="CR578" t="s">
        <v>621</v>
      </c>
      <c r="CS578" t="s">
        <v>343</v>
      </c>
      <c r="CT578" t="s">
        <v>635</v>
      </c>
      <c r="CU578">
        <v>56</v>
      </c>
    </row>
    <row r="579" spans="95:99">
      <c r="CQ579" t="s">
        <v>49</v>
      </c>
      <c r="CR579" t="s">
        <v>621</v>
      </c>
      <c r="CS579" t="s">
        <v>343</v>
      </c>
      <c r="CT579" t="s">
        <v>636</v>
      </c>
      <c r="CU579">
        <v>87</v>
      </c>
    </row>
    <row r="580" spans="95:99">
      <c r="CQ580" t="s">
        <v>49</v>
      </c>
      <c r="CR580" t="s">
        <v>621</v>
      </c>
      <c r="CS580" t="s">
        <v>343</v>
      </c>
      <c r="CT580" t="s">
        <v>637</v>
      </c>
      <c r="CU580">
        <v>45</v>
      </c>
    </row>
    <row r="581" spans="95:99">
      <c r="CQ581" t="s">
        <v>49</v>
      </c>
      <c r="CR581" t="s">
        <v>621</v>
      </c>
      <c r="CS581" t="s">
        <v>343</v>
      </c>
      <c r="CT581" t="s">
        <v>638</v>
      </c>
      <c r="CU581">
        <v>161</v>
      </c>
    </row>
    <row r="582" spans="95:99">
      <c r="CQ582" t="s">
        <v>49</v>
      </c>
      <c r="CR582" t="s">
        <v>621</v>
      </c>
      <c r="CS582" t="s">
        <v>343</v>
      </c>
      <c r="CT582" t="s">
        <v>624</v>
      </c>
      <c r="CU582">
        <v>220</v>
      </c>
    </row>
    <row r="583" spans="95:99">
      <c r="CQ583" t="s">
        <v>49</v>
      </c>
      <c r="CR583" t="s">
        <v>621</v>
      </c>
      <c r="CS583" t="s">
        <v>343</v>
      </c>
    </row>
    <row r="584" spans="95:99">
      <c r="CQ584" t="s">
        <v>49</v>
      </c>
      <c r="CR584" t="s">
        <v>621</v>
      </c>
      <c r="CS584" t="s">
        <v>343</v>
      </c>
      <c r="CT584" t="s">
        <v>613</v>
      </c>
      <c r="CU584">
        <v>1672</v>
      </c>
    </row>
    <row r="585" spans="95:99">
      <c r="CQ585" t="s">
        <v>49</v>
      </c>
      <c r="CR585" t="s">
        <v>621</v>
      </c>
      <c r="CS585" t="s">
        <v>343</v>
      </c>
      <c r="CT585" t="s">
        <v>632</v>
      </c>
      <c r="CU585">
        <v>66</v>
      </c>
    </row>
    <row r="586" spans="95:99">
      <c r="CQ586" t="s">
        <v>49</v>
      </c>
      <c r="CR586" t="s">
        <v>621</v>
      </c>
      <c r="CS586" t="s">
        <v>343</v>
      </c>
      <c r="CT586" t="s">
        <v>633</v>
      </c>
      <c r="CU586">
        <v>362</v>
      </c>
    </row>
    <row r="587" spans="95:99">
      <c r="CQ587" t="s">
        <v>49</v>
      </c>
      <c r="CR587" t="s">
        <v>621</v>
      </c>
      <c r="CS587" t="s">
        <v>343</v>
      </c>
      <c r="CT587" t="s">
        <v>634</v>
      </c>
      <c r="CU587">
        <v>354</v>
      </c>
    </row>
    <row r="588" spans="95:99">
      <c r="CQ588" t="s">
        <v>49</v>
      </c>
      <c r="CR588" t="s">
        <v>621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621</v>
      </c>
      <c r="CS589" t="s">
        <v>343</v>
      </c>
      <c r="CT589" t="s">
        <v>647</v>
      </c>
      <c r="CU589">
        <v>64</v>
      </c>
    </row>
    <row r="590" spans="95:99">
      <c r="CQ590" t="s">
        <v>49</v>
      </c>
      <c r="CR590" t="s">
        <v>621</v>
      </c>
      <c r="CS590" t="s">
        <v>343</v>
      </c>
      <c r="CT590" t="s">
        <v>635</v>
      </c>
      <c r="CU590">
        <v>21</v>
      </c>
    </row>
    <row r="591" spans="95:99">
      <c r="CQ591" t="s">
        <v>49</v>
      </c>
      <c r="CR591" t="s">
        <v>621</v>
      </c>
      <c r="CS591" t="s">
        <v>343</v>
      </c>
      <c r="CT591" t="s">
        <v>636</v>
      </c>
      <c r="CU591">
        <v>16</v>
      </c>
    </row>
    <row r="592" spans="95:99">
      <c r="CQ592" t="s">
        <v>49</v>
      </c>
      <c r="CR592" t="s">
        <v>621</v>
      </c>
      <c r="CS592" t="s">
        <v>343</v>
      </c>
      <c r="CT592" t="s">
        <v>637</v>
      </c>
      <c r="CU592">
        <v>14</v>
      </c>
    </row>
    <row r="593" spans="95:99">
      <c r="CQ593" t="s">
        <v>49</v>
      </c>
      <c r="CR593" t="s">
        <v>621</v>
      </c>
      <c r="CS593" t="s">
        <v>343</v>
      </c>
      <c r="CT593" t="s">
        <v>638</v>
      </c>
      <c r="CU593">
        <v>7</v>
      </c>
    </row>
    <row r="594" spans="95:99">
      <c r="CQ594" t="s">
        <v>49</v>
      </c>
      <c r="CR594" t="s">
        <v>621</v>
      </c>
      <c r="CS594" t="s">
        <v>343</v>
      </c>
      <c r="CT594" t="s">
        <v>624</v>
      </c>
      <c r="CU594">
        <v>12</v>
      </c>
    </row>
    <row r="595" spans="95:99">
      <c r="CQ595" t="s">
        <v>49</v>
      </c>
      <c r="CR595" t="s">
        <v>621</v>
      </c>
      <c r="CS595" t="s">
        <v>624</v>
      </c>
    </row>
    <row r="596" spans="95:99">
      <c r="CQ596" t="s">
        <v>49</v>
      </c>
      <c r="CR596" t="s">
        <v>621</v>
      </c>
      <c r="CS596" t="s">
        <v>624</v>
      </c>
      <c r="CT596" t="s">
        <v>613</v>
      </c>
      <c r="CU596">
        <v>978</v>
      </c>
    </row>
    <row r="597" spans="95:99">
      <c r="CQ597" t="s">
        <v>49</v>
      </c>
      <c r="CR597" t="s">
        <v>621</v>
      </c>
      <c r="CS597" t="s">
        <v>624</v>
      </c>
      <c r="CT597" t="s">
        <v>632</v>
      </c>
      <c r="CU597">
        <v>6</v>
      </c>
    </row>
    <row r="598" spans="95:99">
      <c r="CQ598" t="s">
        <v>49</v>
      </c>
      <c r="CR598" t="s">
        <v>621</v>
      </c>
      <c r="CS598" t="s">
        <v>624</v>
      </c>
      <c r="CT598" t="s">
        <v>633</v>
      </c>
      <c r="CU598">
        <v>341</v>
      </c>
    </row>
    <row r="599" spans="95:99">
      <c r="CQ599" t="s">
        <v>49</v>
      </c>
      <c r="CR599" t="s">
        <v>621</v>
      </c>
      <c r="CS599" t="s">
        <v>624</v>
      </c>
      <c r="CT599" t="s">
        <v>634</v>
      </c>
      <c r="CU599">
        <v>309</v>
      </c>
    </row>
    <row r="600" spans="95:99">
      <c r="CQ600" t="s">
        <v>49</v>
      </c>
      <c r="CR600" t="s">
        <v>621</v>
      </c>
      <c r="CS600" t="s">
        <v>624</v>
      </c>
      <c r="CT600" t="s">
        <v>164</v>
      </c>
      <c r="CU600">
        <v>81</v>
      </c>
    </row>
    <row r="601" spans="95:99">
      <c r="CQ601" t="s">
        <v>49</v>
      </c>
      <c r="CR601" t="s">
        <v>621</v>
      </c>
      <c r="CS601" t="s">
        <v>624</v>
      </c>
      <c r="CT601" t="s">
        <v>647</v>
      </c>
      <c r="CU601">
        <v>106</v>
      </c>
    </row>
    <row r="602" spans="95:99">
      <c r="CQ602" t="s">
        <v>49</v>
      </c>
      <c r="CR602" t="s">
        <v>621</v>
      </c>
      <c r="CS602" t="s">
        <v>624</v>
      </c>
      <c r="CT602" t="s">
        <v>635</v>
      </c>
      <c r="CU602">
        <v>72</v>
      </c>
    </row>
    <row r="603" spans="95:99">
      <c r="CQ603" t="s">
        <v>49</v>
      </c>
      <c r="CR603" t="s">
        <v>621</v>
      </c>
      <c r="CS603" t="s">
        <v>624</v>
      </c>
      <c r="CT603" t="s">
        <v>636</v>
      </c>
      <c r="CU603">
        <v>1</v>
      </c>
    </row>
    <row r="604" spans="95:99">
      <c r="CQ604" t="s">
        <v>49</v>
      </c>
      <c r="CR604" t="s">
        <v>621</v>
      </c>
      <c r="CS604" t="s">
        <v>624</v>
      </c>
      <c r="CT604" t="s">
        <v>637</v>
      </c>
      <c r="CU604">
        <v>14</v>
      </c>
    </row>
    <row r="605" spans="95:99">
      <c r="CQ605" t="s">
        <v>49</v>
      </c>
      <c r="CR605" t="s">
        <v>621</v>
      </c>
      <c r="CS605" t="s">
        <v>624</v>
      </c>
      <c r="CT605" t="s">
        <v>638</v>
      </c>
      <c r="CU605">
        <v>6</v>
      </c>
    </row>
    <row r="606" spans="95:99">
      <c r="CQ606" t="s">
        <v>49</v>
      </c>
      <c r="CR606" t="s">
        <v>621</v>
      </c>
      <c r="CS606" t="s">
        <v>624</v>
      </c>
      <c r="CT606" t="s">
        <v>624</v>
      </c>
      <c r="CU606">
        <v>42</v>
      </c>
    </row>
    <row r="607" spans="95:99">
      <c r="CQ607" t="s">
        <v>49</v>
      </c>
      <c r="CR607" t="s">
        <v>622</v>
      </c>
    </row>
    <row r="608" spans="95:99">
      <c r="CQ608" t="s">
        <v>49</v>
      </c>
      <c r="CR608" t="s">
        <v>622</v>
      </c>
      <c r="CS608" t="s">
        <v>613</v>
      </c>
    </row>
    <row r="609" spans="95:99">
      <c r="CQ609" t="s">
        <v>49</v>
      </c>
      <c r="CR609" t="s">
        <v>622</v>
      </c>
      <c r="CS609" t="s">
        <v>49</v>
      </c>
      <c r="CT609" t="s">
        <v>613</v>
      </c>
      <c r="CU609">
        <v>431763</v>
      </c>
    </row>
    <row r="610" spans="95:99">
      <c r="CQ610" t="s">
        <v>49</v>
      </c>
      <c r="CR610" t="s">
        <v>622</v>
      </c>
      <c r="CS610" t="s">
        <v>49</v>
      </c>
      <c r="CT610" t="s">
        <v>632</v>
      </c>
      <c r="CU610">
        <v>2385</v>
      </c>
    </row>
    <row r="611" spans="95:99">
      <c r="CQ611" t="s">
        <v>49</v>
      </c>
      <c r="CR611" t="s">
        <v>622</v>
      </c>
      <c r="CS611" t="s">
        <v>49</v>
      </c>
      <c r="CT611" t="s">
        <v>633</v>
      </c>
      <c r="CU611">
        <v>167241</v>
      </c>
    </row>
    <row r="612" spans="95:99">
      <c r="CQ612" t="s">
        <v>49</v>
      </c>
      <c r="CR612" t="s">
        <v>622</v>
      </c>
      <c r="CS612" t="s">
        <v>49</v>
      </c>
      <c r="CT612" t="s">
        <v>634</v>
      </c>
      <c r="CU612">
        <v>167918</v>
      </c>
    </row>
    <row r="613" spans="95:99">
      <c r="CQ613" t="s">
        <v>49</v>
      </c>
      <c r="CR613" t="s">
        <v>622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622</v>
      </c>
      <c r="CS614" t="s">
        <v>49</v>
      </c>
      <c r="CT614" t="s">
        <v>647</v>
      </c>
      <c r="CU614">
        <v>12590</v>
      </c>
    </row>
    <row r="615" spans="95:99">
      <c r="CQ615" t="s">
        <v>49</v>
      </c>
      <c r="CR615" t="s">
        <v>622</v>
      </c>
      <c r="CS615" t="s">
        <v>49</v>
      </c>
      <c r="CT615" t="s">
        <v>635</v>
      </c>
      <c r="CU615">
        <v>14020</v>
      </c>
    </row>
    <row r="616" spans="95:99">
      <c r="CQ616" t="s">
        <v>49</v>
      </c>
      <c r="CR616" t="s">
        <v>622</v>
      </c>
      <c r="CS616" t="s">
        <v>49</v>
      </c>
      <c r="CT616" t="s">
        <v>636</v>
      </c>
      <c r="CU616">
        <v>3543</v>
      </c>
    </row>
    <row r="617" spans="95:99">
      <c r="CQ617" t="s">
        <v>49</v>
      </c>
      <c r="CR617" t="s">
        <v>622</v>
      </c>
      <c r="CS617" t="s">
        <v>49</v>
      </c>
      <c r="CT617" t="s">
        <v>637</v>
      </c>
      <c r="CU617">
        <v>7212</v>
      </c>
    </row>
    <row r="618" spans="95:99">
      <c r="CQ618" t="s">
        <v>49</v>
      </c>
      <c r="CR618" t="s">
        <v>622</v>
      </c>
      <c r="CS618" t="s">
        <v>49</v>
      </c>
      <c r="CT618" t="s">
        <v>638</v>
      </c>
      <c r="CU618">
        <v>5044</v>
      </c>
    </row>
    <row r="619" spans="95:99">
      <c r="CQ619" t="s">
        <v>49</v>
      </c>
      <c r="CR619" t="s">
        <v>622</v>
      </c>
      <c r="CS619" t="s">
        <v>49</v>
      </c>
      <c r="CT619" t="s">
        <v>624</v>
      </c>
      <c r="CU619">
        <v>2229</v>
      </c>
    </row>
    <row r="620" spans="95:99">
      <c r="CQ620" t="s">
        <v>49</v>
      </c>
      <c r="CR620" t="s">
        <v>622</v>
      </c>
      <c r="CS620" t="s">
        <v>55</v>
      </c>
    </row>
    <row r="621" spans="95:99">
      <c r="CQ621" t="s">
        <v>49</v>
      </c>
      <c r="CR621" t="s">
        <v>622</v>
      </c>
      <c r="CS621" t="s">
        <v>55</v>
      </c>
      <c r="CT621" t="s">
        <v>613</v>
      </c>
      <c r="CU621">
        <v>175223</v>
      </c>
    </row>
    <row r="622" spans="95:99">
      <c r="CQ622" t="s">
        <v>49</v>
      </c>
      <c r="CR622" t="s">
        <v>622</v>
      </c>
      <c r="CS622" t="s">
        <v>55</v>
      </c>
      <c r="CT622" t="s">
        <v>632</v>
      </c>
      <c r="CU622">
        <v>644</v>
      </c>
    </row>
    <row r="623" spans="95:99">
      <c r="CQ623" t="s">
        <v>49</v>
      </c>
      <c r="CR623" t="s">
        <v>622</v>
      </c>
      <c r="CS623" t="s">
        <v>55</v>
      </c>
      <c r="CT623" t="s">
        <v>633</v>
      </c>
      <c r="CU623">
        <v>113051</v>
      </c>
    </row>
    <row r="624" spans="95:99">
      <c r="CQ624" t="s">
        <v>49</v>
      </c>
      <c r="CR624" t="s">
        <v>622</v>
      </c>
      <c r="CS624" t="s">
        <v>55</v>
      </c>
      <c r="CT624" t="s">
        <v>634</v>
      </c>
      <c r="CU624">
        <v>26564</v>
      </c>
    </row>
    <row r="625" spans="95:99">
      <c r="CQ625" t="s">
        <v>49</v>
      </c>
      <c r="CR625" t="s">
        <v>622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622</v>
      </c>
      <c r="CS626" t="s">
        <v>55</v>
      </c>
      <c r="CT626" t="s">
        <v>647</v>
      </c>
      <c r="CU626">
        <v>5234</v>
      </c>
    </row>
    <row r="627" spans="95:99">
      <c r="CQ627" t="s">
        <v>49</v>
      </c>
      <c r="CR627" t="s">
        <v>622</v>
      </c>
      <c r="CS627" t="s">
        <v>55</v>
      </c>
      <c r="CT627" t="s">
        <v>635</v>
      </c>
      <c r="CU627">
        <v>11248</v>
      </c>
    </row>
    <row r="628" spans="95:99">
      <c r="CQ628" t="s">
        <v>49</v>
      </c>
      <c r="CR628" t="s">
        <v>622</v>
      </c>
      <c r="CS628" t="s">
        <v>55</v>
      </c>
      <c r="CT628" t="s">
        <v>636</v>
      </c>
      <c r="CU628">
        <v>1668</v>
      </c>
    </row>
    <row r="629" spans="95:99">
      <c r="CQ629" t="s">
        <v>49</v>
      </c>
      <c r="CR629" t="s">
        <v>622</v>
      </c>
      <c r="CS629" t="s">
        <v>55</v>
      </c>
      <c r="CT629" t="s">
        <v>637</v>
      </c>
      <c r="CU629">
        <v>5852</v>
      </c>
    </row>
    <row r="630" spans="95:99">
      <c r="CQ630" t="s">
        <v>49</v>
      </c>
      <c r="CR630" t="s">
        <v>622</v>
      </c>
      <c r="CS630" t="s">
        <v>55</v>
      </c>
      <c r="CT630" t="s">
        <v>638</v>
      </c>
      <c r="CU630">
        <v>3988</v>
      </c>
    </row>
    <row r="631" spans="95:99">
      <c r="CQ631" t="s">
        <v>49</v>
      </c>
      <c r="CR631" t="s">
        <v>622</v>
      </c>
      <c r="CS631" t="s">
        <v>55</v>
      </c>
      <c r="CT631" t="s">
        <v>624</v>
      </c>
      <c r="CU631">
        <v>766</v>
      </c>
    </row>
    <row r="632" spans="95:99">
      <c r="CQ632" t="s">
        <v>49</v>
      </c>
      <c r="CR632" t="s">
        <v>622</v>
      </c>
      <c r="CS632" t="s">
        <v>53</v>
      </c>
    </row>
    <row r="633" spans="95:99">
      <c r="CQ633" t="s">
        <v>49</v>
      </c>
      <c r="CR633" t="s">
        <v>622</v>
      </c>
      <c r="CS633" t="s">
        <v>53</v>
      </c>
      <c r="CT633" t="s">
        <v>613</v>
      </c>
      <c r="CU633">
        <v>115869</v>
      </c>
    </row>
    <row r="634" spans="95:99">
      <c r="CQ634" t="s">
        <v>49</v>
      </c>
      <c r="CR634" t="s">
        <v>622</v>
      </c>
      <c r="CS634" t="s">
        <v>53</v>
      </c>
      <c r="CT634" t="s">
        <v>632</v>
      </c>
      <c r="CU634">
        <v>424</v>
      </c>
    </row>
    <row r="635" spans="95:99">
      <c r="CQ635" t="s">
        <v>49</v>
      </c>
      <c r="CR635" t="s">
        <v>622</v>
      </c>
      <c r="CS635" t="s">
        <v>53</v>
      </c>
      <c r="CT635" t="s">
        <v>633</v>
      </c>
      <c r="CU635">
        <v>42508</v>
      </c>
    </row>
    <row r="636" spans="95:99">
      <c r="CQ636" t="s">
        <v>49</v>
      </c>
      <c r="CR636" t="s">
        <v>622</v>
      </c>
      <c r="CS636" t="s">
        <v>53</v>
      </c>
      <c r="CT636" t="s">
        <v>634</v>
      </c>
      <c r="CU636">
        <v>59123</v>
      </c>
    </row>
    <row r="637" spans="95:99">
      <c r="CQ637" t="s">
        <v>49</v>
      </c>
      <c r="CR637" t="s">
        <v>622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622</v>
      </c>
      <c r="CS638" t="s">
        <v>53</v>
      </c>
      <c r="CT638" t="s">
        <v>647</v>
      </c>
      <c r="CU638">
        <v>5439</v>
      </c>
    </row>
    <row r="639" spans="95:99">
      <c r="CQ639" t="s">
        <v>49</v>
      </c>
      <c r="CR639" t="s">
        <v>622</v>
      </c>
      <c r="CS639" t="s">
        <v>53</v>
      </c>
      <c r="CT639" t="s">
        <v>635</v>
      </c>
      <c r="CU639">
        <v>2160</v>
      </c>
    </row>
    <row r="640" spans="95:99">
      <c r="CQ640" t="s">
        <v>49</v>
      </c>
      <c r="CR640" t="s">
        <v>622</v>
      </c>
      <c r="CS640" t="s">
        <v>53</v>
      </c>
      <c r="CT640" t="s">
        <v>636</v>
      </c>
      <c r="CU640">
        <v>979</v>
      </c>
    </row>
    <row r="641" spans="95:99">
      <c r="CQ641" t="s">
        <v>49</v>
      </c>
      <c r="CR641" t="s">
        <v>622</v>
      </c>
      <c r="CS641" t="s">
        <v>53</v>
      </c>
      <c r="CT641" t="s">
        <v>637</v>
      </c>
      <c r="CU641">
        <v>903</v>
      </c>
    </row>
    <row r="642" spans="95:99">
      <c r="CQ642" t="s">
        <v>49</v>
      </c>
      <c r="CR642" t="s">
        <v>622</v>
      </c>
      <c r="CS642" t="s">
        <v>53</v>
      </c>
      <c r="CT642" t="s">
        <v>638</v>
      </c>
      <c r="CU642">
        <v>327</v>
      </c>
    </row>
    <row r="643" spans="95:99">
      <c r="CQ643" t="s">
        <v>49</v>
      </c>
      <c r="CR643" t="s">
        <v>622</v>
      </c>
      <c r="CS643" t="s">
        <v>53</v>
      </c>
      <c r="CT643" t="s">
        <v>624</v>
      </c>
      <c r="CU643">
        <v>467</v>
      </c>
    </row>
    <row r="644" spans="95:99">
      <c r="CQ644" t="s">
        <v>49</v>
      </c>
      <c r="CR644" t="s">
        <v>622</v>
      </c>
      <c r="CS644" t="s">
        <v>53</v>
      </c>
    </row>
    <row r="645" spans="95:99">
      <c r="CQ645" t="s">
        <v>49</v>
      </c>
      <c r="CR645" t="s">
        <v>622</v>
      </c>
      <c r="CS645" t="s">
        <v>53</v>
      </c>
      <c r="CT645" t="s">
        <v>613</v>
      </c>
      <c r="CU645">
        <v>51682</v>
      </c>
    </row>
    <row r="646" spans="95:99">
      <c r="CQ646" t="s">
        <v>49</v>
      </c>
      <c r="CR646" t="s">
        <v>622</v>
      </c>
      <c r="CS646" t="s">
        <v>53</v>
      </c>
      <c r="CT646" t="s">
        <v>632</v>
      </c>
      <c r="CU646">
        <v>228</v>
      </c>
    </row>
    <row r="647" spans="95:99">
      <c r="CQ647" t="s">
        <v>49</v>
      </c>
      <c r="CR647" t="s">
        <v>622</v>
      </c>
      <c r="CS647" t="s">
        <v>53</v>
      </c>
      <c r="CT647" t="s">
        <v>633</v>
      </c>
      <c r="CU647">
        <v>8894</v>
      </c>
    </row>
    <row r="648" spans="95:99">
      <c r="CQ648" t="s">
        <v>49</v>
      </c>
      <c r="CR648" t="s">
        <v>622</v>
      </c>
      <c r="CS648" t="s">
        <v>53</v>
      </c>
      <c r="CT648" t="s">
        <v>634</v>
      </c>
      <c r="CU648">
        <v>36277</v>
      </c>
    </row>
    <row r="649" spans="95:99">
      <c r="CQ649" t="s">
        <v>49</v>
      </c>
      <c r="CR649" t="s">
        <v>622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622</v>
      </c>
      <c r="CS650" t="s">
        <v>53</v>
      </c>
      <c r="CT650" t="s">
        <v>647</v>
      </c>
      <c r="CU650">
        <v>1542</v>
      </c>
    </row>
    <row r="651" spans="95:99">
      <c r="CQ651" t="s">
        <v>49</v>
      </c>
      <c r="CR651" t="s">
        <v>622</v>
      </c>
      <c r="CS651" t="s">
        <v>53</v>
      </c>
      <c r="CT651" t="s">
        <v>635</v>
      </c>
      <c r="CU651">
        <v>441</v>
      </c>
    </row>
    <row r="652" spans="95:99">
      <c r="CQ652" t="s">
        <v>49</v>
      </c>
      <c r="CR652" t="s">
        <v>622</v>
      </c>
      <c r="CS652" t="s">
        <v>53</v>
      </c>
      <c r="CT652" t="s">
        <v>636</v>
      </c>
      <c r="CU652">
        <v>499</v>
      </c>
    </row>
    <row r="653" spans="95:99">
      <c r="CQ653" t="s">
        <v>49</v>
      </c>
      <c r="CR653" t="s">
        <v>622</v>
      </c>
      <c r="CS653" t="s">
        <v>53</v>
      </c>
      <c r="CT653" t="s">
        <v>637</v>
      </c>
      <c r="CU653">
        <v>257</v>
      </c>
    </row>
    <row r="654" spans="95:99">
      <c r="CQ654" t="s">
        <v>49</v>
      </c>
      <c r="CR654" t="s">
        <v>622</v>
      </c>
      <c r="CS654" t="s">
        <v>53</v>
      </c>
      <c r="CT654" t="s">
        <v>638</v>
      </c>
      <c r="CU654">
        <v>119</v>
      </c>
    </row>
    <row r="655" spans="95:99">
      <c r="CQ655" t="s">
        <v>49</v>
      </c>
      <c r="CR655" t="s">
        <v>622</v>
      </c>
      <c r="CS655" t="s">
        <v>53</v>
      </c>
      <c r="CT655" t="s">
        <v>624</v>
      </c>
      <c r="CU655">
        <v>223</v>
      </c>
    </row>
    <row r="656" spans="95:99">
      <c r="CQ656" t="s">
        <v>49</v>
      </c>
      <c r="CR656" t="s">
        <v>622</v>
      </c>
      <c r="CS656" t="s">
        <v>343</v>
      </c>
    </row>
    <row r="657" spans="95:99">
      <c r="CQ657" t="s">
        <v>49</v>
      </c>
      <c r="CR657" t="s">
        <v>622</v>
      </c>
      <c r="CS657" t="s">
        <v>343</v>
      </c>
      <c r="CT657" t="s">
        <v>613</v>
      </c>
      <c r="CU657">
        <v>84521</v>
      </c>
    </row>
    <row r="658" spans="95:99">
      <c r="CQ658" t="s">
        <v>49</v>
      </c>
      <c r="CR658" t="s">
        <v>622</v>
      </c>
      <c r="CS658" t="s">
        <v>343</v>
      </c>
      <c r="CT658" t="s">
        <v>632</v>
      </c>
      <c r="CU658">
        <v>1015</v>
      </c>
    </row>
    <row r="659" spans="95:99">
      <c r="CQ659" t="s">
        <v>49</v>
      </c>
      <c r="CR659" t="s">
        <v>622</v>
      </c>
      <c r="CS659" t="s">
        <v>343</v>
      </c>
      <c r="CT659" t="s">
        <v>633</v>
      </c>
      <c r="CU659">
        <v>1604</v>
      </c>
    </row>
    <row r="660" spans="95:99">
      <c r="CQ660" t="s">
        <v>49</v>
      </c>
      <c r="CR660" t="s">
        <v>622</v>
      </c>
      <c r="CS660" t="s">
        <v>343</v>
      </c>
      <c r="CT660" t="s">
        <v>634</v>
      </c>
      <c r="CU660">
        <v>44313</v>
      </c>
    </row>
    <row r="661" spans="95:99">
      <c r="CQ661" t="s">
        <v>49</v>
      </c>
      <c r="CR661" t="s">
        <v>622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622</v>
      </c>
      <c r="CS662" t="s">
        <v>343</v>
      </c>
      <c r="CT662" t="s">
        <v>647</v>
      </c>
      <c r="CU662">
        <v>210</v>
      </c>
    </row>
    <row r="663" spans="95:99">
      <c r="CQ663" t="s">
        <v>49</v>
      </c>
      <c r="CR663" t="s">
        <v>622</v>
      </c>
      <c r="CS663" t="s">
        <v>343</v>
      </c>
      <c r="CT663" t="s">
        <v>635</v>
      </c>
      <c r="CU663">
        <v>65</v>
      </c>
    </row>
    <row r="664" spans="95:99">
      <c r="CQ664" t="s">
        <v>49</v>
      </c>
      <c r="CR664" t="s">
        <v>622</v>
      </c>
      <c r="CS664" t="s">
        <v>343</v>
      </c>
      <c r="CT664" t="s">
        <v>636</v>
      </c>
      <c r="CU664">
        <v>364</v>
      </c>
    </row>
    <row r="665" spans="95:99">
      <c r="CQ665" t="s">
        <v>49</v>
      </c>
      <c r="CR665" t="s">
        <v>622</v>
      </c>
      <c r="CS665" t="s">
        <v>343</v>
      </c>
      <c r="CT665" t="s">
        <v>637</v>
      </c>
      <c r="CU665">
        <v>147</v>
      </c>
    </row>
    <row r="666" spans="95:99">
      <c r="CQ666" t="s">
        <v>49</v>
      </c>
      <c r="CR666" t="s">
        <v>622</v>
      </c>
      <c r="CS666" t="s">
        <v>343</v>
      </c>
      <c r="CT666" t="s">
        <v>638</v>
      </c>
      <c r="CU666">
        <v>574</v>
      </c>
    </row>
    <row r="667" spans="95:99">
      <c r="CQ667" t="s">
        <v>49</v>
      </c>
      <c r="CR667" t="s">
        <v>622</v>
      </c>
      <c r="CS667" t="s">
        <v>343</v>
      </c>
      <c r="CT667" t="s">
        <v>624</v>
      </c>
      <c r="CU667">
        <v>692</v>
      </c>
    </row>
    <row r="668" spans="95:99">
      <c r="CQ668" t="s">
        <v>49</v>
      </c>
      <c r="CR668" t="s">
        <v>622</v>
      </c>
      <c r="CS668" t="s">
        <v>343</v>
      </c>
    </row>
    <row r="669" spans="95:99">
      <c r="CQ669" t="s">
        <v>49</v>
      </c>
      <c r="CR669" t="s">
        <v>622</v>
      </c>
      <c r="CS669" t="s">
        <v>343</v>
      </c>
      <c r="CT669" t="s">
        <v>613</v>
      </c>
      <c r="CU669">
        <v>2399</v>
      </c>
    </row>
    <row r="670" spans="95:99">
      <c r="CQ670" t="s">
        <v>49</v>
      </c>
      <c r="CR670" t="s">
        <v>622</v>
      </c>
      <c r="CS670" t="s">
        <v>343</v>
      </c>
      <c r="CT670" t="s">
        <v>632</v>
      </c>
      <c r="CU670">
        <v>53</v>
      </c>
    </row>
    <row r="671" spans="95:99">
      <c r="CQ671" t="s">
        <v>49</v>
      </c>
      <c r="CR671" t="s">
        <v>622</v>
      </c>
      <c r="CS671" t="s">
        <v>343</v>
      </c>
      <c r="CT671" t="s">
        <v>633</v>
      </c>
      <c r="CU671">
        <v>500</v>
      </c>
    </row>
    <row r="672" spans="95:99">
      <c r="CQ672" t="s">
        <v>49</v>
      </c>
      <c r="CR672" t="s">
        <v>622</v>
      </c>
      <c r="CS672" t="s">
        <v>343</v>
      </c>
      <c r="CT672" t="s">
        <v>634</v>
      </c>
      <c r="CU672">
        <v>756</v>
      </c>
    </row>
    <row r="673" spans="95:99">
      <c r="CQ673" t="s">
        <v>49</v>
      </c>
      <c r="CR673" t="s">
        <v>622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622</v>
      </c>
      <c r="CS674" t="s">
        <v>343</v>
      </c>
      <c r="CT674" t="s">
        <v>647</v>
      </c>
      <c r="CU674">
        <v>45</v>
      </c>
    </row>
    <row r="675" spans="95:99">
      <c r="CQ675" t="s">
        <v>49</v>
      </c>
      <c r="CR675" t="s">
        <v>622</v>
      </c>
      <c r="CS675" t="s">
        <v>343</v>
      </c>
      <c r="CT675" t="s">
        <v>635</v>
      </c>
      <c r="CU675">
        <v>26</v>
      </c>
    </row>
    <row r="676" spans="95:99">
      <c r="CQ676" t="s">
        <v>49</v>
      </c>
      <c r="CR676" t="s">
        <v>622</v>
      </c>
      <c r="CS676" t="s">
        <v>343</v>
      </c>
      <c r="CT676" t="s">
        <v>636</v>
      </c>
      <c r="CU676">
        <v>25</v>
      </c>
    </row>
    <row r="677" spans="95:99">
      <c r="CQ677" t="s">
        <v>49</v>
      </c>
      <c r="CR677" t="s">
        <v>622</v>
      </c>
      <c r="CS677" t="s">
        <v>343</v>
      </c>
      <c r="CT677" t="s">
        <v>637</v>
      </c>
      <c r="CU677">
        <v>28</v>
      </c>
    </row>
    <row r="678" spans="95:99">
      <c r="CQ678" t="s">
        <v>49</v>
      </c>
      <c r="CR678" t="s">
        <v>622</v>
      </c>
      <c r="CS678" t="s">
        <v>343</v>
      </c>
      <c r="CT678" t="s">
        <v>638</v>
      </c>
      <c r="CU678">
        <v>20</v>
      </c>
    </row>
    <row r="679" spans="95:99">
      <c r="CQ679" t="s">
        <v>49</v>
      </c>
      <c r="CR679" t="s">
        <v>622</v>
      </c>
      <c r="CS679" t="s">
        <v>343</v>
      </c>
      <c r="CT679" t="s">
        <v>624</v>
      </c>
      <c r="CU679">
        <v>16</v>
      </c>
    </row>
    <row r="680" spans="95:99">
      <c r="CQ680" t="s">
        <v>49</v>
      </c>
      <c r="CR680" t="s">
        <v>622</v>
      </c>
      <c r="CS680" t="s">
        <v>624</v>
      </c>
    </row>
    <row r="681" spans="95:99">
      <c r="CQ681" t="s">
        <v>49</v>
      </c>
      <c r="CR681" t="s">
        <v>622</v>
      </c>
      <c r="CS681" t="s">
        <v>624</v>
      </c>
      <c r="CT681" t="s">
        <v>613</v>
      </c>
      <c r="CU681">
        <v>2069</v>
      </c>
    </row>
    <row r="682" spans="95:99">
      <c r="CQ682" t="s">
        <v>49</v>
      </c>
      <c r="CR682" t="s">
        <v>622</v>
      </c>
      <c r="CS682" t="s">
        <v>624</v>
      </c>
      <c r="CT682" t="s">
        <v>632</v>
      </c>
      <c r="CU682">
        <v>21</v>
      </c>
    </row>
    <row r="683" spans="95:99">
      <c r="CQ683" t="s">
        <v>49</v>
      </c>
      <c r="CR683" t="s">
        <v>622</v>
      </c>
      <c r="CS683" t="s">
        <v>624</v>
      </c>
      <c r="CT683" t="s">
        <v>633</v>
      </c>
      <c r="CU683">
        <v>684</v>
      </c>
    </row>
    <row r="684" spans="95:99">
      <c r="CQ684" t="s">
        <v>49</v>
      </c>
      <c r="CR684" t="s">
        <v>622</v>
      </c>
      <c r="CS684" t="s">
        <v>624</v>
      </c>
      <c r="CT684" t="s">
        <v>634</v>
      </c>
      <c r="CU684">
        <v>885</v>
      </c>
    </row>
    <row r="685" spans="95:99">
      <c r="CQ685" t="s">
        <v>49</v>
      </c>
      <c r="CR685" t="s">
        <v>622</v>
      </c>
      <c r="CS685" t="s">
        <v>624</v>
      </c>
      <c r="CT685" t="s">
        <v>164</v>
      </c>
      <c r="CU685">
        <v>165</v>
      </c>
    </row>
    <row r="686" spans="95:99">
      <c r="CQ686" t="s">
        <v>49</v>
      </c>
      <c r="CR686" t="s">
        <v>622</v>
      </c>
      <c r="CS686" t="s">
        <v>624</v>
      </c>
      <c r="CT686" t="s">
        <v>647</v>
      </c>
      <c r="CU686">
        <v>120</v>
      </c>
    </row>
    <row r="687" spans="95:99">
      <c r="CQ687" t="s">
        <v>49</v>
      </c>
      <c r="CR687" t="s">
        <v>622</v>
      </c>
      <c r="CS687" t="s">
        <v>624</v>
      </c>
      <c r="CT687" t="s">
        <v>635</v>
      </c>
      <c r="CU687">
        <v>80</v>
      </c>
    </row>
    <row r="688" spans="95:99">
      <c r="CQ688" t="s">
        <v>49</v>
      </c>
      <c r="CR688" t="s">
        <v>622</v>
      </c>
      <c r="CS688" t="s">
        <v>624</v>
      </c>
      <c r="CT688" t="s">
        <v>636</v>
      </c>
      <c r="CU688">
        <v>8</v>
      </c>
    </row>
    <row r="689" spans="95:99">
      <c r="CQ689" t="s">
        <v>49</v>
      </c>
      <c r="CR689" t="s">
        <v>622</v>
      </c>
      <c r="CS689" t="s">
        <v>624</v>
      </c>
      <c r="CT689" t="s">
        <v>637</v>
      </c>
      <c r="CU689">
        <v>25</v>
      </c>
    </row>
    <row r="690" spans="95:99">
      <c r="CQ690" t="s">
        <v>49</v>
      </c>
      <c r="CR690" t="s">
        <v>622</v>
      </c>
      <c r="CS690" t="s">
        <v>624</v>
      </c>
      <c r="CT690" t="s">
        <v>638</v>
      </c>
      <c r="CU690">
        <v>16</v>
      </c>
    </row>
    <row r="691" spans="95:99">
      <c r="CQ691" t="s">
        <v>49</v>
      </c>
      <c r="CR691" t="s">
        <v>622</v>
      </c>
      <c r="CS691" t="s">
        <v>624</v>
      </c>
      <c r="CT691" t="s">
        <v>624</v>
      </c>
      <c r="CU691">
        <v>65</v>
      </c>
    </row>
    <row r="692" spans="95:99">
      <c r="CQ692" t="s">
        <v>49</v>
      </c>
      <c r="CR692" t="s">
        <v>623</v>
      </c>
    </row>
    <row r="693" spans="95:99">
      <c r="CQ693" t="s">
        <v>49</v>
      </c>
      <c r="CR693" t="s">
        <v>623</v>
      </c>
      <c r="CS693" t="s">
        <v>613</v>
      </c>
    </row>
    <row r="694" spans="95:99">
      <c r="CQ694" t="s">
        <v>49</v>
      </c>
      <c r="CR694" t="s">
        <v>623</v>
      </c>
      <c r="CS694" t="s">
        <v>49</v>
      </c>
      <c r="CT694" t="s">
        <v>613</v>
      </c>
      <c r="CU694">
        <v>33436</v>
      </c>
    </row>
    <row r="695" spans="95:99">
      <c r="CQ695" t="s">
        <v>49</v>
      </c>
      <c r="CR695" t="s">
        <v>623</v>
      </c>
      <c r="CS695" t="s">
        <v>49</v>
      </c>
      <c r="CT695" t="s">
        <v>632</v>
      </c>
      <c r="CU695">
        <v>258</v>
      </c>
    </row>
    <row r="696" spans="95:99">
      <c r="CQ696" t="s">
        <v>49</v>
      </c>
      <c r="CR696" t="s">
        <v>623</v>
      </c>
      <c r="CS696" t="s">
        <v>49</v>
      </c>
      <c r="CT696" t="s">
        <v>633</v>
      </c>
      <c r="CU696">
        <v>11042</v>
      </c>
    </row>
    <row r="697" spans="95:99">
      <c r="CQ697" t="s">
        <v>49</v>
      </c>
      <c r="CR697" t="s">
        <v>623</v>
      </c>
      <c r="CS697" t="s">
        <v>49</v>
      </c>
      <c r="CT697" t="s">
        <v>634</v>
      </c>
      <c r="CU697">
        <v>11329</v>
      </c>
    </row>
    <row r="698" spans="95:99">
      <c r="CQ698" t="s">
        <v>49</v>
      </c>
      <c r="CR698" t="s">
        <v>623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623</v>
      </c>
      <c r="CS699" t="s">
        <v>49</v>
      </c>
      <c r="CT699" t="s">
        <v>647</v>
      </c>
      <c r="CU699">
        <v>659</v>
      </c>
    </row>
    <row r="700" spans="95:99">
      <c r="CQ700" t="s">
        <v>49</v>
      </c>
      <c r="CR700" t="s">
        <v>623</v>
      </c>
      <c r="CS700" t="s">
        <v>49</v>
      </c>
      <c r="CT700" t="s">
        <v>635</v>
      </c>
      <c r="CU700">
        <v>1431</v>
      </c>
    </row>
    <row r="701" spans="95:99">
      <c r="CQ701" t="s">
        <v>49</v>
      </c>
      <c r="CR701" t="s">
        <v>623</v>
      </c>
      <c r="CS701" t="s">
        <v>49</v>
      </c>
      <c r="CT701" t="s">
        <v>636</v>
      </c>
      <c r="CU701">
        <v>240</v>
      </c>
    </row>
    <row r="702" spans="95:99">
      <c r="CQ702" t="s">
        <v>49</v>
      </c>
      <c r="CR702" t="s">
        <v>623</v>
      </c>
      <c r="CS702" t="s">
        <v>49</v>
      </c>
      <c r="CT702" t="s">
        <v>637</v>
      </c>
      <c r="CU702">
        <v>1082</v>
      </c>
    </row>
    <row r="703" spans="95:99">
      <c r="CQ703" t="s">
        <v>49</v>
      </c>
      <c r="CR703" t="s">
        <v>623</v>
      </c>
      <c r="CS703" t="s">
        <v>49</v>
      </c>
      <c r="CT703" t="s">
        <v>638</v>
      </c>
      <c r="CU703">
        <v>1667</v>
      </c>
    </row>
    <row r="704" spans="95:99">
      <c r="CQ704" t="s">
        <v>49</v>
      </c>
      <c r="CR704" t="s">
        <v>623</v>
      </c>
      <c r="CS704" t="s">
        <v>49</v>
      </c>
      <c r="CT704" t="s">
        <v>624</v>
      </c>
      <c r="CU704">
        <v>320</v>
      </c>
    </row>
    <row r="705" spans="95:99">
      <c r="CQ705" t="s">
        <v>49</v>
      </c>
      <c r="CR705" t="s">
        <v>623</v>
      </c>
      <c r="CS705" t="s">
        <v>55</v>
      </c>
    </row>
    <row r="706" spans="95:99">
      <c r="CQ706" t="s">
        <v>49</v>
      </c>
      <c r="CR706" t="s">
        <v>623</v>
      </c>
      <c r="CS706" t="s">
        <v>55</v>
      </c>
      <c r="CT706" t="s">
        <v>613</v>
      </c>
      <c r="CU706">
        <v>18050</v>
      </c>
    </row>
    <row r="707" spans="95:99">
      <c r="CQ707" t="s">
        <v>49</v>
      </c>
      <c r="CR707" t="s">
        <v>623</v>
      </c>
      <c r="CS707" t="s">
        <v>55</v>
      </c>
      <c r="CT707" t="s">
        <v>632</v>
      </c>
      <c r="CU707">
        <v>149</v>
      </c>
    </row>
    <row r="708" spans="95:99">
      <c r="CQ708" t="s">
        <v>49</v>
      </c>
      <c r="CR708" t="s">
        <v>623</v>
      </c>
      <c r="CS708" t="s">
        <v>55</v>
      </c>
      <c r="CT708" t="s">
        <v>633</v>
      </c>
      <c r="CU708">
        <v>9159</v>
      </c>
    </row>
    <row r="709" spans="95:99">
      <c r="CQ709" t="s">
        <v>49</v>
      </c>
      <c r="CR709" t="s">
        <v>623</v>
      </c>
      <c r="CS709" t="s">
        <v>55</v>
      </c>
      <c r="CT709" t="s">
        <v>634</v>
      </c>
      <c r="CU709">
        <v>2065</v>
      </c>
    </row>
    <row r="710" spans="95:99">
      <c r="CQ710" t="s">
        <v>49</v>
      </c>
      <c r="CR710" t="s">
        <v>623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623</v>
      </c>
      <c r="CS711" t="s">
        <v>55</v>
      </c>
      <c r="CT711" t="s">
        <v>647</v>
      </c>
      <c r="CU711">
        <v>438</v>
      </c>
    </row>
    <row r="712" spans="95:99">
      <c r="CQ712" t="s">
        <v>49</v>
      </c>
      <c r="CR712" t="s">
        <v>623</v>
      </c>
      <c r="CS712" t="s">
        <v>55</v>
      </c>
      <c r="CT712" t="s">
        <v>635</v>
      </c>
      <c r="CU712">
        <v>1332</v>
      </c>
    </row>
    <row r="713" spans="95:99">
      <c r="CQ713" t="s">
        <v>49</v>
      </c>
      <c r="CR713" t="s">
        <v>623</v>
      </c>
      <c r="CS713" t="s">
        <v>55</v>
      </c>
      <c r="CT713" t="s">
        <v>636</v>
      </c>
      <c r="CU713">
        <v>151</v>
      </c>
    </row>
    <row r="714" spans="95:99">
      <c r="CQ714" t="s">
        <v>49</v>
      </c>
      <c r="CR714" t="s">
        <v>623</v>
      </c>
      <c r="CS714" t="s">
        <v>55</v>
      </c>
      <c r="CT714" t="s">
        <v>637</v>
      </c>
      <c r="CU714">
        <v>964</v>
      </c>
    </row>
    <row r="715" spans="95:99">
      <c r="CQ715" t="s">
        <v>49</v>
      </c>
      <c r="CR715" t="s">
        <v>623</v>
      </c>
      <c r="CS715" t="s">
        <v>55</v>
      </c>
      <c r="CT715" t="s">
        <v>638</v>
      </c>
      <c r="CU715">
        <v>1361</v>
      </c>
    </row>
    <row r="716" spans="95:99">
      <c r="CQ716" t="s">
        <v>49</v>
      </c>
      <c r="CR716" t="s">
        <v>623</v>
      </c>
      <c r="CS716" t="s">
        <v>55</v>
      </c>
      <c r="CT716" t="s">
        <v>624</v>
      </c>
      <c r="CU716">
        <v>133</v>
      </c>
    </row>
    <row r="717" spans="95:99">
      <c r="CQ717" t="s">
        <v>49</v>
      </c>
      <c r="CR717" t="s">
        <v>623</v>
      </c>
      <c r="CS717" t="s">
        <v>53</v>
      </c>
    </row>
    <row r="718" spans="95:99">
      <c r="CQ718" t="s">
        <v>49</v>
      </c>
      <c r="CR718" t="s">
        <v>623</v>
      </c>
      <c r="CS718" t="s">
        <v>53</v>
      </c>
      <c r="CT718" t="s">
        <v>613</v>
      </c>
      <c r="CU718">
        <v>5900</v>
      </c>
    </row>
    <row r="719" spans="95:99">
      <c r="CQ719" t="s">
        <v>49</v>
      </c>
      <c r="CR719" t="s">
        <v>623</v>
      </c>
      <c r="CS719" t="s">
        <v>53</v>
      </c>
      <c r="CT719" t="s">
        <v>632</v>
      </c>
      <c r="CU719">
        <v>20</v>
      </c>
    </row>
    <row r="720" spans="95:99">
      <c r="CQ720" t="s">
        <v>49</v>
      </c>
      <c r="CR720" t="s">
        <v>623</v>
      </c>
      <c r="CS720" t="s">
        <v>53</v>
      </c>
      <c r="CT720" t="s">
        <v>633</v>
      </c>
      <c r="CU720">
        <v>1202</v>
      </c>
    </row>
    <row r="721" spans="95:99">
      <c r="CQ721" t="s">
        <v>49</v>
      </c>
      <c r="CR721" t="s">
        <v>623</v>
      </c>
      <c r="CS721" t="s">
        <v>53</v>
      </c>
      <c r="CT721" t="s">
        <v>634</v>
      </c>
      <c r="CU721">
        <v>3582</v>
      </c>
    </row>
    <row r="722" spans="95:99">
      <c r="CQ722" t="s">
        <v>49</v>
      </c>
      <c r="CR722" t="s">
        <v>623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623</v>
      </c>
      <c r="CS723" t="s">
        <v>53</v>
      </c>
      <c r="CT723" t="s">
        <v>647</v>
      </c>
      <c r="CU723">
        <v>148</v>
      </c>
    </row>
    <row r="724" spans="95:99">
      <c r="CQ724" t="s">
        <v>49</v>
      </c>
      <c r="CR724" t="s">
        <v>623</v>
      </c>
      <c r="CS724" t="s">
        <v>53</v>
      </c>
      <c r="CT724" t="s">
        <v>635</v>
      </c>
      <c r="CU724">
        <v>63</v>
      </c>
    </row>
    <row r="725" spans="95:99">
      <c r="CQ725" t="s">
        <v>49</v>
      </c>
      <c r="CR725" t="s">
        <v>623</v>
      </c>
      <c r="CS725" t="s">
        <v>53</v>
      </c>
      <c r="CT725" t="s">
        <v>636</v>
      </c>
      <c r="CU725">
        <v>28</v>
      </c>
    </row>
    <row r="726" spans="95:99">
      <c r="CQ726" t="s">
        <v>49</v>
      </c>
      <c r="CR726" t="s">
        <v>623</v>
      </c>
      <c r="CS726" t="s">
        <v>53</v>
      </c>
      <c r="CT726" t="s">
        <v>637</v>
      </c>
      <c r="CU726">
        <v>44</v>
      </c>
    </row>
    <row r="727" spans="95:99">
      <c r="CQ727" t="s">
        <v>49</v>
      </c>
      <c r="CR727" t="s">
        <v>623</v>
      </c>
      <c r="CS727" t="s">
        <v>53</v>
      </c>
      <c r="CT727" t="s">
        <v>638</v>
      </c>
      <c r="CU727">
        <v>134</v>
      </c>
    </row>
    <row r="728" spans="95:99">
      <c r="CQ728" t="s">
        <v>49</v>
      </c>
      <c r="CR728" t="s">
        <v>623</v>
      </c>
      <c r="CS728" t="s">
        <v>53</v>
      </c>
      <c r="CT728" t="s">
        <v>624</v>
      </c>
      <c r="CU728">
        <v>46</v>
      </c>
    </row>
    <row r="729" spans="95:99">
      <c r="CQ729" t="s">
        <v>49</v>
      </c>
      <c r="CR729" t="s">
        <v>623</v>
      </c>
      <c r="CS729" t="s">
        <v>53</v>
      </c>
    </row>
    <row r="730" spans="95:99">
      <c r="CQ730" t="s">
        <v>49</v>
      </c>
      <c r="CR730" t="s">
        <v>623</v>
      </c>
      <c r="CS730" t="s">
        <v>53</v>
      </c>
      <c r="CT730" t="s">
        <v>613</v>
      </c>
      <c r="CU730">
        <v>3127</v>
      </c>
    </row>
    <row r="731" spans="95:99">
      <c r="CQ731" t="s">
        <v>49</v>
      </c>
      <c r="CR731" t="s">
        <v>623</v>
      </c>
      <c r="CS731" t="s">
        <v>53</v>
      </c>
      <c r="CT731" t="s">
        <v>632</v>
      </c>
      <c r="CU731">
        <v>13</v>
      </c>
    </row>
    <row r="732" spans="95:99">
      <c r="CQ732" t="s">
        <v>49</v>
      </c>
      <c r="CR732" t="s">
        <v>623</v>
      </c>
      <c r="CS732" t="s">
        <v>53</v>
      </c>
      <c r="CT732" t="s">
        <v>633</v>
      </c>
      <c r="CU732">
        <v>363</v>
      </c>
    </row>
    <row r="733" spans="95:99">
      <c r="CQ733" t="s">
        <v>49</v>
      </c>
      <c r="CR733" t="s">
        <v>623</v>
      </c>
      <c r="CS733" t="s">
        <v>53</v>
      </c>
      <c r="CT733" t="s">
        <v>634</v>
      </c>
      <c r="CU733">
        <v>2280</v>
      </c>
    </row>
    <row r="734" spans="95:99">
      <c r="CQ734" t="s">
        <v>49</v>
      </c>
      <c r="CR734" t="s">
        <v>623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623</v>
      </c>
      <c r="CS735" t="s">
        <v>53</v>
      </c>
      <c r="CT735" t="s">
        <v>647</v>
      </c>
      <c r="CU735">
        <v>50</v>
      </c>
    </row>
    <row r="736" spans="95:99">
      <c r="CQ736" t="s">
        <v>49</v>
      </c>
      <c r="CR736" t="s">
        <v>623</v>
      </c>
      <c r="CS736" t="s">
        <v>53</v>
      </c>
      <c r="CT736" t="s">
        <v>635</v>
      </c>
      <c r="CU736">
        <v>12</v>
      </c>
    </row>
    <row r="737" spans="95:99">
      <c r="CQ737" t="s">
        <v>49</v>
      </c>
      <c r="CR737" t="s">
        <v>623</v>
      </c>
      <c r="CS737" t="s">
        <v>53</v>
      </c>
      <c r="CT737" t="s">
        <v>636</v>
      </c>
      <c r="CU737">
        <v>25</v>
      </c>
    </row>
    <row r="738" spans="95:99">
      <c r="CQ738" t="s">
        <v>49</v>
      </c>
      <c r="CR738" t="s">
        <v>623</v>
      </c>
      <c r="CS738" t="s">
        <v>53</v>
      </c>
      <c r="CT738" t="s">
        <v>637</v>
      </c>
      <c r="CU738">
        <v>36</v>
      </c>
    </row>
    <row r="739" spans="95:99">
      <c r="CQ739" t="s">
        <v>49</v>
      </c>
      <c r="CR739" t="s">
        <v>623</v>
      </c>
      <c r="CS739" t="s">
        <v>53</v>
      </c>
      <c r="CT739" t="s">
        <v>638</v>
      </c>
      <c r="CU739">
        <v>51</v>
      </c>
    </row>
    <row r="740" spans="95:99">
      <c r="CQ740" t="s">
        <v>49</v>
      </c>
      <c r="CR740" t="s">
        <v>623</v>
      </c>
      <c r="CS740" t="s">
        <v>53</v>
      </c>
      <c r="CT740" t="s">
        <v>624</v>
      </c>
      <c r="CU740">
        <v>23</v>
      </c>
    </row>
    <row r="741" spans="95:99">
      <c r="CQ741" t="s">
        <v>49</v>
      </c>
      <c r="CR741" t="s">
        <v>623</v>
      </c>
      <c r="CS741" t="s">
        <v>343</v>
      </c>
    </row>
    <row r="742" spans="95:99">
      <c r="CQ742" t="s">
        <v>49</v>
      </c>
      <c r="CR742" t="s">
        <v>623</v>
      </c>
      <c r="CS742" t="s">
        <v>343</v>
      </c>
      <c r="CT742" t="s">
        <v>613</v>
      </c>
      <c r="CU742">
        <v>5717</v>
      </c>
    </row>
    <row r="743" spans="95:99">
      <c r="CQ743" t="s">
        <v>49</v>
      </c>
      <c r="CR743" t="s">
        <v>623</v>
      </c>
      <c r="CS743" t="s">
        <v>343</v>
      </c>
      <c r="CT743" t="s">
        <v>632</v>
      </c>
      <c r="CU743">
        <v>58</v>
      </c>
    </row>
    <row r="744" spans="95:99">
      <c r="CQ744" t="s">
        <v>49</v>
      </c>
      <c r="CR744" t="s">
        <v>623</v>
      </c>
      <c r="CS744" t="s">
        <v>343</v>
      </c>
      <c r="CT744" t="s">
        <v>633</v>
      </c>
      <c r="CU744">
        <v>171</v>
      </c>
    </row>
    <row r="745" spans="95:99">
      <c r="CQ745" t="s">
        <v>49</v>
      </c>
      <c r="CR745" t="s">
        <v>623</v>
      </c>
      <c r="CS745" t="s">
        <v>343</v>
      </c>
      <c r="CT745" t="s">
        <v>634</v>
      </c>
      <c r="CU745">
        <v>3201</v>
      </c>
    </row>
    <row r="746" spans="95:99">
      <c r="CQ746" t="s">
        <v>49</v>
      </c>
      <c r="CR746" t="s">
        <v>623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623</v>
      </c>
      <c r="CS747" t="s">
        <v>343</v>
      </c>
      <c r="CT747" t="s">
        <v>647</v>
      </c>
      <c r="CU747">
        <v>11</v>
      </c>
    </row>
    <row r="748" spans="95:99">
      <c r="CQ748" t="s">
        <v>49</v>
      </c>
      <c r="CR748" t="s">
        <v>623</v>
      </c>
      <c r="CS748" t="s">
        <v>343</v>
      </c>
      <c r="CT748" t="s">
        <v>635</v>
      </c>
      <c r="CU748">
        <v>9</v>
      </c>
    </row>
    <row r="749" spans="95:99">
      <c r="CQ749" t="s">
        <v>49</v>
      </c>
      <c r="CR749" t="s">
        <v>623</v>
      </c>
      <c r="CS749" t="s">
        <v>343</v>
      </c>
      <c r="CT749" t="s">
        <v>636</v>
      </c>
      <c r="CU749">
        <v>33</v>
      </c>
    </row>
    <row r="750" spans="95:99">
      <c r="CQ750" t="s">
        <v>49</v>
      </c>
      <c r="CR750" t="s">
        <v>623</v>
      </c>
      <c r="CS750" t="s">
        <v>343</v>
      </c>
      <c r="CT750" t="s">
        <v>637</v>
      </c>
      <c r="CU750">
        <v>26</v>
      </c>
    </row>
    <row r="751" spans="95:99">
      <c r="CQ751" t="s">
        <v>49</v>
      </c>
      <c r="CR751" t="s">
        <v>623</v>
      </c>
      <c r="CS751" t="s">
        <v>343</v>
      </c>
      <c r="CT751" t="s">
        <v>638</v>
      </c>
      <c r="CU751">
        <v>110</v>
      </c>
    </row>
    <row r="752" spans="95:99">
      <c r="CQ752" t="s">
        <v>49</v>
      </c>
      <c r="CR752" t="s">
        <v>623</v>
      </c>
      <c r="CS752" t="s">
        <v>343</v>
      </c>
      <c r="CT752" t="s">
        <v>624</v>
      </c>
      <c r="CU752">
        <v>93</v>
      </c>
    </row>
    <row r="753" spans="95:99">
      <c r="CQ753" t="s">
        <v>49</v>
      </c>
      <c r="CR753" t="s">
        <v>623</v>
      </c>
      <c r="CS753" t="s">
        <v>343</v>
      </c>
    </row>
    <row r="754" spans="95:99">
      <c r="CQ754" t="s">
        <v>49</v>
      </c>
      <c r="CR754" t="s">
        <v>623</v>
      </c>
      <c r="CS754" t="s">
        <v>343</v>
      </c>
      <c r="CT754" t="s">
        <v>613</v>
      </c>
      <c r="CU754">
        <v>407</v>
      </c>
    </row>
    <row r="755" spans="95:99">
      <c r="CQ755" t="s">
        <v>49</v>
      </c>
      <c r="CR755" t="s">
        <v>623</v>
      </c>
      <c r="CS755" t="s">
        <v>343</v>
      </c>
      <c r="CT755" t="s">
        <v>632</v>
      </c>
      <c r="CU755">
        <v>15</v>
      </c>
    </row>
    <row r="756" spans="95:99">
      <c r="CQ756" t="s">
        <v>49</v>
      </c>
      <c r="CR756" t="s">
        <v>623</v>
      </c>
      <c r="CS756" t="s">
        <v>343</v>
      </c>
      <c r="CT756" t="s">
        <v>633</v>
      </c>
      <c r="CU756">
        <v>86</v>
      </c>
    </row>
    <row r="757" spans="95:99">
      <c r="CQ757" t="s">
        <v>49</v>
      </c>
      <c r="CR757" t="s">
        <v>623</v>
      </c>
      <c r="CS757" t="s">
        <v>343</v>
      </c>
      <c r="CT757" t="s">
        <v>634</v>
      </c>
      <c r="CU757">
        <v>109</v>
      </c>
    </row>
    <row r="758" spans="95:99">
      <c r="CQ758" t="s">
        <v>49</v>
      </c>
      <c r="CR758" t="s">
        <v>623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623</v>
      </c>
      <c r="CS759" t="s">
        <v>343</v>
      </c>
      <c r="CT759" t="s">
        <v>647</v>
      </c>
      <c r="CU759">
        <v>8</v>
      </c>
    </row>
    <row r="760" spans="95:99">
      <c r="CQ760" t="s">
        <v>49</v>
      </c>
      <c r="CR760" t="s">
        <v>623</v>
      </c>
      <c r="CS760" t="s">
        <v>343</v>
      </c>
      <c r="CT760" t="s">
        <v>635</v>
      </c>
      <c r="CU760">
        <v>8</v>
      </c>
    </row>
    <row r="761" spans="95:99">
      <c r="CQ761" t="s">
        <v>49</v>
      </c>
      <c r="CR761" t="s">
        <v>623</v>
      </c>
      <c r="CS761" t="s">
        <v>343</v>
      </c>
      <c r="CT761" t="s">
        <v>636</v>
      </c>
      <c r="CU761">
        <v>3</v>
      </c>
    </row>
    <row r="762" spans="95:99">
      <c r="CQ762" t="s">
        <v>49</v>
      </c>
      <c r="CR762" t="s">
        <v>623</v>
      </c>
      <c r="CS762" t="s">
        <v>343</v>
      </c>
      <c r="CT762" t="s">
        <v>637</v>
      </c>
      <c r="CU762">
        <v>7</v>
      </c>
    </row>
    <row r="763" spans="95:99">
      <c r="CQ763" t="s">
        <v>49</v>
      </c>
      <c r="CR763" t="s">
        <v>623</v>
      </c>
      <c r="CS763" t="s">
        <v>343</v>
      </c>
      <c r="CT763" t="s">
        <v>638</v>
      </c>
      <c r="CU763">
        <v>7</v>
      </c>
    </row>
    <row r="764" spans="95:99">
      <c r="CQ764" t="s">
        <v>49</v>
      </c>
      <c r="CR764" t="s">
        <v>623</v>
      </c>
      <c r="CS764" t="s">
        <v>343</v>
      </c>
      <c r="CT764" t="s">
        <v>624</v>
      </c>
      <c r="CU764">
        <v>2</v>
      </c>
    </row>
    <row r="765" spans="95:99">
      <c r="CQ765" t="s">
        <v>49</v>
      </c>
      <c r="CR765" t="s">
        <v>623</v>
      </c>
      <c r="CS765" t="s">
        <v>624</v>
      </c>
    </row>
    <row r="766" spans="95:99">
      <c r="CQ766" t="s">
        <v>49</v>
      </c>
      <c r="CR766" t="s">
        <v>623</v>
      </c>
      <c r="CS766" t="s">
        <v>624</v>
      </c>
      <c r="CT766" t="s">
        <v>613</v>
      </c>
      <c r="CU766">
        <v>235</v>
      </c>
    </row>
    <row r="767" spans="95:99">
      <c r="CQ767" t="s">
        <v>49</v>
      </c>
      <c r="CR767" t="s">
        <v>623</v>
      </c>
      <c r="CS767" t="s">
        <v>624</v>
      </c>
      <c r="CT767" t="s">
        <v>632</v>
      </c>
      <c r="CU767">
        <v>3</v>
      </c>
    </row>
    <row r="768" spans="95:99">
      <c r="CQ768" t="s">
        <v>49</v>
      </c>
      <c r="CR768" t="s">
        <v>623</v>
      </c>
      <c r="CS768" t="s">
        <v>624</v>
      </c>
      <c r="CT768" t="s">
        <v>633</v>
      </c>
      <c r="CU768">
        <v>61</v>
      </c>
    </row>
    <row r="769" spans="95:99">
      <c r="CQ769" t="s">
        <v>49</v>
      </c>
      <c r="CR769" t="s">
        <v>623</v>
      </c>
      <c r="CS769" t="s">
        <v>624</v>
      </c>
      <c r="CT769" t="s">
        <v>634</v>
      </c>
      <c r="CU769">
        <v>92</v>
      </c>
    </row>
    <row r="770" spans="95:99">
      <c r="CQ770" t="s">
        <v>49</v>
      </c>
      <c r="CR770" t="s">
        <v>623</v>
      </c>
      <c r="CS770" t="s">
        <v>624</v>
      </c>
      <c r="CT770" t="s">
        <v>164</v>
      </c>
      <c r="CU770">
        <v>36</v>
      </c>
    </row>
    <row r="771" spans="95:99">
      <c r="CQ771" t="s">
        <v>49</v>
      </c>
      <c r="CR771" t="s">
        <v>623</v>
      </c>
      <c r="CS771" t="s">
        <v>624</v>
      </c>
      <c r="CT771" t="s">
        <v>647</v>
      </c>
      <c r="CU771">
        <v>4</v>
      </c>
    </row>
    <row r="772" spans="95:99">
      <c r="CQ772" t="s">
        <v>49</v>
      </c>
      <c r="CR772" t="s">
        <v>623</v>
      </c>
      <c r="CS772" t="s">
        <v>624</v>
      </c>
      <c r="CT772" t="s">
        <v>635</v>
      </c>
      <c r="CU772">
        <v>7</v>
      </c>
    </row>
    <row r="773" spans="95:99">
      <c r="CQ773" t="s">
        <v>49</v>
      </c>
      <c r="CR773" t="s">
        <v>623</v>
      </c>
      <c r="CS773" t="s">
        <v>624</v>
      </c>
      <c r="CT773" t="s">
        <v>636</v>
      </c>
      <c r="CU773">
        <v>0</v>
      </c>
    </row>
    <row r="774" spans="95:99">
      <c r="CQ774" t="s">
        <v>49</v>
      </c>
      <c r="CR774" t="s">
        <v>623</v>
      </c>
      <c r="CS774" t="s">
        <v>624</v>
      </c>
      <c r="CT774" t="s">
        <v>637</v>
      </c>
      <c r="CU774">
        <v>5</v>
      </c>
    </row>
    <row r="775" spans="95:99">
      <c r="CQ775" t="s">
        <v>49</v>
      </c>
      <c r="CR775" t="s">
        <v>623</v>
      </c>
      <c r="CS775" t="s">
        <v>624</v>
      </c>
      <c r="CT775" t="s">
        <v>638</v>
      </c>
      <c r="CU775">
        <v>4</v>
      </c>
    </row>
    <row r="776" spans="95:99">
      <c r="CQ776" t="s">
        <v>49</v>
      </c>
      <c r="CR776" t="s">
        <v>623</v>
      </c>
      <c r="CS776" t="s">
        <v>624</v>
      </c>
      <c r="CT776" t="s">
        <v>624</v>
      </c>
      <c r="CU776">
        <v>23</v>
      </c>
    </row>
    <row r="777" spans="95:99">
      <c r="CQ777" t="s">
        <v>49</v>
      </c>
      <c r="CR777" t="s">
        <v>659</v>
      </c>
    </row>
    <row r="778" spans="95:99">
      <c r="CQ778" t="s">
        <v>49</v>
      </c>
      <c r="CR778" t="s">
        <v>659</v>
      </c>
      <c r="CS778" t="s">
        <v>613</v>
      </c>
    </row>
    <row r="779" spans="95:99">
      <c r="CQ779" t="s">
        <v>49</v>
      </c>
      <c r="CR779" t="s">
        <v>659</v>
      </c>
      <c r="CS779" t="s">
        <v>49</v>
      </c>
      <c r="CT779" t="s">
        <v>613</v>
      </c>
      <c r="CU779">
        <v>114122</v>
      </c>
    </row>
    <row r="780" spans="95:99">
      <c r="CQ780" t="s">
        <v>49</v>
      </c>
      <c r="CR780" t="s">
        <v>659</v>
      </c>
      <c r="CS780" t="s">
        <v>49</v>
      </c>
      <c r="CT780" t="s">
        <v>632</v>
      </c>
      <c r="CU780">
        <v>1836</v>
      </c>
    </row>
    <row r="781" spans="95:99">
      <c r="CQ781" t="s">
        <v>49</v>
      </c>
      <c r="CR781" t="s">
        <v>659</v>
      </c>
      <c r="CS781" t="s">
        <v>49</v>
      </c>
      <c r="CT781" t="s">
        <v>633</v>
      </c>
      <c r="CU781">
        <v>22615</v>
      </c>
    </row>
    <row r="782" spans="95:99">
      <c r="CQ782" t="s">
        <v>49</v>
      </c>
      <c r="CR782" t="s">
        <v>659</v>
      </c>
      <c r="CS782" t="s">
        <v>49</v>
      </c>
      <c r="CT782" t="s">
        <v>634</v>
      </c>
      <c r="CU782">
        <v>29382</v>
      </c>
    </row>
    <row r="783" spans="95:99">
      <c r="CQ783" t="s">
        <v>49</v>
      </c>
      <c r="CR783" t="s">
        <v>659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659</v>
      </c>
      <c r="CS784" t="s">
        <v>49</v>
      </c>
      <c r="CT784" t="s">
        <v>647</v>
      </c>
      <c r="CU784">
        <v>3727</v>
      </c>
    </row>
    <row r="785" spans="95:99">
      <c r="CQ785" t="s">
        <v>49</v>
      </c>
      <c r="CR785" t="s">
        <v>659</v>
      </c>
      <c r="CS785" t="s">
        <v>49</v>
      </c>
      <c r="CT785" t="s">
        <v>635</v>
      </c>
      <c r="CU785">
        <v>1846</v>
      </c>
    </row>
    <row r="786" spans="95:99">
      <c r="CQ786" t="s">
        <v>49</v>
      </c>
      <c r="CR786" t="s">
        <v>659</v>
      </c>
      <c r="CS786" t="s">
        <v>49</v>
      </c>
      <c r="CT786" t="s">
        <v>636</v>
      </c>
      <c r="CU786">
        <v>345</v>
      </c>
    </row>
    <row r="787" spans="95:99">
      <c r="CQ787" t="s">
        <v>49</v>
      </c>
      <c r="CR787" t="s">
        <v>659</v>
      </c>
      <c r="CS787" t="s">
        <v>49</v>
      </c>
      <c r="CT787" t="s">
        <v>637</v>
      </c>
      <c r="CU787">
        <v>790</v>
      </c>
    </row>
    <row r="788" spans="95:99">
      <c r="CQ788" t="s">
        <v>49</v>
      </c>
      <c r="CR788" t="s">
        <v>659</v>
      </c>
      <c r="CS788" t="s">
        <v>49</v>
      </c>
      <c r="CT788" t="s">
        <v>638</v>
      </c>
      <c r="CU788">
        <v>447</v>
      </c>
    </row>
    <row r="789" spans="95:99">
      <c r="CQ789" t="s">
        <v>49</v>
      </c>
      <c r="CR789" t="s">
        <v>659</v>
      </c>
      <c r="CS789" t="s">
        <v>49</v>
      </c>
      <c r="CT789" t="s">
        <v>624</v>
      </c>
      <c r="CU789">
        <v>33339</v>
      </c>
    </row>
    <row r="790" spans="95:99">
      <c r="CQ790" t="s">
        <v>49</v>
      </c>
      <c r="CR790" t="s">
        <v>659</v>
      </c>
      <c r="CS790" t="s">
        <v>55</v>
      </c>
    </row>
    <row r="791" spans="95:99">
      <c r="CQ791" t="s">
        <v>49</v>
      </c>
      <c r="CR791" t="s">
        <v>659</v>
      </c>
      <c r="CS791" t="s">
        <v>55</v>
      </c>
      <c r="CT791" t="s">
        <v>613</v>
      </c>
      <c r="CU791">
        <v>20596</v>
      </c>
    </row>
    <row r="792" spans="95:99">
      <c r="CQ792" t="s">
        <v>49</v>
      </c>
      <c r="CR792" t="s">
        <v>659</v>
      </c>
      <c r="CS792" t="s">
        <v>55</v>
      </c>
      <c r="CT792" t="s">
        <v>632</v>
      </c>
      <c r="CU792">
        <v>240</v>
      </c>
    </row>
    <row r="793" spans="95:99">
      <c r="CQ793" t="s">
        <v>49</v>
      </c>
      <c r="CR793" t="s">
        <v>659</v>
      </c>
      <c r="CS793" t="s">
        <v>55</v>
      </c>
      <c r="CT793" t="s">
        <v>633</v>
      </c>
      <c r="CU793">
        <v>9133</v>
      </c>
    </row>
    <row r="794" spans="95:99">
      <c r="CQ794" t="s">
        <v>49</v>
      </c>
      <c r="CR794" t="s">
        <v>659</v>
      </c>
      <c r="CS794" t="s">
        <v>55</v>
      </c>
      <c r="CT794" t="s">
        <v>634</v>
      </c>
      <c r="CU794">
        <v>3188</v>
      </c>
    </row>
    <row r="795" spans="95:99">
      <c r="CQ795" t="s">
        <v>49</v>
      </c>
      <c r="CR795" t="s">
        <v>659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659</v>
      </c>
      <c r="CS796" t="s">
        <v>55</v>
      </c>
      <c r="CT796" t="s">
        <v>647</v>
      </c>
      <c r="CU796">
        <v>972</v>
      </c>
    </row>
    <row r="797" spans="95:99">
      <c r="CQ797" t="s">
        <v>49</v>
      </c>
      <c r="CR797" t="s">
        <v>659</v>
      </c>
      <c r="CS797" t="s">
        <v>55</v>
      </c>
      <c r="CT797" t="s">
        <v>635</v>
      </c>
      <c r="CU797">
        <v>990</v>
      </c>
    </row>
    <row r="798" spans="95:99">
      <c r="CQ798" t="s">
        <v>49</v>
      </c>
      <c r="CR798" t="s">
        <v>659</v>
      </c>
      <c r="CS798" t="s">
        <v>55</v>
      </c>
      <c r="CT798" t="s">
        <v>636</v>
      </c>
      <c r="CU798">
        <v>97</v>
      </c>
    </row>
    <row r="799" spans="95:99">
      <c r="CQ799" t="s">
        <v>49</v>
      </c>
      <c r="CR799" t="s">
        <v>659</v>
      </c>
      <c r="CS799" t="s">
        <v>55</v>
      </c>
      <c r="CT799" t="s">
        <v>637</v>
      </c>
      <c r="CU799">
        <v>424</v>
      </c>
    </row>
    <row r="800" spans="95:99">
      <c r="CQ800" t="s">
        <v>49</v>
      </c>
      <c r="CR800" t="s">
        <v>659</v>
      </c>
      <c r="CS800" t="s">
        <v>55</v>
      </c>
      <c r="CT800" t="s">
        <v>638</v>
      </c>
      <c r="CU800">
        <v>107</v>
      </c>
    </row>
    <row r="801" spans="95:99">
      <c r="CQ801" t="s">
        <v>49</v>
      </c>
      <c r="CR801" t="s">
        <v>659</v>
      </c>
      <c r="CS801" t="s">
        <v>55</v>
      </c>
      <c r="CT801" t="s">
        <v>624</v>
      </c>
      <c r="CU801">
        <v>4418</v>
      </c>
    </row>
    <row r="802" spans="95:99">
      <c r="CQ802" t="s">
        <v>49</v>
      </c>
      <c r="CR802" t="s">
        <v>659</v>
      </c>
      <c r="CS802" t="s">
        <v>53</v>
      </c>
    </row>
    <row r="803" spans="95:99">
      <c r="CQ803" t="s">
        <v>49</v>
      </c>
      <c r="CR803" t="s">
        <v>659</v>
      </c>
      <c r="CS803" t="s">
        <v>53</v>
      </c>
      <c r="CT803" t="s">
        <v>613</v>
      </c>
      <c r="CU803">
        <v>26052</v>
      </c>
    </row>
    <row r="804" spans="95:99">
      <c r="CQ804" t="s">
        <v>49</v>
      </c>
      <c r="CR804" t="s">
        <v>659</v>
      </c>
      <c r="CS804" t="s">
        <v>53</v>
      </c>
      <c r="CT804" t="s">
        <v>632</v>
      </c>
      <c r="CU804">
        <v>224</v>
      </c>
    </row>
    <row r="805" spans="95:99">
      <c r="CQ805" t="s">
        <v>49</v>
      </c>
      <c r="CR805" t="s">
        <v>659</v>
      </c>
      <c r="CS805" t="s">
        <v>53</v>
      </c>
      <c r="CT805" t="s">
        <v>633</v>
      </c>
      <c r="CU805">
        <v>7790</v>
      </c>
    </row>
    <row r="806" spans="95:99">
      <c r="CQ806" t="s">
        <v>49</v>
      </c>
      <c r="CR806" t="s">
        <v>659</v>
      </c>
      <c r="CS806" t="s">
        <v>53</v>
      </c>
      <c r="CT806" t="s">
        <v>634</v>
      </c>
      <c r="CU806">
        <v>9970</v>
      </c>
    </row>
    <row r="807" spans="95:99">
      <c r="CQ807" t="s">
        <v>49</v>
      </c>
      <c r="CR807" t="s">
        <v>659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659</v>
      </c>
      <c r="CS808" t="s">
        <v>53</v>
      </c>
      <c r="CT808" t="s">
        <v>647</v>
      </c>
      <c r="CU808">
        <v>1232</v>
      </c>
    </row>
    <row r="809" spans="95:99">
      <c r="CQ809" t="s">
        <v>49</v>
      </c>
      <c r="CR809" t="s">
        <v>659</v>
      </c>
      <c r="CS809" t="s">
        <v>53</v>
      </c>
      <c r="CT809" t="s">
        <v>635</v>
      </c>
      <c r="CU809">
        <v>400</v>
      </c>
    </row>
    <row r="810" spans="95:99">
      <c r="CQ810" t="s">
        <v>49</v>
      </c>
      <c r="CR810" t="s">
        <v>659</v>
      </c>
      <c r="CS810" t="s">
        <v>53</v>
      </c>
      <c r="CT810" t="s">
        <v>636</v>
      </c>
      <c r="CU810">
        <v>97</v>
      </c>
    </row>
    <row r="811" spans="95:99">
      <c r="CQ811" t="s">
        <v>49</v>
      </c>
      <c r="CR811" t="s">
        <v>659</v>
      </c>
      <c r="CS811" t="s">
        <v>53</v>
      </c>
      <c r="CT811" t="s">
        <v>637</v>
      </c>
      <c r="CU811">
        <v>144</v>
      </c>
    </row>
    <row r="812" spans="95:99">
      <c r="CQ812" t="s">
        <v>49</v>
      </c>
      <c r="CR812" t="s">
        <v>659</v>
      </c>
      <c r="CS812" t="s">
        <v>53</v>
      </c>
      <c r="CT812" t="s">
        <v>638</v>
      </c>
      <c r="CU812">
        <v>91</v>
      </c>
    </row>
    <row r="813" spans="95:99">
      <c r="CQ813" t="s">
        <v>49</v>
      </c>
      <c r="CR813" t="s">
        <v>659</v>
      </c>
      <c r="CS813" t="s">
        <v>53</v>
      </c>
      <c r="CT813" t="s">
        <v>624</v>
      </c>
      <c r="CU813">
        <v>4442</v>
      </c>
    </row>
    <row r="814" spans="95:99">
      <c r="CQ814" t="s">
        <v>49</v>
      </c>
      <c r="CR814" t="s">
        <v>659</v>
      </c>
      <c r="CS814" t="s">
        <v>53</v>
      </c>
    </row>
    <row r="815" spans="95:99">
      <c r="CQ815" t="s">
        <v>49</v>
      </c>
      <c r="CR815" t="s">
        <v>659</v>
      </c>
      <c r="CS815" t="s">
        <v>53</v>
      </c>
      <c r="CT815" t="s">
        <v>613</v>
      </c>
      <c r="CU815">
        <v>19315</v>
      </c>
    </row>
    <row r="816" spans="95:99">
      <c r="CQ816" t="s">
        <v>49</v>
      </c>
      <c r="CR816" t="s">
        <v>659</v>
      </c>
      <c r="CS816" t="s">
        <v>53</v>
      </c>
      <c r="CT816" t="s">
        <v>632</v>
      </c>
      <c r="CU816">
        <v>298</v>
      </c>
    </row>
    <row r="817" spans="95:99">
      <c r="CQ817" t="s">
        <v>49</v>
      </c>
      <c r="CR817" t="s">
        <v>659</v>
      </c>
      <c r="CS817" t="s">
        <v>53</v>
      </c>
      <c r="CT817" t="s">
        <v>633</v>
      </c>
      <c r="CU817">
        <v>3088</v>
      </c>
    </row>
    <row r="818" spans="95:99">
      <c r="CQ818" t="s">
        <v>49</v>
      </c>
      <c r="CR818" t="s">
        <v>659</v>
      </c>
      <c r="CS818" t="s">
        <v>53</v>
      </c>
      <c r="CT818" t="s">
        <v>634</v>
      </c>
      <c r="CU818">
        <v>7412</v>
      </c>
    </row>
    <row r="819" spans="95:99">
      <c r="CQ819" t="s">
        <v>49</v>
      </c>
      <c r="CR819" t="s">
        <v>659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659</v>
      </c>
      <c r="CS820" t="s">
        <v>53</v>
      </c>
      <c r="CT820" t="s">
        <v>647</v>
      </c>
      <c r="CU820">
        <v>999</v>
      </c>
    </row>
    <row r="821" spans="95:99">
      <c r="CQ821" t="s">
        <v>49</v>
      </c>
      <c r="CR821" t="s">
        <v>659</v>
      </c>
      <c r="CS821" t="s">
        <v>53</v>
      </c>
      <c r="CT821" t="s">
        <v>635</v>
      </c>
      <c r="CU821">
        <v>231</v>
      </c>
    </row>
    <row r="822" spans="95:99">
      <c r="CQ822" t="s">
        <v>49</v>
      </c>
      <c r="CR822" t="s">
        <v>659</v>
      </c>
      <c r="CS822" t="s">
        <v>53</v>
      </c>
      <c r="CT822" t="s">
        <v>636</v>
      </c>
      <c r="CU822">
        <v>58</v>
      </c>
    </row>
    <row r="823" spans="95:99">
      <c r="CQ823" t="s">
        <v>49</v>
      </c>
      <c r="CR823" t="s">
        <v>659</v>
      </c>
      <c r="CS823" t="s">
        <v>53</v>
      </c>
      <c r="CT823" t="s">
        <v>637</v>
      </c>
      <c r="CU823">
        <v>122</v>
      </c>
    </row>
    <row r="824" spans="95:99">
      <c r="CQ824" t="s">
        <v>49</v>
      </c>
      <c r="CR824" t="s">
        <v>659</v>
      </c>
      <c r="CS824" t="s">
        <v>53</v>
      </c>
      <c r="CT824" t="s">
        <v>638</v>
      </c>
      <c r="CU824">
        <v>52</v>
      </c>
    </row>
    <row r="825" spans="95:99">
      <c r="CQ825" t="s">
        <v>49</v>
      </c>
      <c r="CR825" t="s">
        <v>659</v>
      </c>
      <c r="CS825" t="s">
        <v>53</v>
      </c>
      <c r="CT825" t="s">
        <v>624</v>
      </c>
      <c r="CU825">
        <v>5091</v>
      </c>
    </row>
    <row r="826" spans="95:99">
      <c r="CQ826" t="s">
        <v>49</v>
      </c>
      <c r="CR826" t="s">
        <v>659</v>
      </c>
      <c r="CS826" t="s">
        <v>343</v>
      </c>
    </row>
    <row r="827" spans="95:99">
      <c r="CQ827" t="s">
        <v>49</v>
      </c>
      <c r="CR827" t="s">
        <v>659</v>
      </c>
      <c r="CS827" t="s">
        <v>343</v>
      </c>
      <c r="CT827" t="s">
        <v>613</v>
      </c>
      <c r="CU827">
        <v>26520</v>
      </c>
    </row>
    <row r="828" spans="95:99">
      <c r="CQ828" t="s">
        <v>49</v>
      </c>
      <c r="CR828" t="s">
        <v>659</v>
      </c>
      <c r="CS828" t="s">
        <v>343</v>
      </c>
      <c r="CT828" t="s">
        <v>632</v>
      </c>
      <c r="CU828">
        <v>624</v>
      </c>
    </row>
    <row r="829" spans="95:99">
      <c r="CQ829" t="s">
        <v>49</v>
      </c>
      <c r="CR829" t="s">
        <v>659</v>
      </c>
      <c r="CS829" t="s">
        <v>343</v>
      </c>
      <c r="CT829" t="s">
        <v>633</v>
      </c>
      <c r="CU829">
        <v>489</v>
      </c>
    </row>
    <row r="830" spans="95:99">
      <c r="CQ830" t="s">
        <v>49</v>
      </c>
      <c r="CR830" t="s">
        <v>659</v>
      </c>
      <c r="CS830" t="s">
        <v>343</v>
      </c>
      <c r="CT830" t="s">
        <v>634</v>
      </c>
      <c r="CU830">
        <v>5778</v>
      </c>
    </row>
    <row r="831" spans="95:99">
      <c r="CQ831" t="s">
        <v>49</v>
      </c>
      <c r="CR831" t="s">
        <v>659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659</v>
      </c>
      <c r="CS832" t="s">
        <v>343</v>
      </c>
      <c r="CT832" t="s">
        <v>647</v>
      </c>
      <c r="CU832">
        <v>121</v>
      </c>
    </row>
    <row r="833" spans="95:99">
      <c r="CQ833" t="s">
        <v>49</v>
      </c>
      <c r="CR833" t="s">
        <v>659</v>
      </c>
      <c r="CS833" t="s">
        <v>343</v>
      </c>
      <c r="CT833" t="s">
        <v>635</v>
      </c>
      <c r="CU833">
        <v>33</v>
      </c>
    </row>
    <row r="834" spans="95:99">
      <c r="CQ834" t="s">
        <v>49</v>
      </c>
      <c r="CR834" t="s">
        <v>659</v>
      </c>
      <c r="CS834" t="s">
        <v>343</v>
      </c>
      <c r="CT834" t="s">
        <v>636</v>
      </c>
      <c r="CU834">
        <v>59</v>
      </c>
    </row>
    <row r="835" spans="95:99">
      <c r="CQ835" t="s">
        <v>49</v>
      </c>
      <c r="CR835" t="s">
        <v>659</v>
      </c>
      <c r="CS835" t="s">
        <v>343</v>
      </c>
      <c r="CT835" t="s">
        <v>637</v>
      </c>
      <c r="CU835">
        <v>22</v>
      </c>
    </row>
    <row r="836" spans="95:99">
      <c r="CQ836" t="s">
        <v>49</v>
      </c>
      <c r="CR836" t="s">
        <v>659</v>
      </c>
      <c r="CS836" t="s">
        <v>343</v>
      </c>
      <c r="CT836" t="s">
        <v>638</v>
      </c>
      <c r="CU836">
        <v>114</v>
      </c>
    </row>
    <row r="837" spans="95:99">
      <c r="CQ837" t="s">
        <v>49</v>
      </c>
      <c r="CR837" t="s">
        <v>659</v>
      </c>
      <c r="CS837" t="s">
        <v>343</v>
      </c>
      <c r="CT837" t="s">
        <v>624</v>
      </c>
      <c r="CU837">
        <v>7920</v>
      </c>
    </row>
    <row r="838" spans="95:99">
      <c r="CQ838" t="s">
        <v>49</v>
      </c>
      <c r="CR838" t="s">
        <v>659</v>
      </c>
      <c r="CS838" t="s">
        <v>343</v>
      </c>
    </row>
    <row r="839" spans="95:99">
      <c r="CQ839" t="s">
        <v>49</v>
      </c>
      <c r="CR839" t="s">
        <v>659</v>
      </c>
      <c r="CS839" t="s">
        <v>343</v>
      </c>
      <c r="CT839" t="s">
        <v>613</v>
      </c>
      <c r="CU839">
        <v>8207</v>
      </c>
    </row>
    <row r="840" spans="95:99">
      <c r="CQ840" t="s">
        <v>49</v>
      </c>
      <c r="CR840" t="s">
        <v>659</v>
      </c>
      <c r="CS840" t="s">
        <v>343</v>
      </c>
      <c r="CT840" t="s">
        <v>632</v>
      </c>
      <c r="CU840">
        <v>357</v>
      </c>
    </row>
    <row r="841" spans="95:99">
      <c r="CQ841" t="s">
        <v>49</v>
      </c>
      <c r="CR841" t="s">
        <v>659</v>
      </c>
      <c r="CS841" t="s">
        <v>343</v>
      </c>
      <c r="CT841" t="s">
        <v>633</v>
      </c>
      <c r="CU841">
        <v>675</v>
      </c>
    </row>
    <row r="842" spans="95:99">
      <c r="CQ842" t="s">
        <v>49</v>
      </c>
      <c r="CR842" t="s">
        <v>659</v>
      </c>
      <c r="CS842" t="s">
        <v>343</v>
      </c>
      <c r="CT842" t="s">
        <v>634</v>
      </c>
      <c r="CU842">
        <v>1108</v>
      </c>
    </row>
    <row r="843" spans="95:99">
      <c r="CQ843" t="s">
        <v>49</v>
      </c>
      <c r="CR843" t="s">
        <v>659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659</v>
      </c>
      <c r="CS844" t="s">
        <v>343</v>
      </c>
      <c r="CT844" t="s">
        <v>647</v>
      </c>
      <c r="CU844">
        <v>71</v>
      </c>
    </row>
    <row r="845" spans="95:99">
      <c r="CQ845" t="s">
        <v>49</v>
      </c>
      <c r="CR845" t="s">
        <v>659</v>
      </c>
      <c r="CS845" t="s">
        <v>343</v>
      </c>
      <c r="CT845" t="s">
        <v>635</v>
      </c>
      <c r="CU845">
        <v>28</v>
      </c>
    </row>
    <row r="846" spans="95:99">
      <c r="CQ846" t="s">
        <v>49</v>
      </c>
      <c r="CR846" t="s">
        <v>659</v>
      </c>
      <c r="CS846" t="s">
        <v>343</v>
      </c>
      <c r="CT846" t="s">
        <v>636</v>
      </c>
      <c r="CU846">
        <v>19</v>
      </c>
    </row>
    <row r="847" spans="95:99">
      <c r="CQ847" t="s">
        <v>49</v>
      </c>
      <c r="CR847" t="s">
        <v>659</v>
      </c>
      <c r="CS847" t="s">
        <v>343</v>
      </c>
      <c r="CT847" t="s">
        <v>637</v>
      </c>
      <c r="CU847">
        <v>19</v>
      </c>
    </row>
    <row r="848" spans="95:99">
      <c r="CQ848" t="s">
        <v>49</v>
      </c>
      <c r="CR848" t="s">
        <v>659</v>
      </c>
      <c r="CS848" t="s">
        <v>343</v>
      </c>
      <c r="CT848" t="s">
        <v>638</v>
      </c>
      <c r="CU848">
        <v>56</v>
      </c>
    </row>
    <row r="849" spans="95:99">
      <c r="CQ849" t="s">
        <v>49</v>
      </c>
      <c r="CR849" t="s">
        <v>659</v>
      </c>
      <c r="CS849" t="s">
        <v>343</v>
      </c>
      <c r="CT849" t="s">
        <v>624</v>
      </c>
      <c r="CU849">
        <v>2928</v>
      </c>
    </row>
    <row r="850" spans="95:99">
      <c r="CQ850" t="s">
        <v>49</v>
      </c>
      <c r="CR850" t="s">
        <v>659</v>
      </c>
      <c r="CS850" t="s">
        <v>624</v>
      </c>
    </row>
    <row r="851" spans="95:99">
      <c r="CQ851" t="s">
        <v>49</v>
      </c>
      <c r="CR851" t="s">
        <v>659</v>
      </c>
      <c r="CS851" t="s">
        <v>624</v>
      </c>
      <c r="CT851" t="s">
        <v>613</v>
      </c>
      <c r="CU851">
        <v>13432</v>
      </c>
    </row>
    <row r="852" spans="95:99">
      <c r="CQ852" t="s">
        <v>49</v>
      </c>
      <c r="CR852" t="s">
        <v>659</v>
      </c>
      <c r="CS852" t="s">
        <v>624</v>
      </c>
      <c r="CT852" t="s">
        <v>632</v>
      </c>
      <c r="CU852">
        <v>93</v>
      </c>
    </row>
    <row r="853" spans="95:99">
      <c r="CQ853" t="s">
        <v>49</v>
      </c>
      <c r="CR853" t="s">
        <v>659</v>
      </c>
      <c r="CS853" t="s">
        <v>624</v>
      </c>
      <c r="CT853" t="s">
        <v>633</v>
      </c>
      <c r="CU853">
        <v>1440</v>
      </c>
    </row>
    <row r="854" spans="95:99">
      <c r="CQ854" t="s">
        <v>49</v>
      </c>
      <c r="CR854" t="s">
        <v>659</v>
      </c>
      <c r="CS854" t="s">
        <v>624</v>
      </c>
      <c r="CT854" t="s">
        <v>634</v>
      </c>
      <c r="CU854">
        <v>1926</v>
      </c>
    </row>
    <row r="855" spans="95:99">
      <c r="CQ855" t="s">
        <v>49</v>
      </c>
      <c r="CR855" t="s">
        <v>659</v>
      </c>
      <c r="CS855" t="s">
        <v>624</v>
      </c>
      <c r="CT855" t="s">
        <v>164</v>
      </c>
      <c r="CU855">
        <v>836</v>
      </c>
    </row>
    <row r="856" spans="95:99">
      <c r="CQ856" t="s">
        <v>49</v>
      </c>
      <c r="CR856" t="s">
        <v>659</v>
      </c>
      <c r="CS856" t="s">
        <v>624</v>
      </c>
      <c r="CT856" t="s">
        <v>647</v>
      </c>
      <c r="CU856">
        <v>332</v>
      </c>
    </row>
    <row r="857" spans="95:99">
      <c r="CQ857" t="s">
        <v>49</v>
      </c>
      <c r="CR857" t="s">
        <v>659</v>
      </c>
      <c r="CS857" t="s">
        <v>624</v>
      </c>
      <c r="CT857" t="s">
        <v>635</v>
      </c>
      <c r="CU857">
        <v>164</v>
      </c>
    </row>
    <row r="858" spans="95:99">
      <c r="CQ858" t="s">
        <v>49</v>
      </c>
      <c r="CR858" t="s">
        <v>659</v>
      </c>
      <c r="CS858" t="s">
        <v>624</v>
      </c>
      <c r="CT858" t="s">
        <v>636</v>
      </c>
      <c r="CU858">
        <v>15</v>
      </c>
    </row>
    <row r="859" spans="95:99">
      <c r="CQ859" t="s">
        <v>49</v>
      </c>
      <c r="CR859" t="s">
        <v>659</v>
      </c>
      <c r="CS859" t="s">
        <v>624</v>
      </c>
      <c r="CT859" t="s">
        <v>637</v>
      </c>
      <c r="CU859">
        <v>59</v>
      </c>
    </row>
    <row r="860" spans="95:99">
      <c r="CQ860" t="s">
        <v>49</v>
      </c>
      <c r="CR860" t="s">
        <v>659</v>
      </c>
      <c r="CS860" t="s">
        <v>624</v>
      </c>
      <c r="CT860" t="s">
        <v>638</v>
      </c>
      <c r="CU860">
        <v>27</v>
      </c>
    </row>
    <row r="861" spans="95:99">
      <c r="CQ861" t="s">
        <v>49</v>
      </c>
      <c r="CR861" t="s">
        <v>659</v>
      </c>
      <c r="CS861" t="s">
        <v>624</v>
      </c>
      <c r="CT861" t="s">
        <v>624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5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N34" sqref="N34"/>
    </sheetView>
  </sheetViews>
  <sheetFormatPr defaultColWidth="9.140625" defaultRowHeight="12.75"/>
  <cols>
    <col min="1" max="2" width="4.7109375" style="131" customWidth="1"/>
    <col min="3" max="3" width="9.140625" style="131"/>
    <col min="4" max="4" width="15.85546875" style="131" customWidth="1"/>
    <col min="5" max="5" width="36.28515625" style="131" customWidth="1"/>
    <col min="6" max="6" width="13.140625" style="131" customWidth="1"/>
    <col min="7" max="7" width="16.28515625" style="131" customWidth="1"/>
    <col min="8" max="8" width="12.85546875" style="131" customWidth="1"/>
    <col min="9" max="9" width="13.42578125" style="131" customWidth="1"/>
    <col min="10" max="11" width="9.140625" style="131"/>
    <col min="12" max="12" width="4.42578125" style="131" customWidth="1"/>
    <col min="13" max="13" width="14.42578125" style="131" bestFit="1" customWidth="1"/>
    <col min="14" max="14" width="47.5703125" style="131" customWidth="1"/>
    <col min="15" max="15" width="43.5703125" style="131" customWidth="1"/>
    <col min="16" max="16" width="9.140625" style="131"/>
    <col min="17" max="17" width="13.42578125" style="131" customWidth="1"/>
    <col min="18" max="18" width="9.140625" style="131"/>
    <col min="19" max="19" width="12.7109375" style="131" customWidth="1"/>
    <col min="20" max="20" width="9.140625" style="131"/>
    <col min="21" max="21" width="10.5703125" style="131" bestFit="1" customWidth="1"/>
    <col min="22" max="22" width="4.28515625" style="131" bestFit="1" customWidth="1"/>
    <col min="23" max="23" width="10" style="131" bestFit="1" customWidth="1"/>
    <col min="24" max="16384" width="9.140625" style="131"/>
  </cols>
  <sheetData>
    <row r="2" spans="1:20" ht="21">
      <c r="C2" s="77" t="s">
        <v>268</v>
      </c>
      <c r="D2" s="79"/>
      <c r="M2" s="77" t="s">
        <v>268</v>
      </c>
      <c r="N2" s="79"/>
    </row>
    <row r="3" spans="1:20" ht="15">
      <c r="C3" s="68" t="s">
        <v>269</v>
      </c>
      <c r="D3" s="68"/>
      <c r="E3" s="80"/>
      <c r="F3" s="80"/>
      <c r="G3" s="80"/>
      <c r="H3" s="80"/>
      <c r="I3" s="80"/>
      <c r="J3" s="80"/>
      <c r="M3" s="68" t="s">
        <v>269</v>
      </c>
      <c r="N3" s="68"/>
      <c r="O3" s="82"/>
      <c r="P3" s="82"/>
      <c r="Q3" s="82"/>
      <c r="R3" s="82"/>
      <c r="S3" s="82"/>
      <c r="T3" s="82"/>
    </row>
    <row r="4" spans="1:20" ht="15.75" thickBot="1">
      <c r="C4" s="69" t="s">
        <v>270</v>
      </c>
      <c r="D4" s="69" t="s">
        <v>271</v>
      </c>
      <c r="E4" s="69" t="s">
        <v>272</v>
      </c>
      <c r="F4" s="69" t="s">
        <v>273</v>
      </c>
      <c r="G4" s="69" t="s">
        <v>274</v>
      </c>
      <c r="H4" s="69" t="s">
        <v>275</v>
      </c>
      <c r="I4" s="69" t="s">
        <v>276</v>
      </c>
      <c r="J4" s="69" t="s">
        <v>277</v>
      </c>
      <c r="M4" s="696" t="s">
        <v>270</v>
      </c>
      <c r="N4" s="696" t="s">
        <v>271</v>
      </c>
      <c r="O4" s="696" t="s">
        <v>272</v>
      </c>
      <c r="P4" s="696" t="s">
        <v>273</v>
      </c>
      <c r="Q4" s="696" t="s">
        <v>274</v>
      </c>
      <c r="R4" s="696" t="s">
        <v>275</v>
      </c>
      <c r="S4" s="696" t="s">
        <v>276</v>
      </c>
      <c r="T4" s="696" t="s">
        <v>277</v>
      </c>
    </row>
    <row r="5" spans="1:20" ht="36.75" customHeight="1" thickBot="1">
      <c r="C5" s="694" t="s">
        <v>278</v>
      </c>
      <c r="D5" s="694" t="s">
        <v>279</v>
      </c>
      <c r="E5" s="694" t="s">
        <v>280</v>
      </c>
      <c r="F5" s="695" t="s">
        <v>273</v>
      </c>
      <c r="G5" s="695" t="s">
        <v>281</v>
      </c>
      <c r="H5" s="695" t="s">
        <v>282</v>
      </c>
      <c r="I5" s="695" t="s">
        <v>283</v>
      </c>
      <c r="J5" s="695" t="s">
        <v>284</v>
      </c>
      <c r="M5" s="695" t="s">
        <v>278</v>
      </c>
      <c r="N5" s="695" t="s">
        <v>279</v>
      </c>
      <c r="O5" s="695" t="s">
        <v>280</v>
      </c>
      <c r="P5" s="695" t="s">
        <v>273</v>
      </c>
      <c r="Q5" s="695" t="s">
        <v>281</v>
      </c>
      <c r="R5" s="695" t="s">
        <v>282</v>
      </c>
      <c r="S5" s="695" t="s">
        <v>283</v>
      </c>
      <c r="T5" s="695" t="s">
        <v>284</v>
      </c>
    </row>
    <row r="6" spans="1:20">
      <c r="A6" s="131" t="str">
        <f>TRIM(SETUP!A8)</f>
        <v/>
      </c>
      <c r="C6" s="131" t="str">
        <f>A6&amp;"NRG"</f>
        <v>NRG</v>
      </c>
      <c r="D6" s="131" t="str">
        <f>SETUP!B8</f>
        <v>RSDCOA</v>
      </c>
      <c r="E6" s="131" t="str">
        <f>SETUP!C8</f>
        <v>Coal to Residential</v>
      </c>
      <c r="F6" s="132" t="s">
        <v>19</v>
      </c>
      <c r="G6" s="131" t="s">
        <v>285</v>
      </c>
      <c r="H6" s="95" t="s">
        <v>286</v>
      </c>
      <c r="I6" s="131" t="s">
        <v>285</v>
      </c>
      <c r="J6" s="131" t="s">
        <v>285</v>
      </c>
      <c r="M6" s="904" t="s">
        <v>287</v>
      </c>
      <c r="N6" s="657" t="str">
        <f>SETUP!B3&amp;"_"&amp;SETUP!B36</f>
        <v>RSD_Apt</v>
      </c>
      <c r="O6" s="657" t="str">
        <f>"Residential "&amp;SETUP!C36&amp;" demand"</f>
        <v>Residential Apartment demand</v>
      </c>
      <c r="P6" s="658" t="s">
        <v>288</v>
      </c>
      <c r="Q6" s="657"/>
      <c r="R6" s="657" t="s">
        <v>286</v>
      </c>
      <c r="S6" s="657"/>
      <c r="T6" s="657"/>
    </row>
    <row r="7" spans="1:20">
      <c r="A7" s="131" t="str">
        <f>TRIM(SETUP!A9)</f>
        <v/>
      </c>
      <c r="C7" s="131" t="str">
        <f t="shared" ref="C7:C25" si="0">A7&amp;"NRG"</f>
        <v>NRG</v>
      </c>
      <c r="D7" s="131" t="str">
        <f>SETUP!B9</f>
        <v>RSDPEA</v>
      </c>
      <c r="E7" s="131" t="str">
        <f>SETUP!C9</f>
        <v>Peat to Residential</v>
      </c>
      <c r="F7" s="132" t="s">
        <v>19</v>
      </c>
      <c r="H7" s="95" t="s">
        <v>286</v>
      </c>
      <c r="M7" s="125" t="s">
        <v>287</v>
      </c>
      <c r="N7" s="95" t="str">
        <f>SETUP!B3&amp;"_"&amp;SETUP!B37</f>
        <v>RSD_Att</v>
      </c>
      <c r="O7" s="95" t="str">
        <f>"Residential "&amp;SETUP!C37&amp;" demand"</f>
        <v>Residential Attached demand</v>
      </c>
      <c r="P7" s="110" t="s">
        <v>288</v>
      </c>
      <c r="Q7" s="95"/>
      <c r="R7" s="95" t="s">
        <v>286</v>
      </c>
      <c r="S7" s="95"/>
      <c r="T7" s="95"/>
    </row>
    <row r="8" spans="1:20" ht="13.5" thickBot="1">
      <c r="A8" s="131" t="str">
        <f>TRIM(SETUP!A10)</f>
        <v/>
      </c>
      <c r="C8" s="131" t="str">
        <f t="shared" si="0"/>
        <v>NRG</v>
      </c>
      <c r="D8" s="131" t="str">
        <f>SETUP!B10</f>
        <v>RSDOILLPG</v>
      </c>
      <c r="E8" s="131" t="str">
        <f>SETUP!C10</f>
        <v>LPG to Residential</v>
      </c>
      <c r="F8" s="132" t="s">
        <v>19</v>
      </c>
      <c r="H8" s="95" t="s">
        <v>286</v>
      </c>
      <c r="M8" s="905" t="s">
        <v>287</v>
      </c>
      <c r="N8" s="659" t="str">
        <f>SETUP!B3&amp;"_"&amp;SETUP!B38</f>
        <v>RSD_Det</v>
      </c>
      <c r="O8" s="659" t="str">
        <f>"Residential "&amp;SETUP!C38&amp;" demand"</f>
        <v>Residential Detached demand</v>
      </c>
      <c r="P8" s="660" t="s">
        <v>288</v>
      </c>
      <c r="Q8" s="659"/>
      <c r="R8" s="659" t="s">
        <v>286</v>
      </c>
      <c r="S8" s="659"/>
      <c r="T8" s="659"/>
    </row>
    <row r="9" spans="1:20">
      <c r="A9" s="131" t="str">
        <f>TRIM(SETUP!A11)</f>
        <v>*</v>
      </c>
      <c r="C9" s="131" t="str">
        <f t="shared" si="0"/>
        <v>*NRG</v>
      </c>
      <c r="D9" s="131" t="str">
        <f>SETUP!B11</f>
        <v>RSDOILGSL</v>
      </c>
      <c r="E9" s="131" t="str">
        <f>SETUP!C11</f>
        <v>Gasoline to Residential</v>
      </c>
      <c r="F9" s="132" t="s">
        <v>19</v>
      </c>
      <c r="H9" s="131" t="s">
        <v>286</v>
      </c>
      <c r="M9" s="657" t="s">
        <v>290</v>
      </c>
      <c r="N9" s="657" t="str">
        <f>SETUP!B50&amp;"_"&amp;SETUP!B36</f>
        <v>RSH_Apt</v>
      </c>
      <c r="O9" s="657" t="str">
        <f>SETUP!C50&amp;" "&amp;  SETUP!C36</f>
        <v>Residential Space Heating Apartment</v>
      </c>
      <c r="P9" s="657" t="s">
        <v>19</v>
      </c>
      <c r="Q9" s="657"/>
      <c r="R9" s="657"/>
      <c r="S9" s="95"/>
      <c r="T9" s="95"/>
    </row>
    <row r="10" spans="1:20">
      <c r="A10" s="131" t="str">
        <f>TRIM(SETUP!A12)</f>
        <v/>
      </c>
      <c r="C10" s="131" t="str">
        <f t="shared" si="0"/>
        <v>NRG</v>
      </c>
      <c r="D10" s="131" t="str">
        <f>SETUP!B12</f>
        <v>RSDOILKER</v>
      </c>
      <c r="E10" s="131" t="str">
        <f>SETUP!C12</f>
        <v>Kerosene to Residential</v>
      </c>
      <c r="F10" s="132" t="s">
        <v>19</v>
      </c>
      <c r="H10" s="131" t="s">
        <v>286</v>
      </c>
      <c r="M10" s="95" t="s">
        <v>290</v>
      </c>
      <c r="N10" s="95" t="str">
        <f>SETUP!B50&amp;"_"&amp;SETUP!B37</f>
        <v>RSH_Att</v>
      </c>
      <c r="O10" s="95" t="str">
        <f>SETUP!C50&amp;" "&amp;  SETUP!C37</f>
        <v>Residential Space Heating Attached</v>
      </c>
      <c r="P10" s="95" t="s">
        <v>19</v>
      </c>
      <c r="Q10" s="95"/>
      <c r="R10" s="95"/>
      <c r="S10" s="95"/>
      <c r="T10" s="95"/>
    </row>
    <row r="11" spans="1:20" ht="13.5" thickBot="1">
      <c r="A11" s="131" t="str">
        <f>TRIM(SETUP!A13)</f>
        <v/>
      </c>
      <c r="C11" s="131" t="str">
        <f t="shared" si="0"/>
        <v>NRG</v>
      </c>
      <c r="D11" s="131" t="str">
        <f>SETUP!B13</f>
        <v>RSDOILDST</v>
      </c>
      <c r="E11" s="131" t="str">
        <f>SETUP!C13</f>
        <v>Gasoil / Diesel /DERV to Residential</v>
      </c>
      <c r="F11" s="132" t="s">
        <v>19</v>
      </c>
      <c r="H11" s="131" t="s">
        <v>286</v>
      </c>
      <c r="M11" s="659" t="s">
        <v>290</v>
      </c>
      <c r="N11" s="659" t="str">
        <f>SETUP!B50&amp;"_"&amp;SETUP!B38</f>
        <v>RSH_Det</v>
      </c>
      <c r="O11" s="659" t="str">
        <f>SETUP!C50&amp;" "&amp;  SETUP!C38</f>
        <v>Residential Space Heating Detached</v>
      </c>
      <c r="P11" s="659" t="s">
        <v>19</v>
      </c>
      <c r="Q11" s="659"/>
      <c r="R11" s="659"/>
      <c r="S11" s="659"/>
      <c r="T11" s="659"/>
    </row>
    <row r="12" spans="1:20">
      <c r="A12" s="131" t="str">
        <f>TRIM(SETUP!A14)</f>
        <v/>
      </c>
      <c r="C12" s="131" t="str">
        <f t="shared" si="0"/>
        <v>NRG</v>
      </c>
      <c r="D12" s="131" t="str">
        <f>SETUP!B14</f>
        <v>RSDOILHFO</v>
      </c>
      <c r="E12" s="131" t="str">
        <f>SETUP!C14</f>
        <v>Fueloil to Residential</v>
      </c>
      <c r="F12" s="132" t="s">
        <v>19</v>
      </c>
      <c r="H12" s="131" t="s">
        <v>286</v>
      </c>
      <c r="M12" s="95" t="s">
        <v>290</v>
      </c>
      <c r="N12" s="95" t="str">
        <f>SETUP!$B$51&amp;"_"&amp;SETUP!B36</f>
        <v>RSC_Apt</v>
      </c>
      <c r="O12" s="95" t="str">
        <f>SETUP!$C$51&amp;" "&amp;  SETUP!C36</f>
        <v>Residential Space Cooling Apartment</v>
      </c>
      <c r="P12" s="95" t="s">
        <v>19</v>
      </c>
      <c r="Q12" s="95"/>
      <c r="R12" s="95"/>
      <c r="S12" s="95"/>
      <c r="T12" s="95"/>
    </row>
    <row r="13" spans="1:20">
      <c r="A13" s="131" t="str">
        <f>TRIM(SETUP!A15)</f>
        <v/>
      </c>
      <c r="C13" s="131" t="str">
        <f t="shared" si="0"/>
        <v>NRG</v>
      </c>
      <c r="D13" s="131" t="str">
        <f>SETUP!B15</f>
        <v>RSDOILCOK</v>
      </c>
      <c r="E13" s="131" t="str">
        <f>SETUP!C15</f>
        <v>Petroleum Coke to Residential</v>
      </c>
      <c r="F13" s="110" t="s">
        <v>19</v>
      </c>
      <c r="G13" s="95"/>
      <c r="H13" s="131" t="s">
        <v>286</v>
      </c>
      <c r="I13" s="95"/>
      <c r="J13" s="95"/>
      <c r="M13" s="95" t="s">
        <v>290</v>
      </c>
      <c r="N13" s="95" t="str">
        <f>SETUP!$B$51&amp;"_"&amp;SETUP!B37</f>
        <v>RSC_Att</v>
      </c>
      <c r="O13" s="95" t="str">
        <f>SETUP!$C$51&amp;" "&amp;  SETUP!C37</f>
        <v>Residential Space Cooling Attached</v>
      </c>
      <c r="P13" s="95" t="s">
        <v>19</v>
      </c>
      <c r="Q13" s="95"/>
      <c r="R13" s="95"/>
      <c r="S13" s="95"/>
      <c r="T13" s="95"/>
    </row>
    <row r="14" spans="1:20" ht="13.5" thickBot="1">
      <c r="A14" s="131" t="str">
        <f>TRIM(SETUP!A16)</f>
        <v/>
      </c>
      <c r="C14" s="131" t="str">
        <f t="shared" si="0"/>
        <v>NRG</v>
      </c>
      <c r="D14" s="131" t="str">
        <f>SETUP!B16</f>
        <v>RSDGASNAT</v>
      </c>
      <c r="E14" s="131" t="str">
        <f>SETUP!C16</f>
        <v>Natural Gas to Residential</v>
      </c>
      <c r="F14" s="110" t="s">
        <v>19</v>
      </c>
      <c r="G14" s="95"/>
      <c r="H14" s="95" t="s">
        <v>286</v>
      </c>
      <c r="I14" s="95"/>
      <c r="J14" s="95"/>
      <c r="M14" s="659" t="s">
        <v>290</v>
      </c>
      <c r="N14" s="659" t="str">
        <f>SETUP!$B$51&amp;"_"&amp;SETUP!B38</f>
        <v>RSC_Det</v>
      </c>
      <c r="O14" s="659" t="str">
        <f>SETUP!$C$51&amp;" "&amp;  SETUP!C38</f>
        <v>Residential Space Cooling Detached</v>
      </c>
      <c r="P14" s="659" t="s">
        <v>19</v>
      </c>
      <c r="Q14" s="659"/>
      <c r="R14" s="659"/>
      <c r="S14" s="659"/>
      <c r="T14" s="659"/>
    </row>
    <row r="15" spans="1:20">
      <c r="A15" s="131" t="str">
        <f>TRIM(SETUP!A17)</f>
        <v/>
      </c>
      <c r="C15" s="131" t="str">
        <f t="shared" si="0"/>
        <v>NRG</v>
      </c>
      <c r="D15" s="131" t="str">
        <f>SETUP!B17</f>
        <v>RSDRENSOL</v>
      </c>
      <c r="E15" s="131" t="str">
        <f>SETUP!C17</f>
        <v>Solar to Residential</v>
      </c>
      <c r="F15" s="110" t="s">
        <v>19</v>
      </c>
      <c r="G15" s="95"/>
      <c r="H15" s="95" t="s">
        <v>286</v>
      </c>
      <c r="I15" s="95"/>
      <c r="J15" s="95"/>
      <c r="M15" s="95" t="s">
        <v>290</v>
      </c>
      <c r="N15" s="95" t="str">
        <f>SETUP!$B$52&amp;"_"&amp;SETUP!B36</f>
        <v>RWH_Apt</v>
      </c>
      <c r="O15" s="95" t="str">
        <f>SETUP!$C$52&amp;" "&amp;  SETUP!C36</f>
        <v>Residential Water Heating Apartment</v>
      </c>
      <c r="P15" s="95" t="s">
        <v>19</v>
      </c>
      <c r="Q15" s="95"/>
      <c r="R15" s="95"/>
      <c r="S15" s="95"/>
      <c r="T15" s="95"/>
    </row>
    <row r="16" spans="1:20">
      <c r="A16" s="131" t="str">
        <f>TRIM(SETUP!A18)</f>
        <v/>
      </c>
      <c r="C16" s="131" t="str">
        <f t="shared" si="0"/>
        <v>NRG</v>
      </c>
      <c r="D16" s="131" t="str">
        <f>SETUP!B18</f>
        <v>RSDBIOWOO</v>
      </c>
      <c r="E16" s="131" t="str">
        <f>SETUP!C18</f>
        <v>Biomass and Renewable Waste to Residential</v>
      </c>
      <c r="F16" s="110" t="s">
        <v>19</v>
      </c>
      <c r="G16" s="95"/>
      <c r="H16" s="95" t="s">
        <v>286</v>
      </c>
      <c r="I16" s="95"/>
      <c r="J16" s="95"/>
      <c r="M16" s="95" t="s">
        <v>290</v>
      </c>
      <c r="N16" s="95" t="str">
        <f>SETUP!$B$52&amp;"_"&amp;SETUP!B37</f>
        <v>RWH_Att</v>
      </c>
      <c r="O16" s="95" t="str">
        <f>SETUP!$C$52&amp;" "&amp;  SETUP!C37</f>
        <v>Residential Water Heating Attached</v>
      </c>
      <c r="P16" s="95" t="s">
        <v>19</v>
      </c>
      <c r="Q16" s="95"/>
      <c r="R16" s="95"/>
      <c r="S16" s="95"/>
      <c r="T16" s="95"/>
    </row>
    <row r="17" spans="1:20" ht="13.5" thickBot="1">
      <c r="A17" s="131" t="str">
        <f>TRIM(SETUP!A19)</f>
        <v/>
      </c>
      <c r="C17" s="131" t="str">
        <f t="shared" si="0"/>
        <v>NRG</v>
      </c>
      <c r="D17" s="131" t="str">
        <f>SETUP!B19</f>
        <v>RSDBIOGAS</v>
      </c>
      <c r="E17" s="131" t="str">
        <f>SETUP!C19</f>
        <v>Biogas to Residential</v>
      </c>
      <c r="F17" s="110" t="s">
        <v>19</v>
      </c>
      <c r="G17" s="95"/>
      <c r="H17" s="95" t="s">
        <v>286</v>
      </c>
      <c r="I17" s="95"/>
      <c r="J17" s="95"/>
      <c r="M17" s="659" t="s">
        <v>290</v>
      </c>
      <c r="N17" s="659" t="str">
        <f>SETUP!$B$52&amp;"_"&amp;SETUP!B38</f>
        <v>RWH_Det</v>
      </c>
      <c r="O17" s="659" t="str">
        <f>SETUP!$C$52&amp;" "&amp;  SETUP!C38</f>
        <v>Residential Water Heating Detached</v>
      </c>
      <c r="P17" s="659" t="s">
        <v>19</v>
      </c>
      <c r="Q17" s="659"/>
      <c r="R17" s="659"/>
      <c r="S17" s="659"/>
      <c r="T17" s="659"/>
    </row>
    <row r="18" spans="1:20">
      <c r="A18" s="131" t="str">
        <f>TRIM(SETUP!A20)</f>
        <v/>
      </c>
      <c r="C18" s="131" t="str">
        <f t="shared" si="0"/>
        <v>NRG</v>
      </c>
      <c r="D18" s="131" t="str">
        <f>SETUP!B20</f>
        <v>RSDBIOMUN</v>
      </c>
      <c r="E18" s="131" t="str">
        <f>SETUP!C20</f>
        <v>Landfill Gas to Residential</v>
      </c>
      <c r="F18" s="110" t="s">
        <v>19</v>
      </c>
      <c r="G18" s="95"/>
      <c r="H18" s="95" t="s">
        <v>286</v>
      </c>
      <c r="I18" s="95"/>
      <c r="J18" s="95"/>
      <c r="M18" s="95" t="s">
        <v>290</v>
      </c>
      <c r="N18" s="95" t="str">
        <f>SETUP!$B$55&amp;"_"&amp;SETUP!B36</f>
        <v>RLT_Apt</v>
      </c>
      <c r="O18" s="95" t="str">
        <f>SETUP!$C$55&amp;" "&amp;  SETUP!C36</f>
        <v>Residential Lighting Apartment</v>
      </c>
      <c r="P18" s="95" t="s">
        <v>19</v>
      </c>
      <c r="Q18" s="95"/>
      <c r="R18" s="95"/>
      <c r="S18" s="95"/>
      <c r="T18" s="95"/>
    </row>
    <row r="19" spans="1:20">
      <c r="A19" s="131" t="str">
        <f>TRIM(SETUP!A21)</f>
        <v/>
      </c>
      <c r="C19" s="131" t="str">
        <f t="shared" si="0"/>
        <v>NRG</v>
      </c>
      <c r="D19" s="131" t="str">
        <f>SETUP!B21</f>
        <v>RSDRENGEO</v>
      </c>
      <c r="E19" s="131" t="str">
        <f>SETUP!C21</f>
        <v>Geothermal to Residential</v>
      </c>
      <c r="F19" s="110" t="s">
        <v>19</v>
      </c>
      <c r="G19" s="95"/>
      <c r="H19" s="95" t="s">
        <v>286</v>
      </c>
      <c r="I19" s="95"/>
      <c r="J19" s="95"/>
      <c r="M19" s="95" t="s">
        <v>290</v>
      </c>
      <c r="N19" s="95" t="str">
        <f>SETUP!$B$55&amp;"_"&amp;SETUP!B37</f>
        <v>RLT_Att</v>
      </c>
      <c r="O19" s="95" t="str">
        <f>SETUP!$C$55&amp;" "&amp;  SETUP!C37</f>
        <v>Residential Lighting Attached</v>
      </c>
      <c r="P19" s="95" t="s">
        <v>19</v>
      </c>
      <c r="Q19" s="95"/>
      <c r="R19" s="95"/>
      <c r="S19" s="95"/>
      <c r="T19" s="95"/>
    </row>
    <row r="20" spans="1:20" ht="13.5" thickBot="1">
      <c r="A20" s="131" t="str">
        <f>TRIM(SETUP!A22)</f>
        <v/>
      </c>
      <c r="C20" s="131" t="str">
        <f t="shared" si="0"/>
        <v>NRG</v>
      </c>
      <c r="D20" s="131" t="str">
        <f>SETUP!B22</f>
        <v>RSDBIOETH</v>
      </c>
      <c r="E20" s="131" t="str">
        <f>SETUP!C22</f>
        <v>Ethanol to Residential</v>
      </c>
      <c r="F20" s="110" t="s">
        <v>19</v>
      </c>
      <c r="G20" s="95"/>
      <c r="H20" s="95" t="s">
        <v>286</v>
      </c>
      <c r="I20" s="95"/>
      <c r="J20" s="95"/>
      <c r="M20" s="659" t="s">
        <v>290</v>
      </c>
      <c r="N20" s="659" t="str">
        <f>SETUP!$B$55&amp;"_"&amp;SETUP!B38</f>
        <v>RLT_Det</v>
      </c>
      <c r="O20" s="659" t="str">
        <f>SETUP!$C$55&amp;" "&amp;  SETUP!C38</f>
        <v>Residential Lighting Detached</v>
      </c>
      <c r="P20" s="659" t="s">
        <v>19</v>
      </c>
      <c r="Q20" s="659"/>
      <c r="R20" s="659"/>
      <c r="S20" s="659"/>
      <c r="T20" s="659"/>
    </row>
    <row r="21" spans="1:20">
      <c r="A21" s="131" t="str">
        <f>TRIM(SETUP!A23)</f>
        <v/>
      </c>
      <c r="C21" s="131" t="str">
        <f t="shared" si="0"/>
        <v>NRG</v>
      </c>
      <c r="D21" s="131" t="str">
        <f>SETUP!B23</f>
        <v>RSDBIODST</v>
      </c>
      <c r="E21" s="131" t="str">
        <f>SETUP!C23</f>
        <v>Biodiesel to Residential</v>
      </c>
      <c r="F21" s="110" t="s">
        <v>19</v>
      </c>
      <c r="G21" s="95"/>
      <c r="H21" s="95" t="s">
        <v>286</v>
      </c>
      <c r="I21" s="95"/>
      <c r="J21" s="95"/>
      <c r="M21" s="95" t="s">
        <v>290</v>
      </c>
      <c r="N21" s="95" t="str">
        <f>SETUP!$B$53&amp;"_"&amp;SETUP!B36</f>
        <v>RPF_Apt</v>
      </c>
      <c r="O21" s="95" t="str">
        <f>SETUP!$C$53&amp;" "&amp;  SETUP!C36</f>
        <v>Residential Pumps &amp; Fans Apartment</v>
      </c>
      <c r="P21" s="95" t="s">
        <v>19</v>
      </c>
      <c r="Q21" s="95"/>
      <c r="R21" s="95"/>
      <c r="S21" s="95"/>
      <c r="T21" s="95"/>
    </row>
    <row r="22" spans="1:20">
      <c r="A22" s="131" t="str">
        <f>TRIM(SETUP!A24)</f>
        <v/>
      </c>
      <c r="C22" s="131" t="str">
        <f t="shared" si="0"/>
        <v>NRG</v>
      </c>
      <c r="D22" s="131" t="str">
        <f>SETUP!B24</f>
        <v>RSDBIOSLU</v>
      </c>
      <c r="E22" s="131" t="str">
        <f>SETUP!C24</f>
        <v>Non-Renewable Waste to Residential</v>
      </c>
      <c r="F22" s="110" t="s">
        <v>19</v>
      </c>
      <c r="G22" s="95"/>
      <c r="H22" s="95" t="s">
        <v>286</v>
      </c>
      <c r="I22" s="95"/>
      <c r="J22" s="95"/>
      <c r="M22" s="95" t="s">
        <v>290</v>
      </c>
      <c r="N22" s="95" t="str">
        <f>SETUP!$B$53&amp;"_"&amp;SETUP!B37</f>
        <v>RPF_Att</v>
      </c>
      <c r="O22" s="95" t="str">
        <f>SETUP!$C$53&amp;" "&amp;  SETUP!C37</f>
        <v>Residential Pumps &amp; Fans Attached</v>
      </c>
      <c r="P22" s="95" t="s">
        <v>19</v>
      </c>
      <c r="Q22" s="95"/>
      <c r="R22" s="95"/>
      <c r="S22" s="95"/>
      <c r="T22" s="95"/>
    </row>
    <row r="23" spans="1:20" ht="13.5" thickBot="1">
      <c r="C23" s="131" t="s">
        <v>290</v>
      </c>
      <c r="D23" s="131" t="str">
        <f>SETUP!B25</f>
        <v>RSDSMF</v>
      </c>
      <c r="E23" s="131" t="str">
        <f>SETUP!C25</f>
        <v>Solid Multi-Fuel</v>
      </c>
      <c r="F23" s="110" t="s">
        <v>19</v>
      </c>
      <c r="G23" s="95"/>
      <c r="H23" s="95" t="s">
        <v>286</v>
      </c>
      <c r="I23" s="95"/>
      <c r="J23" s="95"/>
      <c r="M23" s="659" t="s">
        <v>290</v>
      </c>
      <c r="N23" s="659" t="str">
        <f>SETUP!$B$53&amp;"_"&amp;SETUP!B38</f>
        <v>RPF_Det</v>
      </c>
      <c r="O23" s="659" t="str">
        <f>SETUP!$C$53&amp;" "&amp;  SETUP!C38</f>
        <v>Residential Pumps &amp; Fans Detached</v>
      </c>
      <c r="P23" s="659" t="s">
        <v>19</v>
      </c>
      <c r="Q23" s="659"/>
      <c r="R23" s="659"/>
      <c r="S23" s="659"/>
      <c r="T23" s="659"/>
    </row>
    <row r="24" spans="1:20">
      <c r="A24" s="131" t="str">
        <f>TRIM(SETUP!A26)</f>
        <v/>
      </c>
      <c r="C24" s="131" t="str">
        <f t="shared" si="0"/>
        <v>NRG</v>
      </c>
      <c r="D24" s="131" t="str">
        <f>SETUP!B26</f>
        <v>RSDELC</v>
      </c>
      <c r="E24" s="131" t="str">
        <f>SETUP!C26</f>
        <v>Electricity to Residential</v>
      </c>
      <c r="F24" s="110" t="s">
        <v>19</v>
      </c>
      <c r="G24" s="95"/>
      <c r="H24" s="131" t="s">
        <v>289</v>
      </c>
      <c r="I24" s="95"/>
      <c r="M24" s="95"/>
      <c r="N24" s="95"/>
      <c r="O24" s="95"/>
      <c r="P24" s="95"/>
      <c r="Q24" s="95"/>
      <c r="R24" s="95"/>
      <c r="S24" s="95"/>
      <c r="T24" s="95"/>
    </row>
    <row r="25" spans="1:20" ht="13.5" thickBot="1">
      <c r="A25" s="131" t="str">
        <f>TRIM(SETUP!A27)</f>
        <v/>
      </c>
      <c r="C25" s="659" t="str">
        <f t="shared" si="0"/>
        <v>NRG</v>
      </c>
      <c r="D25" s="659" t="str">
        <f>SETUP!B27</f>
        <v>RSDHET</v>
      </c>
      <c r="E25" s="659" t="str">
        <f>SETUP!C27</f>
        <v>Heat to Residential</v>
      </c>
      <c r="F25" s="660" t="s">
        <v>19</v>
      </c>
      <c r="G25" s="659"/>
      <c r="H25" s="659" t="s">
        <v>286</v>
      </c>
      <c r="I25" s="659"/>
      <c r="J25" s="659"/>
      <c r="M25" s="95"/>
      <c r="N25" s="95"/>
      <c r="O25" s="95"/>
      <c r="P25" s="95"/>
      <c r="Q25" s="95"/>
      <c r="R25" s="95"/>
      <c r="S25" s="95"/>
      <c r="T25" s="95"/>
    </row>
    <row r="26" spans="1:20">
      <c r="C26" s="95" t="str">
        <f t="shared" ref="C26:C31" si="1">A26&amp;"ENV"</f>
        <v>ENV</v>
      </c>
      <c r="D26" s="95" t="str">
        <f>A26&amp;SETUP!B29</f>
        <v>RSDCO2</v>
      </c>
      <c r="E26" s="95" t="str">
        <f>A26&amp;SETUP!C29</f>
        <v>Carbon Dioxide - Combustion (RSD)</v>
      </c>
      <c r="F26" s="110" t="s">
        <v>291</v>
      </c>
      <c r="G26" s="95"/>
      <c r="H26" s="95"/>
      <c r="I26" s="95"/>
      <c r="J26" s="95"/>
      <c r="M26" s="95"/>
      <c r="N26" s="95"/>
      <c r="O26" s="95"/>
      <c r="P26" s="95"/>
      <c r="Q26" s="95"/>
      <c r="R26" s="95"/>
      <c r="S26" s="95"/>
      <c r="T26" s="95"/>
    </row>
    <row r="27" spans="1:20">
      <c r="C27" s="95" t="str">
        <f t="shared" si="1"/>
        <v>ENV</v>
      </c>
      <c r="D27" s="95" t="str">
        <f>A27&amp;SETUP!B30</f>
        <v>RSDCH4</v>
      </c>
      <c r="E27" s="95" t="str">
        <f>A27&amp;SETUP!C30</f>
        <v>Methane (RSD)</v>
      </c>
      <c r="F27" s="110" t="s">
        <v>291</v>
      </c>
      <c r="G27" s="95"/>
      <c r="H27" s="95"/>
      <c r="I27" s="95"/>
      <c r="J27" s="95"/>
    </row>
    <row r="28" spans="1:20">
      <c r="C28" s="95" t="str">
        <f t="shared" si="1"/>
        <v>ENV</v>
      </c>
      <c r="D28" s="95" t="str">
        <f>A28&amp;SETUP!B31</f>
        <v>RSDN2O</v>
      </c>
      <c r="E28" s="95" t="str">
        <f>A28&amp;SETUP!C31</f>
        <v>Nitrogen Oxide (RSD)</v>
      </c>
      <c r="F28" s="110" t="s">
        <v>291</v>
      </c>
      <c r="G28" s="95"/>
      <c r="H28" s="95"/>
      <c r="I28" s="95"/>
      <c r="J28" s="95"/>
    </row>
    <row r="29" spans="1:20">
      <c r="C29" s="95" t="str">
        <f t="shared" si="1"/>
        <v>ENV</v>
      </c>
      <c r="D29" s="95" t="str">
        <f>A29&amp;SETUP!B32</f>
        <v>RSDSO2N</v>
      </c>
      <c r="E29" s="95" t="str">
        <f>A29&amp;SETUP!C32</f>
        <v>Sulphur Oxides (RSD)</v>
      </c>
      <c r="F29" s="110" t="s">
        <v>291</v>
      </c>
      <c r="G29" s="95"/>
      <c r="H29" s="95"/>
      <c r="I29" s="95"/>
      <c r="J29" s="95"/>
    </row>
    <row r="30" spans="1:20">
      <c r="C30" s="95" t="str">
        <f t="shared" si="1"/>
        <v>ENV</v>
      </c>
      <c r="D30" s="95" t="str">
        <f>A30&amp;SETUP!B33</f>
        <v>RSDPM10</v>
      </c>
      <c r="E30" s="95" t="str">
        <f>A30&amp;SETUP!C33</f>
        <v>Particulate Matter &lt;10 µm (RSD)</v>
      </c>
      <c r="F30" s="110" t="s">
        <v>291</v>
      </c>
      <c r="G30" s="95"/>
      <c r="H30" s="95"/>
      <c r="I30" s="95"/>
      <c r="J30" s="95"/>
      <c r="K30" s="81"/>
    </row>
    <row r="31" spans="1:20" ht="13.5" thickBot="1">
      <c r="C31" s="659" t="str">
        <f t="shared" si="1"/>
        <v>ENV</v>
      </c>
      <c r="D31" s="659" t="str">
        <f>A31&amp;SETUP!B34</f>
        <v>RSDPM25</v>
      </c>
      <c r="E31" s="659" t="str">
        <f>A31&amp;SETUP!C34</f>
        <v>Particulate Matter &lt;2.5 µm (RSD)</v>
      </c>
      <c r="F31" s="660" t="s">
        <v>291</v>
      </c>
      <c r="G31" s="659"/>
      <c r="H31" s="659"/>
      <c r="I31" s="659"/>
      <c r="J31" s="659"/>
    </row>
    <row r="32" spans="1:20">
      <c r="C32" s="95" t="s">
        <v>287</v>
      </c>
      <c r="D32" s="95" t="str">
        <f>SETUP!B3&amp;SETUP!B54</f>
        <v>RSDRRF</v>
      </c>
      <c r="E32" s="95" t="str">
        <f>SETUP!C54</f>
        <v>Residential Refrigeration</v>
      </c>
      <c r="F32" s="95" t="s">
        <v>19</v>
      </c>
      <c r="G32" s="95"/>
      <c r="H32" s="95"/>
      <c r="I32" s="95"/>
      <c r="J32" s="95"/>
      <c r="K32" s="81"/>
    </row>
    <row r="33" spans="1:21">
      <c r="C33" s="95" t="str">
        <f t="shared" ref="C33:C38" si="2">A33&amp;"DEM"</f>
        <v>DEM</v>
      </c>
      <c r="D33" s="95" t="str">
        <f>SETUP!B3&amp;SETUP!B56</f>
        <v>RSDRCK</v>
      </c>
      <c r="E33" s="95" t="str">
        <f>SETUP!C56</f>
        <v>Residential Cooking</v>
      </c>
      <c r="F33" s="95" t="s">
        <v>19</v>
      </c>
      <c r="G33" s="95"/>
      <c r="H33" s="95"/>
      <c r="I33" s="95"/>
      <c r="J33" s="95"/>
      <c r="K33" s="81"/>
    </row>
    <row r="34" spans="1:21">
      <c r="C34" s="95" t="str">
        <f t="shared" si="2"/>
        <v>DEM</v>
      </c>
      <c r="D34" s="95" t="str">
        <f>SETUP!B3&amp;SETUP!B57</f>
        <v>RSDRCW</v>
      </c>
      <c r="E34" s="95" t="str">
        <f>SETUP!C57</f>
        <v>Residential Cloth Washing demand</v>
      </c>
      <c r="F34" s="95" t="s">
        <v>19</v>
      </c>
      <c r="G34" s="95"/>
      <c r="H34" s="95"/>
      <c r="I34" s="95"/>
      <c r="J34" s="95"/>
      <c r="K34" s="81"/>
    </row>
    <row r="35" spans="1:21">
      <c r="C35" s="95" t="str">
        <f t="shared" si="2"/>
        <v>DEM</v>
      </c>
      <c r="D35" s="95" t="str">
        <f>SETUP!B3&amp;SETUP!B58</f>
        <v>RSDRCD</v>
      </c>
      <c r="E35" s="95" t="str">
        <f>SETUP!C58</f>
        <v>Residential Cloth Drying demand</v>
      </c>
      <c r="F35" s="95" t="s">
        <v>19</v>
      </c>
      <c r="G35" s="95"/>
      <c r="H35" s="95"/>
      <c r="I35" s="95"/>
      <c r="J35" s="95"/>
      <c r="K35" s="81"/>
    </row>
    <row r="36" spans="1:21">
      <c r="C36" s="95" t="str">
        <f t="shared" si="2"/>
        <v>DEM</v>
      </c>
      <c r="D36" s="95" t="str">
        <f>SETUP!B3&amp;SETUP!B59</f>
        <v>RSDRDW</v>
      </c>
      <c r="E36" s="95" t="str">
        <f>SETUP!C59</f>
        <v>Residential Dish Washing demand</v>
      </c>
      <c r="F36" s="95" t="s">
        <v>19</v>
      </c>
      <c r="G36" s="95"/>
      <c r="H36" s="95"/>
      <c r="I36" s="95"/>
      <c r="J36" s="95"/>
      <c r="K36" s="81"/>
    </row>
    <row r="37" spans="1:21">
      <c r="C37" s="95" t="str">
        <f t="shared" si="2"/>
        <v>DEM</v>
      </c>
      <c r="D37" s="95" t="str">
        <f>SETUP!B3&amp;SETUP!B60</f>
        <v>RSDROE</v>
      </c>
      <c r="E37" s="95" t="str">
        <f>SETUP!C60</f>
        <v>Residential ELC Appliances</v>
      </c>
      <c r="F37" s="95" t="s">
        <v>19</v>
      </c>
      <c r="G37" s="95"/>
      <c r="H37" s="95"/>
      <c r="I37" s="95"/>
      <c r="J37" s="95"/>
      <c r="K37" s="81"/>
    </row>
    <row r="38" spans="1:21" ht="13.5" thickBot="1">
      <c r="A38" s="131" t="str">
        <f>TRIM(SETUP!A61)</f>
        <v/>
      </c>
      <c r="C38" s="659" t="str">
        <f t="shared" si="2"/>
        <v>DEM</v>
      </c>
      <c r="D38" s="659" t="str">
        <f>SETUP!B3&amp;SETUP!B61</f>
        <v>RSDROA</v>
      </c>
      <c r="E38" s="659" t="str">
        <f>SETUP!C61</f>
        <v>Residential Other Applications</v>
      </c>
      <c r="F38" s="659" t="s">
        <v>19</v>
      </c>
      <c r="G38" s="659"/>
      <c r="H38" s="659"/>
      <c r="I38" s="659"/>
      <c r="J38" s="659"/>
      <c r="K38" s="81"/>
    </row>
    <row r="39" spans="1:21">
      <c r="K39" s="81"/>
    </row>
    <row r="40" spans="1:21">
      <c r="K40" s="81"/>
    </row>
    <row r="41" spans="1:21">
      <c r="K41" s="81"/>
      <c r="U41" s="81"/>
    </row>
    <row r="42" spans="1:21">
      <c r="K42" s="81"/>
      <c r="U42" s="81"/>
    </row>
    <row r="43" spans="1:21">
      <c r="K43" s="81"/>
      <c r="U43" s="81"/>
    </row>
    <row r="44" spans="1:21">
      <c r="K44" s="81"/>
      <c r="U44" s="81"/>
    </row>
    <row r="45" spans="1:21">
      <c r="K45" s="81"/>
      <c r="U45" s="81"/>
    </row>
    <row r="46" spans="1:21">
      <c r="K46" s="81"/>
      <c r="U46" s="81"/>
    </row>
    <row r="47" spans="1:21">
      <c r="K47" s="81"/>
      <c r="U47" s="81"/>
    </row>
    <row r="48" spans="1:21">
      <c r="K48" s="81"/>
      <c r="U48" s="81"/>
    </row>
    <row r="49" spans="11:21">
      <c r="K49" s="81"/>
      <c r="U49" s="81"/>
    </row>
    <row r="50" spans="11:21">
      <c r="K50" s="81"/>
      <c r="U50" s="81"/>
    </row>
    <row r="51" spans="11:21">
      <c r="K51" s="81"/>
      <c r="U51" s="81"/>
    </row>
    <row r="52" spans="11:21">
      <c r="K52" s="81"/>
      <c r="U52" s="81"/>
    </row>
    <row r="53" spans="11:21">
      <c r="K53" s="81"/>
    </row>
    <row r="54" spans="11:21">
      <c r="K54" s="81"/>
    </row>
    <row r="55" spans="11:21">
      <c r="K55" s="81"/>
    </row>
    <row r="56" spans="11:21">
      <c r="K56" s="81"/>
    </row>
    <row r="57" spans="11:21">
      <c r="K57" s="81"/>
    </row>
    <row r="58" spans="11:21">
      <c r="K58" s="81"/>
    </row>
    <row r="59" spans="11:21">
      <c r="K59" s="81"/>
    </row>
    <row r="60" spans="11:21">
      <c r="K60" s="81"/>
    </row>
    <row r="61" spans="11:21">
      <c r="K61" s="81"/>
    </row>
    <row r="62" spans="11:21">
      <c r="K62" s="81"/>
    </row>
    <row r="63" spans="11:21">
      <c r="K63" s="81"/>
    </row>
    <row r="64" spans="11:21">
      <c r="K64" s="81"/>
    </row>
    <row r="65" spans="11:21">
      <c r="K65" s="81"/>
    </row>
    <row r="66" spans="11:21">
      <c r="K66" s="81"/>
    </row>
    <row r="67" spans="11:21">
      <c r="K67" s="81"/>
      <c r="U67" s="95"/>
    </row>
    <row r="68" spans="11:21">
      <c r="K68" s="81"/>
      <c r="U68" s="95"/>
    </row>
    <row r="69" spans="11:21">
      <c r="K69" s="81"/>
      <c r="U69" s="95"/>
    </row>
    <row r="70" spans="11:21">
      <c r="K70" s="81"/>
      <c r="U70" s="95"/>
    </row>
    <row r="71" spans="11:21">
      <c r="K71" s="81"/>
      <c r="U71" s="81"/>
    </row>
    <row r="72" spans="11:21">
      <c r="K72" s="81"/>
      <c r="U72" s="81"/>
    </row>
    <row r="73" spans="11:21">
      <c r="K73" s="81"/>
      <c r="U73" s="81"/>
    </row>
    <row r="74" spans="11:21">
      <c r="K74" s="81"/>
      <c r="U74" s="81"/>
    </row>
    <row r="75" spans="11:21">
      <c r="K75" s="81"/>
      <c r="U75" s="81"/>
    </row>
    <row r="76" spans="11:21">
      <c r="K76" s="81"/>
      <c r="U76" s="81"/>
    </row>
    <row r="77" spans="11:21">
      <c r="K77" s="81"/>
      <c r="U77" s="81"/>
    </row>
    <row r="78" spans="11:21">
      <c r="K78" s="81"/>
      <c r="U78" s="81"/>
    </row>
    <row r="79" spans="11:21">
      <c r="K79" s="81"/>
      <c r="U79" s="81"/>
    </row>
    <row r="80" spans="11:21">
      <c r="K80" s="81"/>
      <c r="U80" s="81"/>
    </row>
    <row r="81" spans="11:22">
      <c r="K81" s="81"/>
      <c r="U81" s="81"/>
    </row>
    <row r="82" spans="11:22">
      <c r="K82" s="81"/>
      <c r="U82" s="81"/>
    </row>
    <row r="83" spans="11:22">
      <c r="K83" s="81"/>
      <c r="U83" s="81"/>
    </row>
    <row r="84" spans="11:22">
      <c r="K84" s="81"/>
      <c r="L84" s="81"/>
      <c r="U84" s="81"/>
    </row>
    <row r="85" spans="11:22">
      <c r="K85" s="81"/>
      <c r="L85" s="81"/>
      <c r="U85" s="81"/>
    </row>
    <row r="86" spans="11:22">
      <c r="K86" s="81"/>
      <c r="L86" s="81"/>
    </row>
    <row r="87" spans="11:22">
      <c r="K87" s="81"/>
      <c r="L87" s="81"/>
    </row>
    <row r="88" spans="11:22">
      <c r="K88" s="81"/>
      <c r="L88" s="81"/>
    </row>
    <row r="89" spans="11:22">
      <c r="K89" s="81"/>
      <c r="L89" s="81"/>
      <c r="V89" s="81"/>
    </row>
    <row r="90" spans="11:22">
      <c r="K90" s="81"/>
      <c r="L90" s="81"/>
      <c r="V90" s="81"/>
    </row>
    <row r="91" spans="11:22">
      <c r="K91" s="81"/>
      <c r="L91" s="81"/>
      <c r="V91" s="81"/>
    </row>
    <row r="92" spans="11:22">
      <c r="K92" s="81"/>
      <c r="L92" s="81"/>
      <c r="V92" s="81"/>
    </row>
    <row r="93" spans="11:22">
      <c r="K93" s="81"/>
      <c r="L93" s="81"/>
      <c r="V93" s="81"/>
    </row>
    <row r="94" spans="11:22">
      <c r="K94" s="81"/>
      <c r="L94" s="81"/>
      <c r="V94" s="81"/>
    </row>
    <row r="95" spans="11:22">
      <c r="K95" s="81"/>
      <c r="L95" s="81"/>
      <c r="V95" s="81"/>
    </row>
    <row r="96" spans="11:22">
      <c r="K96" s="81"/>
      <c r="V96" s="81"/>
    </row>
    <row r="97" spans="11:22">
      <c r="K97" s="81"/>
      <c r="V97" s="81"/>
    </row>
    <row r="98" spans="11:22">
      <c r="K98" s="81"/>
      <c r="V98" s="81"/>
    </row>
    <row r="99" spans="11:22">
      <c r="K99" s="81"/>
      <c r="V99" s="81"/>
    </row>
    <row r="100" spans="11:22">
      <c r="K100" s="81"/>
      <c r="V100" s="81"/>
    </row>
    <row r="101" spans="11:22">
      <c r="K101" s="81"/>
    </row>
    <row r="102" spans="11:22">
      <c r="K102" s="81"/>
    </row>
    <row r="103" spans="11:22">
      <c r="K103" s="81"/>
    </row>
    <row r="104" spans="11:22">
      <c r="K104" s="81"/>
    </row>
    <row r="105" spans="11:22">
      <c r="K105" s="81"/>
    </row>
    <row r="106" spans="11:22">
      <c r="K106" s="81"/>
    </row>
    <row r="107" spans="11:22">
      <c r="K107" s="81"/>
    </row>
    <row r="108" spans="11:22">
      <c r="K108" s="81"/>
    </row>
    <row r="109" spans="11:22">
      <c r="K109" s="81"/>
    </row>
    <row r="110" spans="11:22">
      <c r="K110" s="81"/>
    </row>
    <row r="111" spans="11:22">
      <c r="K111" s="81"/>
    </row>
    <row r="112" spans="11:22">
      <c r="K112" s="81"/>
    </row>
    <row r="113" spans="11:23">
      <c r="K113" s="81"/>
    </row>
    <row r="114" spans="11:23">
      <c r="K114" s="81"/>
      <c r="L114" s="81"/>
    </row>
    <row r="115" spans="11:23">
      <c r="K115" s="81"/>
      <c r="L115" s="81"/>
      <c r="V115" s="95"/>
      <c r="W115" s="95"/>
    </row>
    <row r="116" spans="11:23">
      <c r="K116" s="81"/>
      <c r="L116" s="81"/>
      <c r="V116" s="95"/>
      <c r="W116" s="95"/>
    </row>
    <row r="117" spans="11:23">
      <c r="K117" s="81"/>
      <c r="L117" s="81"/>
      <c r="V117" s="95"/>
      <c r="W117" s="95"/>
    </row>
    <row r="118" spans="11:23">
      <c r="K118" s="81"/>
      <c r="L118" s="81"/>
      <c r="V118" s="95"/>
      <c r="W118" s="95"/>
    </row>
    <row r="119" spans="11:23">
      <c r="K119" s="81"/>
      <c r="L119" s="81"/>
      <c r="V119" s="95"/>
      <c r="W119" s="95"/>
    </row>
    <row r="120" spans="11:23">
      <c r="K120" s="81"/>
      <c r="L120" s="81"/>
      <c r="V120" s="95"/>
      <c r="W120" s="95"/>
    </row>
    <row r="121" spans="11:23">
      <c r="K121" s="81"/>
      <c r="L121" s="81"/>
      <c r="V121" s="95"/>
      <c r="W121" s="95"/>
    </row>
    <row r="122" spans="11:23">
      <c r="K122" s="81"/>
      <c r="L122" s="81"/>
      <c r="V122" s="95"/>
      <c r="W122" s="95"/>
    </row>
    <row r="123" spans="11:23">
      <c r="K123" s="81"/>
      <c r="L123" s="81"/>
      <c r="V123" s="95"/>
      <c r="W123" s="95"/>
    </row>
    <row r="124" spans="11:23">
      <c r="K124" s="81"/>
      <c r="L124" s="81"/>
      <c r="V124" s="95"/>
      <c r="W124" s="95"/>
    </row>
    <row r="125" spans="11:23">
      <c r="K125" s="81"/>
      <c r="L125" s="81"/>
      <c r="V125" s="95"/>
      <c r="W125" s="95"/>
    </row>
    <row r="126" spans="11:23">
      <c r="K126" s="81"/>
      <c r="L126" s="81"/>
      <c r="V126" s="95"/>
      <c r="W126" s="95"/>
    </row>
    <row r="127" spans="11:23">
      <c r="K127" s="81"/>
      <c r="L127" s="81"/>
    </row>
    <row r="128" spans="11:23">
      <c r="K128" s="81"/>
      <c r="L128" s="81"/>
    </row>
    <row r="129" spans="11:12">
      <c r="K129" s="81"/>
      <c r="L129" s="81"/>
    </row>
    <row r="130" spans="11:12">
      <c r="K130" s="81"/>
      <c r="L130" s="81"/>
    </row>
    <row r="131" spans="11:12">
      <c r="K131" s="81"/>
      <c r="L131" s="81"/>
    </row>
    <row r="132" spans="11:12">
      <c r="K132" s="81"/>
      <c r="L132" s="81"/>
    </row>
    <row r="133" spans="11:12">
      <c r="K133" s="81"/>
      <c r="L133" s="81"/>
    </row>
    <row r="134" spans="11:12">
      <c r="K134" s="81"/>
      <c r="L134" s="81"/>
    </row>
    <row r="135" spans="11:12">
      <c r="K135" s="81"/>
      <c r="L135" s="81"/>
    </row>
    <row r="136" spans="11:12">
      <c r="K136" s="81"/>
      <c r="L136" s="81"/>
    </row>
    <row r="137" spans="11:12">
      <c r="K137" s="81"/>
      <c r="L137" s="81"/>
    </row>
    <row r="138" spans="11:12">
      <c r="K138" s="81"/>
      <c r="L138" s="81"/>
    </row>
    <row r="139" spans="11:12">
      <c r="K139" s="81"/>
    </row>
    <row r="140" spans="11:12">
      <c r="K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27" t="s">
        <v>271</v>
      </c>
      <c r="D5" s="823" t="s">
        <v>677</v>
      </c>
      <c r="E5" s="824" t="s">
        <v>678</v>
      </c>
      <c r="F5" s="824" t="s">
        <v>679</v>
      </c>
      <c r="G5" s="824" t="s">
        <v>680</v>
      </c>
      <c r="H5" s="824" t="s">
        <v>499</v>
      </c>
      <c r="I5" s="824" t="s">
        <v>681</v>
      </c>
      <c r="J5" s="824" t="s">
        <v>682</v>
      </c>
      <c r="K5" s="824" t="s">
        <v>683</v>
      </c>
      <c r="L5" s="824" t="s">
        <v>684</v>
      </c>
      <c r="M5" s="824" t="s">
        <v>685</v>
      </c>
      <c r="N5" s="824" t="s">
        <v>686</v>
      </c>
      <c r="O5" s="824" t="s">
        <v>687</v>
      </c>
      <c r="P5" s="824" t="s">
        <v>688</v>
      </c>
      <c r="Q5" s="824" t="s">
        <v>689</v>
      </c>
      <c r="R5" s="824" t="s">
        <v>690</v>
      </c>
      <c r="S5" s="824" t="s">
        <v>691</v>
      </c>
      <c r="T5" s="824" t="s">
        <v>692</v>
      </c>
      <c r="U5" s="824" t="s">
        <v>693</v>
      </c>
      <c r="V5" s="824" t="s">
        <v>694</v>
      </c>
      <c r="W5" s="824" t="s">
        <v>695</v>
      </c>
      <c r="X5" s="824" t="s">
        <v>584</v>
      </c>
      <c r="Y5" s="824" t="s">
        <v>696</v>
      </c>
      <c r="Z5" s="824" t="s">
        <v>697</v>
      </c>
      <c r="AA5" s="825" t="s">
        <v>495</v>
      </c>
    </row>
    <row r="6" spans="2:39" ht="13.5" thickBot="1">
      <c r="C6" s="819" t="s">
        <v>295</v>
      </c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/>
      <c r="C7" s="828" t="str">
        <f>COMM!D26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/>
      <c r="C8" s="729" t="str">
        <f>COMM!D27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/>
      <c r="C9" s="728" t="str">
        <f>COMM!D28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/>
      <c r="C10" s="829" t="str">
        <f>COMM!D29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/>
      <c r="C11" s="728" t="str">
        <f>COMM!D30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/>
      <c r="C12" s="730" t="str">
        <f>COMM!D31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702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701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699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700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698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756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E35" sqref="E35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828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849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832</v>
      </c>
      <c r="I4" s="744" t="s">
        <v>303</v>
      </c>
      <c r="J4" s="744" t="s">
        <v>831</v>
      </c>
      <c r="K4" s="744" t="s">
        <v>304</v>
      </c>
      <c r="L4" s="744" t="s">
        <v>839</v>
      </c>
      <c r="M4" s="744" t="s">
        <v>833</v>
      </c>
      <c r="N4" s="744" t="s">
        <v>834</v>
      </c>
      <c r="O4" s="744" t="s">
        <v>835</v>
      </c>
      <c r="P4" s="744" t="s">
        <v>327</v>
      </c>
    </row>
    <row r="5" spans="2:22">
      <c r="C5" s="742" t="s">
        <v>582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836</v>
      </c>
      <c r="M5" s="742" t="s">
        <v>836</v>
      </c>
      <c r="N5" s="742" t="s">
        <v>836</v>
      </c>
      <c r="O5" s="742" t="s">
        <v>836</v>
      </c>
      <c r="P5" s="742"/>
    </row>
    <row r="6" spans="2:22" ht="13.5" customHeight="1">
      <c r="C6" s="726" t="str">
        <f>SETUP!B$8</f>
        <v>RSDCOA</v>
      </c>
      <c r="D6" s="726" t="str">
        <f>SETUP!$C$5&amp;"_"&amp;COMM!E6</f>
        <v>Distribution_Coal to Residential</v>
      </c>
      <c r="E6" s="726" t="e">
        <f>RSD_Balance!#REF!</f>
        <v>#REF!</v>
      </c>
      <c r="F6" s="726" t="str">
        <f>COMM!$D$6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838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837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SETUP!$C$5&amp;"_"&amp;COMM!E7</f>
        <v>Distribution_Peat to Residential</v>
      </c>
      <c r="E10" s="726" t="str">
        <f>RSD_Balance!A10</f>
        <v>PEA</v>
      </c>
      <c r="F10" s="726" t="str">
        <f>COMM!D7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SETUP!$C$5&amp;"_"&amp;COMM!E8</f>
        <v>Distribution_LPG to Residential</v>
      </c>
      <c r="E11" s="724" t="str">
        <f>RSD_Balance!A11</f>
        <v>OILLPG</v>
      </c>
      <c r="F11" s="724" t="str">
        <f>COMM!D8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SETUP!$C$5&amp;"_"&amp;COMM!E9</f>
        <v>Distribution_Gasoline to Residential</v>
      </c>
      <c r="E12" s="726" t="str">
        <f>RSD_Balance!A12</f>
        <v>OILGSL</v>
      </c>
      <c r="F12" s="726" t="str">
        <f>COMM!D9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SETUP!$C$5&amp;"_"&amp;COMM!E10</f>
        <v>Distribution_Kerosene to Residential</v>
      </c>
      <c r="E13" s="724" t="str">
        <f>RSD_Balance!A13</f>
        <v>OILKER</v>
      </c>
      <c r="F13" s="724" t="str">
        <f>COMM!D10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SETUP!$C$5&amp;"_"&amp;COMM!E11</f>
        <v>Distribution_Gasoil / Diesel /DERV to Residential</v>
      </c>
      <c r="E14" s="726" t="str">
        <f>RSD_Balance!A14</f>
        <v>OILDST</v>
      </c>
      <c r="F14" s="726" t="str">
        <f>COMM!D11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SETUP!$C$5&amp;"_"&amp;COMM!E12</f>
        <v>Distribution_Fueloil to Residential</v>
      </c>
      <c r="E15" s="724" t="str">
        <f>RSD_Balance!A15</f>
        <v>OILHFO</v>
      </c>
      <c r="F15" s="724" t="str">
        <f>COMM!D12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SETUP!$C$5&amp;"_"&amp;COMM!E13</f>
        <v>Distribution_Petroleum Coke to Residential</v>
      </c>
      <c r="E16" s="726" t="str">
        <f>RSD_Balance!A16</f>
        <v>OILCOK</v>
      </c>
      <c r="F16" s="726" t="str">
        <f>COMM!D13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SETUP!$C$5&amp;"_"&amp;COMM!E14</f>
        <v>Distribution_Natural Gas to Residential</v>
      </c>
      <c r="E17" s="724" t="str">
        <f>RSD_Balance!A17</f>
        <v>GASNAT</v>
      </c>
      <c r="F17" s="724" t="str">
        <f>COMM!D14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SETUP!$C$5&amp;"_"&amp;COMM!E15</f>
        <v>Distribution_Solar to Residential</v>
      </c>
      <c r="E18" s="726" t="str">
        <f>RSD_Balance!A18</f>
        <v>RENSOL</v>
      </c>
      <c r="F18" s="726" t="str">
        <f>COMM!D15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SETUP!$C$5&amp;"_"&amp;COMM!E16</f>
        <v>Distribution_Biomass and Renewable Waste to Residential</v>
      </c>
      <c r="E19" s="724" t="str">
        <f>RSD_Balance!A19</f>
        <v>BIOWOO</v>
      </c>
      <c r="F19" s="724" t="str">
        <f>COMM!D16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SETUP!$C$5&amp;"_"&amp;COMM!E17</f>
        <v>Distribution_Biogas to Residential</v>
      </c>
      <c r="E20" s="726" t="str">
        <f>RSD_Balance!A20</f>
        <v>BIOGAS</v>
      </c>
      <c r="F20" s="726" t="str">
        <f>COMM!D17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SETUP!$C$5&amp;"_"&amp;COMM!E18</f>
        <v>Distribution_Landfill Gas to Residential</v>
      </c>
      <c r="E21" s="724" t="str">
        <f>RSD_Balance!A21</f>
        <v>BIOMUN</v>
      </c>
      <c r="F21" s="724" t="str">
        <f>COMM!D18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SETUP!$C$5&amp;"_"&amp;COMM!E19</f>
        <v>Distribution_Geothermal to Residential</v>
      </c>
      <c r="E22" s="726" t="str">
        <f>RSD_Balance!A22</f>
        <v>RENGEO</v>
      </c>
      <c r="F22" s="726" t="str">
        <f>COMM!D19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SETUP!$C$5&amp;"_"&amp;COMM!E20</f>
        <v>Distribution_Ethanol to Residential</v>
      </c>
      <c r="E23" s="724" t="str">
        <f>RSD_Balance!A23</f>
        <v>BIOETH</v>
      </c>
      <c r="F23" s="724" t="str">
        <f>COMM!D20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SETUP!$C$5&amp;"_"&amp;COMM!E21</f>
        <v>Distribution_Biodiesel to Residential</v>
      </c>
      <c r="E24" s="726" t="str">
        <f>RSD_Balance!A24</f>
        <v>BIODST</v>
      </c>
      <c r="F24" s="726" t="str">
        <f>COMM!D21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SETUP!$C$5&amp;"_"&amp;COMM!E22</f>
        <v>Distribution_Non-Renewable Waste to Residential</v>
      </c>
      <c r="E25" s="724" t="str">
        <f>RSD_Balance!A25</f>
        <v>BIOSLU</v>
      </c>
      <c r="F25" s="724" t="str">
        <f>COMM!D22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SETUP!$C$5&amp;"_"&amp;COMM!E23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COMM!D6&amp;","&amp;COMM!#REF!&amp;","&amp;COMM!#REF!&amp;","&amp;COMM!D7&amp;","&amp;COMM!D16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SETUP!$C$5&amp;"_"&amp;COMM!E24</f>
        <v>Distribution_Electricity to Residential</v>
      </c>
      <c r="E27" s="724" t="str">
        <f>RSD_Balance!A26</f>
        <v>ELC</v>
      </c>
      <c r="F27" s="724" t="str">
        <f>COMM!D24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SETUP!$C$5&amp;"_"&amp;COMM!E25</f>
        <v>Distribution_Heat to Residential</v>
      </c>
      <c r="E28" s="726" t="str">
        <f>RSD_Balance!A27</f>
        <v>HET</v>
      </c>
      <c r="F28" s="726" t="str">
        <f>COMM!D25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H137"/>
  <sheetViews>
    <sheetView topLeftCell="C1" workbookViewId="0">
      <selection activeCell="M15" sqref="M15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0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V1" s="149" t="s">
        <v>1268</v>
      </c>
      <c r="X1" s="148"/>
      <c r="AD1" s="148"/>
      <c r="AE1" s="148"/>
      <c r="AF1" s="148"/>
      <c r="AG1" s="148"/>
      <c r="AH1" s="148"/>
      <c r="AI1" s="148"/>
    </row>
    <row r="2" spans="2:60" ht="12" customHeight="1" thickBot="1">
      <c r="R2" s="131"/>
      <c r="S2" s="150" t="s">
        <v>298</v>
      </c>
      <c r="T2" s="150" t="s">
        <v>801</v>
      </c>
      <c r="U2" s="150" t="s">
        <v>843</v>
      </c>
      <c r="V2" s="150" t="s">
        <v>847</v>
      </c>
      <c r="W2" s="151" t="s">
        <v>844</v>
      </c>
      <c r="X2" s="906" t="s">
        <v>848</v>
      </c>
      <c r="Y2" s="907" t="s">
        <v>845</v>
      </c>
      <c r="Z2" s="906" t="s">
        <v>846</v>
      </c>
      <c r="AA2" s="877" t="s">
        <v>769</v>
      </c>
      <c r="AB2" s="878" t="s">
        <v>770</v>
      </c>
      <c r="AC2" s="878" t="s">
        <v>771</v>
      </c>
      <c r="AD2" s="878" t="s">
        <v>772</v>
      </c>
      <c r="AE2" s="878" t="s">
        <v>773</v>
      </c>
      <c r="AF2" s="878" t="s">
        <v>774</v>
      </c>
      <c r="AG2" s="878" t="s">
        <v>775</v>
      </c>
      <c r="AH2" s="878" t="s">
        <v>776</v>
      </c>
      <c r="AI2" s="878" t="s">
        <v>777</v>
      </c>
      <c r="AJ2" s="878" t="s">
        <v>778</v>
      </c>
      <c r="AK2" s="878" t="s">
        <v>779</v>
      </c>
      <c r="AL2" s="878" t="s">
        <v>780</v>
      </c>
      <c r="AM2" s="878" t="s">
        <v>781</v>
      </c>
      <c r="AN2" s="878" t="s">
        <v>782</v>
      </c>
      <c r="AO2" s="878" t="s">
        <v>783</v>
      </c>
      <c r="AP2" s="878" t="s">
        <v>784</v>
      </c>
      <c r="AQ2" s="880" t="s">
        <v>295</v>
      </c>
      <c r="AR2" s="878" t="s">
        <v>785</v>
      </c>
      <c r="AS2" s="878" t="s">
        <v>786</v>
      </c>
      <c r="AT2" s="878" t="s">
        <v>787</v>
      </c>
      <c r="AU2" s="878" t="s">
        <v>788</v>
      </c>
      <c r="AV2" s="878" t="s">
        <v>789</v>
      </c>
      <c r="AW2" s="878" t="s">
        <v>790</v>
      </c>
      <c r="AX2" s="878" t="s">
        <v>791</v>
      </c>
      <c r="AY2" s="878" t="s">
        <v>792</v>
      </c>
      <c r="AZ2" s="878" t="s">
        <v>793</v>
      </c>
      <c r="BA2" s="878" t="s">
        <v>794</v>
      </c>
      <c r="BB2" s="878" t="s">
        <v>795</v>
      </c>
      <c r="BC2" s="878" t="s">
        <v>796</v>
      </c>
      <c r="BD2" s="878" t="s">
        <v>797</v>
      </c>
      <c r="BE2" s="878" t="s">
        <v>798</v>
      </c>
      <c r="BF2" s="878" t="s">
        <v>799</v>
      </c>
      <c r="BG2" s="879" t="s">
        <v>800</v>
      </c>
      <c r="BH2" s="150" t="s">
        <v>327</v>
      </c>
    </row>
    <row r="3" spans="2:60" ht="12" customHeight="1">
      <c r="C3" s="120" t="s">
        <v>1267</v>
      </c>
      <c r="D3" s="120"/>
      <c r="E3" s="120"/>
      <c r="F3" s="84" t="s">
        <v>296</v>
      </c>
      <c r="G3" s="84"/>
      <c r="H3" s="66"/>
      <c r="I3" s="66"/>
      <c r="J3" s="66"/>
      <c r="K3" s="68" t="s">
        <v>297</v>
      </c>
      <c r="L3" s="68"/>
      <c r="N3" s="701"/>
      <c r="O3" s="701"/>
      <c r="P3" s="701"/>
      <c r="Q3" s="701"/>
      <c r="R3" s="131"/>
      <c r="S3" s="883" t="str">
        <f>"*H_"&amp;"*"&amp;RIGHT(V3,LEN(V3)-3)&amp;"_"&amp;SETUP!B64</f>
        <v>*H_*COABIT_X0</v>
      </c>
      <c r="T3" s="883" t="str">
        <f>COMM!E6&amp;"_"&amp;SETUP!C64</f>
        <v>Coal to Residential_Existing 00</v>
      </c>
      <c r="U3" s="883" t="e">
        <f>RSD_Balance!#REF!</f>
        <v>#REF!</v>
      </c>
      <c r="V3" s="883" t="s">
        <v>677</v>
      </c>
      <c r="W3" s="883">
        <v>1</v>
      </c>
      <c r="X3" s="883"/>
      <c r="Y3" s="883"/>
      <c r="Z3" s="883"/>
      <c r="AA3" s="883">
        <v>5.2909653443917494E-2</v>
      </c>
      <c r="AB3" s="883">
        <v>0.1130595111768057</v>
      </c>
      <c r="AC3" s="883">
        <v>0.18480169736713609</v>
      </c>
      <c r="AD3" s="883">
        <v>9.1980608893918028E-2</v>
      </c>
      <c r="AE3" s="883">
        <v>4.0248445684114405E-2</v>
      </c>
      <c r="AF3" s="883">
        <v>6.6194646918417144E-2</v>
      </c>
      <c r="AG3" s="883">
        <v>0.12021532312122017</v>
      </c>
      <c r="AH3" s="883">
        <v>5.2154967135292975E-2</v>
      </c>
      <c r="AI3" s="883">
        <v>1.3178805351752886E-2</v>
      </c>
      <c r="AJ3" s="883">
        <v>1.4108453121111133E-2</v>
      </c>
      <c r="AK3" s="883">
        <v>2.1205986611954164E-2</v>
      </c>
      <c r="AL3" s="883">
        <v>7.1491504124769718E-3</v>
      </c>
      <c r="AM3" s="883">
        <v>3.4589279795612465E-2</v>
      </c>
      <c r="AN3" s="883">
        <v>5.5365584468802055E-2</v>
      </c>
      <c r="AO3" s="883">
        <v>9.9766180708504015E-2</v>
      </c>
      <c r="AP3" s="883">
        <v>4.2243948847130071E-2</v>
      </c>
      <c r="AQ3" s="881"/>
      <c r="AR3" s="883">
        <v>5.0264170771721614E-2</v>
      </c>
      <c r="AS3" s="883">
        <v>0.10740653561796541</v>
      </c>
      <c r="AT3" s="883">
        <v>0.17556161249877927</v>
      </c>
      <c r="AU3" s="883">
        <v>8.7381578449222119E-2</v>
      </c>
      <c r="AV3" s="883">
        <v>3.8236023399908683E-2</v>
      </c>
      <c r="AW3" s="883">
        <v>6.2884914572496287E-2</v>
      </c>
      <c r="AX3" s="883">
        <v>0.11420455696515916</v>
      </c>
      <c r="AY3" s="883">
        <v>4.9547218778528322E-2</v>
      </c>
      <c r="AZ3" s="883">
        <v>1.2519865084165241E-2</v>
      </c>
      <c r="BA3" s="883">
        <v>1.3403030465055575E-2</v>
      </c>
      <c r="BB3" s="883">
        <v>2.0145687281356454E-2</v>
      </c>
      <c r="BC3" s="883">
        <v>6.7916928918531228E-3</v>
      </c>
      <c r="BD3" s="883">
        <v>3.2859815805831839E-2</v>
      </c>
      <c r="BE3" s="883">
        <v>5.259730524536195E-2</v>
      </c>
      <c r="BF3" s="883">
        <v>9.4777871673078815E-2</v>
      </c>
      <c r="BG3" s="883">
        <v>4.0131751404773562E-2</v>
      </c>
      <c r="BH3" s="875" t="s">
        <v>497</v>
      </c>
    </row>
    <row r="4" spans="2:60" ht="12" customHeight="1">
      <c r="B4" s="73" t="s">
        <v>1301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298</v>
      </c>
      <c r="M4" s="73" t="s">
        <v>299</v>
      </c>
      <c r="N4" s="73" t="s">
        <v>306</v>
      </c>
      <c r="O4" s="73" t="s">
        <v>307</v>
      </c>
      <c r="P4" s="73" t="s">
        <v>308</v>
      </c>
      <c r="Q4" s="73" t="s">
        <v>309</v>
      </c>
      <c r="R4" s="131"/>
      <c r="S4" s="884" t="str">
        <f>"*H_"&amp;"*"&amp;RIGHT(V4,LEN(V4)-3)&amp;"_"&amp;SETUP!B64</f>
        <v>*H_*COAHAR_X0</v>
      </c>
      <c r="T4" s="884" t="e">
        <f>COMM!#REF!&amp;"_"&amp;SETUP!C64</f>
        <v>#REF!</v>
      </c>
      <c r="U4" s="884" t="e">
        <f>RSD_Balance!#REF!</f>
        <v>#REF!</v>
      </c>
      <c r="V4" s="884" t="s">
        <v>678</v>
      </c>
      <c r="W4" s="884">
        <v>1</v>
      </c>
      <c r="X4" s="884"/>
      <c r="Y4" s="884"/>
      <c r="Z4" s="884"/>
      <c r="AA4" s="884">
        <v>5.2909653443917494E-2</v>
      </c>
      <c r="AB4" s="884">
        <v>0.1130595111768057</v>
      </c>
      <c r="AC4" s="884">
        <v>0.18480169736713609</v>
      </c>
      <c r="AD4" s="884">
        <v>9.1980608893918028E-2</v>
      </c>
      <c r="AE4" s="884">
        <v>4.0248445684114405E-2</v>
      </c>
      <c r="AF4" s="884">
        <v>6.6194646918417144E-2</v>
      </c>
      <c r="AG4" s="884">
        <v>0.12021532312122017</v>
      </c>
      <c r="AH4" s="884">
        <v>5.2154967135292975E-2</v>
      </c>
      <c r="AI4" s="884">
        <v>1.3178805351752886E-2</v>
      </c>
      <c r="AJ4" s="884">
        <v>1.4108453121111133E-2</v>
      </c>
      <c r="AK4" s="884">
        <v>2.1205986611954164E-2</v>
      </c>
      <c r="AL4" s="884">
        <v>7.1491504124769718E-3</v>
      </c>
      <c r="AM4" s="884">
        <v>3.4589279795612465E-2</v>
      </c>
      <c r="AN4" s="884">
        <v>5.5365584468802055E-2</v>
      </c>
      <c r="AO4" s="884">
        <v>9.9766180708504015E-2</v>
      </c>
      <c r="AP4" s="884">
        <v>4.2243948847130071E-2</v>
      </c>
      <c r="AQ4" s="881"/>
      <c r="AR4" s="884">
        <v>5.0264170771721614E-2</v>
      </c>
      <c r="AS4" s="884">
        <v>0.10740653561796541</v>
      </c>
      <c r="AT4" s="884">
        <v>0.17556161249877927</v>
      </c>
      <c r="AU4" s="884">
        <v>8.7381578449222119E-2</v>
      </c>
      <c r="AV4" s="884">
        <v>3.8236023399908683E-2</v>
      </c>
      <c r="AW4" s="884">
        <v>6.2884914572496287E-2</v>
      </c>
      <c r="AX4" s="884">
        <v>0.11420455696515916</v>
      </c>
      <c r="AY4" s="884">
        <v>4.9547218778528322E-2</v>
      </c>
      <c r="AZ4" s="884">
        <v>1.2519865084165241E-2</v>
      </c>
      <c r="BA4" s="884">
        <v>1.3403030465055575E-2</v>
      </c>
      <c r="BB4" s="884">
        <v>2.0145687281356454E-2</v>
      </c>
      <c r="BC4" s="884">
        <v>6.7916928918531228E-3</v>
      </c>
      <c r="BD4" s="884">
        <v>3.2859815805831839E-2</v>
      </c>
      <c r="BE4" s="884">
        <v>5.259730524536195E-2</v>
      </c>
      <c r="BF4" s="884">
        <v>9.4777871673078815E-2</v>
      </c>
      <c r="BG4" s="884">
        <v>4.0131751404773562E-2</v>
      </c>
      <c r="BH4" s="875" t="s">
        <v>497</v>
      </c>
    </row>
    <row r="5" spans="2:60" ht="26.25" thickBot="1">
      <c r="B5" s="74" t="s">
        <v>1302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5"/>
      <c r="M5" s="74"/>
      <c r="N5" s="75"/>
      <c r="O5" s="75"/>
      <c r="P5" s="75"/>
      <c r="Q5" s="75"/>
      <c r="R5" s="131"/>
      <c r="S5" s="883" t="str">
        <f>"*H_"&amp;"*"&amp;RIGHT(V5,LEN(V5)-3)&amp;"_"&amp;SETUP!B65</f>
        <v>*H_*COAHAR_X1</v>
      </c>
      <c r="T5" s="883" t="e">
        <f>COMM!#REF!&amp;"_"&amp;SETUP!C65</f>
        <v>#REF!</v>
      </c>
      <c r="U5" s="883" t="e">
        <f>RSD_Balance!#REF!</f>
        <v>#REF!</v>
      </c>
      <c r="V5" s="883" t="s">
        <v>678</v>
      </c>
      <c r="W5" s="883">
        <v>1</v>
      </c>
      <c r="X5" s="883"/>
      <c r="Y5" s="883"/>
      <c r="Z5" s="883"/>
      <c r="AA5" s="883">
        <v>5.2909653443917494E-2</v>
      </c>
      <c r="AB5" s="883">
        <v>0.1130595111768057</v>
      </c>
      <c r="AC5" s="883">
        <v>0.18480169736713609</v>
      </c>
      <c r="AD5" s="883">
        <v>9.1980608893918028E-2</v>
      </c>
      <c r="AE5" s="883">
        <v>4.0248445684114405E-2</v>
      </c>
      <c r="AF5" s="883">
        <v>6.6194646918417144E-2</v>
      </c>
      <c r="AG5" s="883">
        <v>0.12021532312122017</v>
      </c>
      <c r="AH5" s="883">
        <v>5.2154967135292975E-2</v>
      </c>
      <c r="AI5" s="883">
        <v>1.3178805351752886E-2</v>
      </c>
      <c r="AJ5" s="883">
        <v>1.4108453121111133E-2</v>
      </c>
      <c r="AK5" s="883">
        <v>2.1205986611954164E-2</v>
      </c>
      <c r="AL5" s="883">
        <v>7.1491504124769718E-3</v>
      </c>
      <c r="AM5" s="883">
        <v>3.4589279795612465E-2</v>
      </c>
      <c r="AN5" s="883">
        <v>5.5365584468802055E-2</v>
      </c>
      <c r="AO5" s="883">
        <v>9.9766180708504015E-2</v>
      </c>
      <c r="AP5" s="883">
        <v>4.2243948847130071E-2</v>
      </c>
      <c r="AQ5" s="881"/>
      <c r="AR5" s="883">
        <v>5.0264170771721614E-2</v>
      </c>
      <c r="AS5" s="883">
        <v>0.10740653561796541</v>
      </c>
      <c r="AT5" s="883">
        <v>0.17556161249877927</v>
      </c>
      <c r="AU5" s="883">
        <v>8.7381578449222119E-2</v>
      </c>
      <c r="AV5" s="883">
        <v>3.8236023399908683E-2</v>
      </c>
      <c r="AW5" s="883">
        <v>6.2884914572496287E-2</v>
      </c>
      <c r="AX5" s="883">
        <v>0.11420455696515916</v>
      </c>
      <c r="AY5" s="883">
        <v>4.9547218778528322E-2</v>
      </c>
      <c r="AZ5" s="883">
        <v>1.2519865084165241E-2</v>
      </c>
      <c r="BA5" s="883">
        <v>1.3403030465055575E-2</v>
      </c>
      <c r="BB5" s="883">
        <v>2.0145687281356454E-2</v>
      </c>
      <c r="BC5" s="883">
        <v>6.7916928918531228E-3</v>
      </c>
      <c r="BD5" s="883">
        <v>3.2859815805831839E-2</v>
      </c>
      <c r="BE5" s="883">
        <v>5.259730524536195E-2</v>
      </c>
      <c r="BF5" s="883">
        <v>9.4777871673078815E-2</v>
      </c>
      <c r="BG5" s="883">
        <v>4.0131751404773562E-2</v>
      </c>
      <c r="BH5" s="875" t="s">
        <v>497</v>
      </c>
    </row>
    <row r="6" spans="2:60" ht="12" customHeight="1">
      <c r="B6" s="76" t="s">
        <v>295</v>
      </c>
      <c r="C6" s="76" t="str">
        <f>"*"&amp;DwellingStocks!I28</f>
        <v>*Apartment</v>
      </c>
      <c r="D6" s="76"/>
      <c r="E6" s="76"/>
      <c r="F6" s="76"/>
      <c r="G6" s="76"/>
      <c r="H6" s="76"/>
      <c r="I6" s="76"/>
      <c r="J6" s="66"/>
      <c r="K6" s="71" t="str">
        <f>C6</f>
        <v>*Apartment</v>
      </c>
      <c r="L6" s="70"/>
      <c r="M6" s="70"/>
      <c r="N6" s="70"/>
      <c r="O6" s="70"/>
      <c r="P6" s="70"/>
      <c r="Q6" s="70"/>
      <c r="R6" s="131"/>
      <c r="S6" s="884" t="str">
        <f>"*H_"&amp;"*"&amp;RIGHT(V6,LEN(V6)-3)&amp;"_"&amp;SETUP!B64</f>
        <v>*H_*COACOK_X0</v>
      </c>
      <c r="T6" s="884" t="e">
        <f>COMM!#REF!&amp;"_"&amp;SETUP!C64</f>
        <v>#REF!</v>
      </c>
      <c r="U6" s="884" t="e">
        <f>RSD_Balance!#REF!</f>
        <v>#REF!</v>
      </c>
      <c r="V6" s="884" t="s">
        <v>679</v>
      </c>
      <c r="W6" s="884">
        <v>1</v>
      </c>
      <c r="X6" s="884"/>
      <c r="Y6" s="884"/>
      <c r="Z6" s="884"/>
      <c r="AA6" s="884">
        <v>5.2909653443917494E-2</v>
      </c>
      <c r="AB6" s="884">
        <v>0.1130595111768057</v>
      </c>
      <c r="AC6" s="884">
        <v>0.18480169736713609</v>
      </c>
      <c r="AD6" s="884">
        <v>9.1980608893918028E-2</v>
      </c>
      <c r="AE6" s="884">
        <v>4.0248445684114405E-2</v>
      </c>
      <c r="AF6" s="884">
        <v>6.6194646918417144E-2</v>
      </c>
      <c r="AG6" s="884">
        <v>0.12021532312122017</v>
      </c>
      <c r="AH6" s="884">
        <v>5.2154967135292975E-2</v>
      </c>
      <c r="AI6" s="884">
        <v>1.3178805351752886E-2</v>
      </c>
      <c r="AJ6" s="884">
        <v>1.4108453121111133E-2</v>
      </c>
      <c r="AK6" s="884">
        <v>2.1205986611954164E-2</v>
      </c>
      <c r="AL6" s="884">
        <v>7.1491504124769718E-3</v>
      </c>
      <c r="AM6" s="884">
        <v>3.4589279795612465E-2</v>
      </c>
      <c r="AN6" s="884">
        <v>5.5365584468802055E-2</v>
      </c>
      <c r="AO6" s="884">
        <v>9.9766180708504015E-2</v>
      </c>
      <c r="AP6" s="884">
        <v>4.2243948847130071E-2</v>
      </c>
      <c r="AQ6" s="881"/>
      <c r="AR6" s="884">
        <v>5.0264170771721614E-2</v>
      </c>
      <c r="AS6" s="884">
        <v>0.10740653561796541</v>
      </c>
      <c r="AT6" s="884">
        <v>0.17556161249877927</v>
      </c>
      <c r="AU6" s="884">
        <v>8.7381578449222119E-2</v>
      </c>
      <c r="AV6" s="884">
        <v>3.8236023399908683E-2</v>
      </c>
      <c r="AW6" s="884">
        <v>6.2884914572496287E-2</v>
      </c>
      <c r="AX6" s="884">
        <v>0.11420455696515916</v>
      </c>
      <c r="AY6" s="884">
        <v>4.9547218778528322E-2</v>
      </c>
      <c r="AZ6" s="884">
        <v>1.2519865084165241E-2</v>
      </c>
      <c r="BA6" s="884">
        <v>1.3403030465055575E-2</v>
      </c>
      <c r="BB6" s="884">
        <v>2.0145687281356454E-2</v>
      </c>
      <c r="BC6" s="884">
        <v>6.7916928918531228E-3</v>
      </c>
      <c r="BD6" s="884">
        <v>3.2859815805831839E-2</v>
      </c>
      <c r="BE6" s="884">
        <v>5.259730524536195E-2</v>
      </c>
      <c r="BF6" s="884">
        <v>9.4777871673078815E-2</v>
      </c>
      <c r="BG6" s="884">
        <v>4.0131751404773562E-2</v>
      </c>
      <c r="BH6" s="875" t="s">
        <v>497</v>
      </c>
    </row>
    <row r="7" spans="2:60" ht="12" customHeight="1">
      <c r="B7" s="746" t="str">
        <f>_xlfn.TEXTJOIN(",",TRUE,IF(LEFT(Regions!$C$3,1)&lt;&gt;"*",Regions!$C$3,""),IF(LEFT(Regions!$D$3,1)&lt;&gt;"*",Regions!$D$3,""))</f>
        <v>IE,National</v>
      </c>
      <c r="C7" s="746" t="str">
        <f>COMM!N6</f>
        <v>RSD_Apt</v>
      </c>
      <c r="D7" s="746" t="str">
        <f>COMM!O6</f>
        <v>Residential Apartment demand</v>
      </c>
      <c r="E7" s="747" t="str">
        <f>COMM!N9&amp;","&amp;COMM!N12&amp;","&amp;COMM!N15&amp;","&amp;COMM!N18&amp;","&amp;COMM!N21</f>
        <v>RSH_Apt,RSC_Apt,RWH_Apt,RLT_Apt,RPF_Apt</v>
      </c>
      <c r="F7" s="746" t="str">
        <f>COMM!N6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 t="shared" ref="L7:M9" si="0">C7</f>
        <v>RSD_Apt</v>
      </c>
      <c r="M7" s="747" t="str">
        <f t="shared" si="0"/>
        <v>Residential Apartment demand</v>
      </c>
      <c r="N7" s="746" t="s">
        <v>321</v>
      </c>
      <c r="O7" s="748" t="s">
        <v>321</v>
      </c>
      <c r="P7" s="746"/>
      <c r="Q7" s="746"/>
      <c r="R7" s="131"/>
      <c r="S7" s="883" t="str">
        <f>"*H_"&amp;"*"&amp;RIGHT(V7,LEN(V7)-3)&amp;"_"&amp;SETUP!B64</f>
        <v>*H_*COALIG_X0</v>
      </c>
      <c r="T7" s="883" t="e">
        <f>COMM!#REF!&amp;"_"&amp;SETUP!C64</f>
        <v>#REF!</v>
      </c>
      <c r="U7" s="883" t="e">
        <f>RSD_Balance!#REF!</f>
        <v>#REF!</v>
      </c>
      <c r="V7" s="883" t="s">
        <v>680</v>
      </c>
      <c r="W7" s="883">
        <v>1</v>
      </c>
      <c r="X7" s="883"/>
      <c r="Y7" s="883"/>
      <c r="Z7" s="883"/>
      <c r="AA7" s="883">
        <v>5.2909653443917494E-2</v>
      </c>
      <c r="AB7" s="883">
        <v>0.1130595111768057</v>
      </c>
      <c r="AC7" s="883">
        <v>0.18480169736713609</v>
      </c>
      <c r="AD7" s="883">
        <v>9.1980608893918028E-2</v>
      </c>
      <c r="AE7" s="883">
        <v>4.0248445684114405E-2</v>
      </c>
      <c r="AF7" s="883">
        <v>6.6194646918417144E-2</v>
      </c>
      <c r="AG7" s="883">
        <v>0.12021532312122017</v>
      </c>
      <c r="AH7" s="883">
        <v>5.2154967135292975E-2</v>
      </c>
      <c r="AI7" s="883">
        <v>1.3178805351752886E-2</v>
      </c>
      <c r="AJ7" s="883">
        <v>1.4108453121111133E-2</v>
      </c>
      <c r="AK7" s="883">
        <v>2.1205986611954164E-2</v>
      </c>
      <c r="AL7" s="883">
        <v>7.1491504124769718E-3</v>
      </c>
      <c r="AM7" s="883">
        <v>3.4589279795612465E-2</v>
      </c>
      <c r="AN7" s="883">
        <v>5.5365584468802055E-2</v>
      </c>
      <c r="AO7" s="883">
        <v>9.9766180708504015E-2</v>
      </c>
      <c r="AP7" s="883">
        <v>4.2243948847130071E-2</v>
      </c>
      <c r="AQ7" s="881"/>
      <c r="AR7" s="883">
        <v>5.0264170771721614E-2</v>
      </c>
      <c r="AS7" s="883">
        <v>0.10740653561796541</v>
      </c>
      <c r="AT7" s="883">
        <v>0.17556161249877927</v>
      </c>
      <c r="AU7" s="883">
        <v>8.7381578449222119E-2</v>
      </c>
      <c r="AV7" s="883">
        <v>3.8236023399908683E-2</v>
      </c>
      <c r="AW7" s="883">
        <v>6.2884914572496287E-2</v>
      </c>
      <c r="AX7" s="883">
        <v>0.11420455696515916</v>
      </c>
      <c r="AY7" s="883">
        <v>4.9547218778528322E-2</v>
      </c>
      <c r="AZ7" s="883">
        <v>1.2519865084165241E-2</v>
      </c>
      <c r="BA7" s="883">
        <v>1.3403030465055575E-2</v>
      </c>
      <c r="BB7" s="883">
        <v>2.0145687281356454E-2</v>
      </c>
      <c r="BC7" s="883">
        <v>6.7916928918531228E-3</v>
      </c>
      <c r="BD7" s="883">
        <v>3.2859815805831839E-2</v>
      </c>
      <c r="BE7" s="883">
        <v>5.259730524536195E-2</v>
      </c>
      <c r="BF7" s="883">
        <v>9.4777871673078815E-2</v>
      </c>
      <c r="BG7" s="883">
        <v>4.0131751404773562E-2</v>
      </c>
      <c r="BH7" s="875" t="s">
        <v>497</v>
      </c>
    </row>
    <row r="8" spans="2:60" ht="12" customHeight="1">
      <c r="B8" s="652" t="str">
        <f>_xlfn.TEXTJOIN(",",TRUE,IF(LEFT(Regions!$C$3,1)&lt;&gt;"*",Regions!$C$3,""),IF(LEFT(Regions!$D$3,1)&lt;&gt;"*",Regions!$D$3,""))</f>
        <v>IE,National</v>
      </c>
      <c r="C8" s="652" t="str">
        <f>COMM!N7</f>
        <v>RSD_Att</v>
      </c>
      <c r="D8" s="652" t="str">
        <f>COMM!O7</f>
        <v>Residential Attached demand</v>
      </c>
      <c r="E8" s="652" t="str">
        <f>COMM!N10&amp;","&amp;COMM!N13&amp;","&amp;COMM!N16&amp;","&amp;COMM!N19&amp;","&amp;COMM!N22</f>
        <v>RSH_Att,RSC_Att,RWH_Att,RLT_Att,RPF_Att</v>
      </c>
      <c r="F8" s="652" t="str">
        <f>COMM!N7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6" t="str">
        <f t="shared" si="0"/>
        <v>RSD_Att</v>
      </c>
      <c r="M8" s="83" t="str">
        <f t="shared" si="0"/>
        <v>Residential Attached demand</v>
      </c>
      <c r="N8" s="66" t="s">
        <v>321</v>
      </c>
      <c r="O8" s="88" t="s">
        <v>321</v>
      </c>
      <c r="P8" s="66"/>
      <c r="Q8" s="66"/>
      <c r="R8" s="131"/>
      <c r="S8" s="884" t="str">
        <f>"*H_"&amp;"*"&amp;RIGHT(V8,LEN(V8)-3)&amp;"_"&amp;SETUP!B64</f>
        <v>*H_*PEA_X0</v>
      </c>
      <c r="T8" s="884" t="str">
        <f>COMM!E7&amp;"_"&amp;SETUP!C64</f>
        <v>Peat to Residential_Existing 00</v>
      </c>
      <c r="U8" s="884" t="str">
        <f>RSD_Balance!A10</f>
        <v>PEA</v>
      </c>
      <c r="V8" s="884" t="s">
        <v>499</v>
      </c>
      <c r="W8" s="884">
        <v>1</v>
      </c>
      <c r="X8" s="884"/>
      <c r="Y8" s="884"/>
      <c r="Z8" s="884"/>
      <c r="AA8" s="884">
        <v>5.2909653443917494E-2</v>
      </c>
      <c r="AB8" s="884">
        <v>0.1130595111768057</v>
      </c>
      <c r="AC8" s="884">
        <v>0.18480169736713609</v>
      </c>
      <c r="AD8" s="884">
        <v>9.1980608893918028E-2</v>
      </c>
      <c r="AE8" s="884">
        <v>4.0248445684114405E-2</v>
      </c>
      <c r="AF8" s="884">
        <v>6.6194646918417144E-2</v>
      </c>
      <c r="AG8" s="884">
        <v>0.12021532312122017</v>
      </c>
      <c r="AH8" s="884">
        <v>5.2154967135292975E-2</v>
      </c>
      <c r="AI8" s="884">
        <v>1.3178805351752886E-2</v>
      </c>
      <c r="AJ8" s="884">
        <v>1.4108453121111133E-2</v>
      </c>
      <c r="AK8" s="884">
        <v>2.1205986611954164E-2</v>
      </c>
      <c r="AL8" s="884">
        <v>7.1491504124769718E-3</v>
      </c>
      <c r="AM8" s="884">
        <v>3.4589279795612465E-2</v>
      </c>
      <c r="AN8" s="884">
        <v>5.5365584468802055E-2</v>
      </c>
      <c r="AO8" s="884">
        <v>9.9766180708504015E-2</v>
      </c>
      <c r="AP8" s="884">
        <v>4.2243948847130071E-2</v>
      </c>
      <c r="AQ8" s="881"/>
      <c r="AR8" s="884">
        <v>5.0264170771721614E-2</v>
      </c>
      <c r="AS8" s="884">
        <v>0.10740653561796541</v>
      </c>
      <c r="AT8" s="884">
        <v>0.17556161249877927</v>
      </c>
      <c r="AU8" s="884">
        <v>8.7381578449222119E-2</v>
      </c>
      <c r="AV8" s="884">
        <v>3.8236023399908683E-2</v>
      </c>
      <c r="AW8" s="884">
        <v>6.2884914572496287E-2</v>
      </c>
      <c r="AX8" s="884">
        <v>0.11420455696515916</v>
      </c>
      <c r="AY8" s="884">
        <v>4.9547218778528322E-2</v>
      </c>
      <c r="AZ8" s="884">
        <v>1.2519865084165241E-2</v>
      </c>
      <c r="BA8" s="884">
        <v>1.3403030465055575E-2</v>
      </c>
      <c r="BB8" s="884">
        <v>2.0145687281356454E-2</v>
      </c>
      <c r="BC8" s="884">
        <v>6.7916928918531228E-3</v>
      </c>
      <c r="BD8" s="884">
        <v>3.2859815805831839E-2</v>
      </c>
      <c r="BE8" s="884">
        <v>5.259730524536195E-2</v>
      </c>
      <c r="BF8" s="884">
        <v>9.4777871673078815E-2</v>
      </c>
      <c r="BG8" s="884">
        <v>4.0131751404773562E-2</v>
      </c>
      <c r="BH8" s="875" t="s">
        <v>497</v>
      </c>
    </row>
    <row r="9" spans="2:60" ht="12" customHeight="1">
      <c r="B9" s="746" t="str">
        <f>_xlfn.TEXTJOIN(",",TRUE,IF(LEFT(Regions!$C$3,1)&lt;&gt;"*",Regions!$C$3,""),IF(LEFT(Regions!$D$3,1)&lt;&gt;"*",Regions!$D$3,""))</f>
        <v>IE,National</v>
      </c>
      <c r="C9" s="746" t="str">
        <f>COMM!N8</f>
        <v>RSD_Det</v>
      </c>
      <c r="D9" s="746" t="str">
        <f>COMM!O8</f>
        <v>Residential Detached demand</v>
      </c>
      <c r="E9" s="747" t="str">
        <f>COMM!N11&amp;","&amp;COMM!N14&amp;","&amp;COMM!N17&amp;","&amp;COMM!N20&amp;","&amp;COMM!N23</f>
        <v>RSH_Det,RSC_Det,RWH_Det,RLT_Det,RPF_Det</v>
      </c>
      <c r="F9" s="746" t="str">
        <f>COMM!N8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 t="shared" si="0"/>
        <v>RSD_Det</v>
      </c>
      <c r="M9" s="747" t="str">
        <f t="shared" si="0"/>
        <v>Residential Detached demand</v>
      </c>
      <c r="N9" s="746" t="s">
        <v>321</v>
      </c>
      <c r="O9" s="748" t="s">
        <v>321</v>
      </c>
      <c r="P9" s="746"/>
      <c r="Q9" s="746"/>
      <c r="R9" s="131"/>
      <c r="S9" s="883" t="str">
        <f>"*H_"&amp;"*"&amp;RIGHT(V9,LEN(V9)-3)&amp;"_"&amp;SETUP!B65</f>
        <v>*H_*PEA_X1</v>
      </c>
      <c r="T9" s="883" t="str">
        <f>COMM!E7&amp;"_"&amp;SETUP!C65</f>
        <v>Peat to Residential_Existing 01</v>
      </c>
      <c r="U9" s="883" t="str">
        <f>RSD_Balance!A10</f>
        <v>PEA</v>
      </c>
      <c r="V9" s="883" t="s">
        <v>499</v>
      </c>
      <c r="W9" s="883">
        <v>1</v>
      </c>
      <c r="X9" s="883"/>
      <c r="Y9" s="883"/>
      <c r="Z9" s="883"/>
      <c r="AA9" s="883">
        <v>5.2909653443917494E-2</v>
      </c>
      <c r="AB9" s="883">
        <v>0.1130595111768057</v>
      </c>
      <c r="AC9" s="883">
        <v>0.18480169736713609</v>
      </c>
      <c r="AD9" s="883">
        <v>9.1980608893918028E-2</v>
      </c>
      <c r="AE9" s="883">
        <v>4.0248445684114405E-2</v>
      </c>
      <c r="AF9" s="883">
        <v>6.6194646918417144E-2</v>
      </c>
      <c r="AG9" s="883">
        <v>0.12021532312122017</v>
      </c>
      <c r="AH9" s="883">
        <v>5.2154967135292975E-2</v>
      </c>
      <c r="AI9" s="883">
        <v>1.3178805351752886E-2</v>
      </c>
      <c r="AJ9" s="883">
        <v>1.4108453121111133E-2</v>
      </c>
      <c r="AK9" s="883">
        <v>2.1205986611954164E-2</v>
      </c>
      <c r="AL9" s="883">
        <v>7.1491504124769718E-3</v>
      </c>
      <c r="AM9" s="883">
        <v>3.4589279795612465E-2</v>
      </c>
      <c r="AN9" s="883">
        <v>5.5365584468802055E-2</v>
      </c>
      <c r="AO9" s="883">
        <v>9.9766180708504015E-2</v>
      </c>
      <c r="AP9" s="883">
        <v>4.2243948847130071E-2</v>
      </c>
      <c r="AQ9" s="881"/>
      <c r="AR9" s="883">
        <v>5.0264170771721614E-2</v>
      </c>
      <c r="AS9" s="883">
        <v>0.10740653561796541</v>
      </c>
      <c r="AT9" s="883">
        <v>0.17556161249877927</v>
      </c>
      <c r="AU9" s="883">
        <v>8.7381578449222119E-2</v>
      </c>
      <c r="AV9" s="883">
        <v>3.8236023399908683E-2</v>
      </c>
      <c r="AW9" s="883">
        <v>6.2884914572496287E-2</v>
      </c>
      <c r="AX9" s="883">
        <v>0.11420455696515916</v>
      </c>
      <c r="AY9" s="883">
        <v>4.9547218778528322E-2</v>
      </c>
      <c r="AZ9" s="883">
        <v>1.2519865084165241E-2</v>
      </c>
      <c r="BA9" s="883">
        <v>1.3403030465055575E-2</v>
      </c>
      <c r="BB9" s="883">
        <v>2.0145687281356454E-2</v>
      </c>
      <c r="BC9" s="883">
        <v>6.7916928918531228E-3</v>
      </c>
      <c r="BD9" s="883">
        <v>3.2859815805831839E-2</v>
      </c>
      <c r="BE9" s="883">
        <v>5.259730524536195E-2</v>
      </c>
      <c r="BF9" s="883">
        <v>9.4777871673078815E-2</v>
      </c>
      <c r="BG9" s="883">
        <v>4.0131751404773562E-2</v>
      </c>
      <c r="BH9" s="875" t="s">
        <v>497</v>
      </c>
    </row>
    <row r="10" spans="2:60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884" t="str">
        <f>"*H_"&amp;"*"&amp;RIGHT(V10,LEN(V10)-3)&amp;"_"&amp;SETUP!B64</f>
        <v>*H_*OILLPG_X0</v>
      </c>
      <c r="T10" s="884" t="str">
        <f>COMM!E8&amp;"_"&amp;SETUP!C64</f>
        <v>LPG to Residential_Existing 00</v>
      </c>
      <c r="U10" s="884" t="str">
        <f>RSD_Balance!A11</f>
        <v>OILLPG</v>
      </c>
      <c r="V10" s="884" t="s">
        <v>681</v>
      </c>
      <c r="W10" s="884">
        <v>1</v>
      </c>
      <c r="X10" s="884"/>
      <c r="Y10" s="884"/>
      <c r="Z10" s="884"/>
      <c r="AA10" s="884">
        <v>5.2909653443917494E-2</v>
      </c>
      <c r="AB10" s="884">
        <v>0.1130595111768057</v>
      </c>
      <c r="AC10" s="884">
        <v>0.18480169736713609</v>
      </c>
      <c r="AD10" s="884">
        <v>9.1980608893918028E-2</v>
      </c>
      <c r="AE10" s="884">
        <v>4.0248445684114405E-2</v>
      </c>
      <c r="AF10" s="884">
        <v>6.6194646918417144E-2</v>
      </c>
      <c r="AG10" s="884">
        <v>0.12021532312122017</v>
      </c>
      <c r="AH10" s="884">
        <v>5.2154967135292975E-2</v>
      </c>
      <c r="AI10" s="884">
        <v>1.3178805351752886E-2</v>
      </c>
      <c r="AJ10" s="884">
        <v>1.4108453121111133E-2</v>
      </c>
      <c r="AK10" s="884">
        <v>2.1205986611954164E-2</v>
      </c>
      <c r="AL10" s="884">
        <v>7.1491504124769718E-3</v>
      </c>
      <c r="AM10" s="884">
        <v>3.4589279795612465E-2</v>
      </c>
      <c r="AN10" s="884">
        <v>5.5365584468802055E-2</v>
      </c>
      <c r="AO10" s="884">
        <v>9.9766180708504015E-2</v>
      </c>
      <c r="AP10" s="884">
        <v>4.2243948847130071E-2</v>
      </c>
      <c r="AQ10" s="881"/>
      <c r="AR10" s="884">
        <v>5.0264170771721614E-2</v>
      </c>
      <c r="AS10" s="884">
        <v>0.10740653561796541</v>
      </c>
      <c r="AT10" s="884">
        <v>0.17556161249877927</v>
      </c>
      <c r="AU10" s="884">
        <v>8.7381578449222119E-2</v>
      </c>
      <c r="AV10" s="884">
        <v>3.8236023399908683E-2</v>
      </c>
      <c r="AW10" s="884">
        <v>6.2884914572496287E-2</v>
      </c>
      <c r="AX10" s="884">
        <v>0.11420455696515916</v>
      </c>
      <c r="AY10" s="884">
        <v>4.9547218778528322E-2</v>
      </c>
      <c r="AZ10" s="884">
        <v>1.2519865084165241E-2</v>
      </c>
      <c r="BA10" s="884">
        <v>1.3403030465055575E-2</v>
      </c>
      <c r="BB10" s="884">
        <v>2.0145687281356454E-2</v>
      </c>
      <c r="BC10" s="884">
        <v>6.7916928918531228E-3</v>
      </c>
      <c r="BD10" s="884">
        <v>3.2859815805831839E-2</v>
      </c>
      <c r="BE10" s="884">
        <v>5.259730524536195E-2</v>
      </c>
      <c r="BF10" s="884">
        <v>9.4777871673078815E-2</v>
      </c>
      <c r="BG10" s="884">
        <v>4.0131751404773562E-2</v>
      </c>
      <c r="BH10" s="875" t="s">
        <v>497</v>
      </c>
    </row>
    <row r="11" spans="2:60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883" t="str">
        <f>"*H_"&amp;"*"&amp;RIGHT(V11,LEN(V11)-3)&amp;"_"&amp;SETUP!B65</f>
        <v>*H_*OILLPG_X1</v>
      </c>
      <c r="T11" s="883" t="str">
        <f>COMM!E8&amp;"_"&amp;SETUP!C65</f>
        <v>LPG to Residential_Existing 01</v>
      </c>
      <c r="U11" s="883" t="str">
        <f>RSD_Balance!A11</f>
        <v>OILLPG</v>
      </c>
      <c r="V11" s="883" t="s">
        <v>681</v>
      </c>
      <c r="W11" s="883">
        <v>1</v>
      </c>
      <c r="X11" s="883"/>
      <c r="Y11" s="883"/>
      <c r="Z11" s="883"/>
      <c r="AA11" s="883">
        <v>5.2909653443917494E-2</v>
      </c>
      <c r="AB11" s="883">
        <v>0.1130595111768057</v>
      </c>
      <c r="AC11" s="883">
        <v>0.18480169736713609</v>
      </c>
      <c r="AD11" s="883">
        <v>9.1980608893918028E-2</v>
      </c>
      <c r="AE11" s="883">
        <v>4.0248445684114405E-2</v>
      </c>
      <c r="AF11" s="883">
        <v>6.6194646918417144E-2</v>
      </c>
      <c r="AG11" s="883">
        <v>0.12021532312122017</v>
      </c>
      <c r="AH11" s="883">
        <v>5.2154967135292975E-2</v>
      </c>
      <c r="AI11" s="883">
        <v>1.3178805351752886E-2</v>
      </c>
      <c r="AJ11" s="883">
        <v>1.4108453121111133E-2</v>
      </c>
      <c r="AK11" s="883">
        <v>2.1205986611954164E-2</v>
      </c>
      <c r="AL11" s="883">
        <v>7.1491504124769718E-3</v>
      </c>
      <c r="AM11" s="883">
        <v>3.4589279795612465E-2</v>
      </c>
      <c r="AN11" s="883">
        <v>5.5365584468802055E-2</v>
      </c>
      <c r="AO11" s="883">
        <v>9.9766180708504015E-2</v>
      </c>
      <c r="AP11" s="883">
        <v>4.2243948847130071E-2</v>
      </c>
      <c r="AQ11" s="881"/>
      <c r="AR11" s="883">
        <v>5.0264170771721614E-2</v>
      </c>
      <c r="AS11" s="883">
        <v>0.10740653561796541</v>
      </c>
      <c r="AT11" s="883">
        <v>0.17556161249877927</v>
      </c>
      <c r="AU11" s="883">
        <v>8.7381578449222119E-2</v>
      </c>
      <c r="AV11" s="883">
        <v>3.8236023399908683E-2</v>
      </c>
      <c r="AW11" s="883">
        <v>6.2884914572496287E-2</v>
      </c>
      <c r="AX11" s="883">
        <v>0.11420455696515916</v>
      </c>
      <c r="AY11" s="883">
        <v>4.9547218778528322E-2</v>
      </c>
      <c r="AZ11" s="883">
        <v>1.2519865084165241E-2</v>
      </c>
      <c r="BA11" s="883">
        <v>1.3403030465055575E-2</v>
      </c>
      <c r="BB11" s="883">
        <v>2.0145687281356454E-2</v>
      </c>
      <c r="BC11" s="883">
        <v>6.7916928918531228E-3</v>
      </c>
      <c r="BD11" s="883">
        <v>3.2859815805831839E-2</v>
      </c>
      <c r="BE11" s="883">
        <v>5.259730524536195E-2</v>
      </c>
      <c r="BF11" s="883">
        <v>9.4777871673078815E-2</v>
      </c>
      <c r="BG11" s="883">
        <v>4.0131751404773562E-2</v>
      </c>
      <c r="BH11" s="875" t="s">
        <v>497</v>
      </c>
    </row>
    <row r="12" spans="2:60" ht="12" customHeight="1">
      <c r="C12" s="1028" t="s">
        <v>842</v>
      </c>
      <c r="D12" s="1028"/>
      <c r="E12" s="1028"/>
      <c r="F12" s="1028"/>
      <c r="G12" s="1028"/>
      <c r="H12" s="1028"/>
      <c r="I12" s="1028"/>
      <c r="R12" s="131"/>
      <c r="S12" s="884" t="str">
        <f>"*H_"&amp;"*"&amp;RIGHT(V12,LEN(V12)-3)&amp;"_"&amp;SETUP!B64</f>
        <v>*H_*OILGSL_X0</v>
      </c>
      <c r="T12" s="884" t="str">
        <f>COMM!E9&amp;"_"&amp;SETUP!C64</f>
        <v>Gasoline to Residential_Existing 00</v>
      </c>
      <c r="U12" s="884" t="str">
        <f>RSD_Balance!A12</f>
        <v>OILGSL</v>
      </c>
      <c r="V12" s="884" t="s">
        <v>682</v>
      </c>
      <c r="W12" s="884">
        <v>1</v>
      </c>
      <c r="X12" s="884"/>
      <c r="Y12" s="884"/>
      <c r="Z12" s="884"/>
      <c r="AA12" s="884">
        <v>5.2909653443917494E-2</v>
      </c>
      <c r="AB12" s="884">
        <v>0.1130595111768057</v>
      </c>
      <c r="AC12" s="884">
        <v>0.18480169736713609</v>
      </c>
      <c r="AD12" s="884">
        <v>9.1980608893918028E-2</v>
      </c>
      <c r="AE12" s="884">
        <v>4.0248445684114405E-2</v>
      </c>
      <c r="AF12" s="884">
        <v>6.6194646918417144E-2</v>
      </c>
      <c r="AG12" s="884">
        <v>0.12021532312122017</v>
      </c>
      <c r="AH12" s="884">
        <v>5.2154967135292975E-2</v>
      </c>
      <c r="AI12" s="884">
        <v>1.3178805351752886E-2</v>
      </c>
      <c r="AJ12" s="884">
        <v>1.4108453121111133E-2</v>
      </c>
      <c r="AK12" s="884">
        <v>2.1205986611954164E-2</v>
      </c>
      <c r="AL12" s="884">
        <v>7.1491504124769718E-3</v>
      </c>
      <c r="AM12" s="884">
        <v>3.4589279795612465E-2</v>
      </c>
      <c r="AN12" s="884">
        <v>5.5365584468802055E-2</v>
      </c>
      <c r="AO12" s="884">
        <v>9.9766180708504015E-2</v>
      </c>
      <c r="AP12" s="884">
        <v>4.2243948847130071E-2</v>
      </c>
      <c r="AQ12" s="881"/>
      <c r="AR12" s="884">
        <v>5.0264170771721614E-2</v>
      </c>
      <c r="AS12" s="884">
        <v>0.10740653561796541</v>
      </c>
      <c r="AT12" s="884">
        <v>0.17556161249877927</v>
      </c>
      <c r="AU12" s="884">
        <v>8.7381578449222119E-2</v>
      </c>
      <c r="AV12" s="884">
        <v>3.8236023399908683E-2</v>
      </c>
      <c r="AW12" s="884">
        <v>6.2884914572496287E-2</v>
      </c>
      <c r="AX12" s="884">
        <v>0.11420455696515916</v>
      </c>
      <c r="AY12" s="884">
        <v>4.9547218778528322E-2</v>
      </c>
      <c r="AZ12" s="884">
        <v>1.2519865084165241E-2</v>
      </c>
      <c r="BA12" s="884">
        <v>1.3403030465055575E-2</v>
      </c>
      <c r="BB12" s="884">
        <v>2.0145687281356454E-2</v>
      </c>
      <c r="BC12" s="884">
        <v>6.7916928918531228E-3</v>
      </c>
      <c r="BD12" s="884">
        <v>3.2859815805831839E-2</v>
      </c>
      <c r="BE12" s="884">
        <v>5.259730524536195E-2</v>
      </c>
      <c r="BF12" s="884">
        <v>9.4777871673078815E-2</v>
      </c>
      <c r="BG12" s="884">
        <v>4.0131751404773562E-2</v>
      </c>
      <c r="BH12" s="875" t="s">
        <v>497</v>
      </c>
    </row>
    <row r="13" spans="2:60" ht="12" customHeight="1">
      <c r="R13" s="131"/>
      <c r="S13" s="883" t="str">
        <f>"*H_"&amp;"*"&amp;RIGHT(V13,LEN(V13)-3)&amp;"_"&amp;SETUP!B64</f>
        <v>*H_*OILKER_X0</v>
      </c>
      <c r="T13" s="883" t="str">
        <f>COMM!E10&amp;"_"&amp;SETUP!C64</f>
        <v>Kerosene to Residential_Existing 00</v>
      </c>
      <c r="U13" s="883" t="str">
        <f>RSD_Balance!A13</f>
        <v>OILKER</v>
      </c>
      <c r="V13" s="883" t="s">
        <v>683</v>
      </c>
      <c r="W13" s="883">
        <v>0.84</v>
      </c>
      <c r="X13" s="883"/>
      <c r="Y13" s="883"/>
      <c r="Z13" s="883"/>
      <c r="AA13" s="883">
        <v>5.2909653443917494E-2</v>
      </c>
      <c r="AB13" s="883">
        <v>0.1130595111768057</v>
      </c>
      <c r="AC13" s="883">
        <v>0.18480169736713609</v>
      </c>
      <c r="AD13" s="883">
        <v>9.1980608893918028E-2</v>
      </c>
      <c r="AE13" s="883">
        <v>4.0248445684114405E-2</v>
      </c>
      <c r="AF13" s="883">
        <v>6.6194646918417144E-2</v>
      </c>
      <c r="AG13" s="883">
        <v>0.12021532312122017</v>
      </c>
      <c r="AH13" s="883">
        <v>5.2154967135292975E-2</v>
      </c>
      <c r="AI13" s="883">
        <v>1.3178805351752886E-2</v>
      </c>
      <c r="AJ13" s="883">
        <v>1.4108453121111133E-2</v>
      </c>
      <c r="AK13" s="883">
        <v>2.1205986611954164E-2</v>
      </c>
      <c r="AL13" s="883">
        <v>7.1491504124769718E-3</v>
      </c>
      <c r="AM13" s="883">
        <v>3.4589279795612465E-2</v>
      </c>
      <c r="AN13" s="883">
        <v>5.5365584468802055E-2</v>
      </c>
      <c r="AO13" s="883">
        <v>9.9766180708504015E-2</v>
      </c>
      <c r="AP13" s="883">
        <v>4.2243948847130071E-2</v>
      </c>
      <c r="AQ13" s="881"/>
      <c r="AR13" s="883">
        <v>5.0264170771721614E-2</v>
      </c>
      <c r="AS13" s="883">
        <v>0.10740653561796541</v>
      </c>
      <c r="AT13" s="883">
        <v>0.17556161249877927</v>
      </c>
      <c r="AU13" s="883">
        <v>8.7381578449222119E-2</v>
      </c>
      <c r="AV13" s="883">
        <v>3.8236023399908683E-2</v>
      </c>
      <c r="AW13" s="883">
        <v>6.2884914572496287E-2</v>
      </c>
      <c r="AX13" s="883">
        <v>0.11420455696515916</v>
      </c>
      <c r="AY13" s="883">
        <v>4.9547218778528322E-2</v>
      </c>
      <c r="AZ13" s="883">
        <v>1.2519865084165241E-2</v>
      </c>
      <c r="BA13" s="883">
        <v>1.3403030465055575E-2</v>
      </c>
      <c r="BB13" s="883">
        <v>2.0145687281356454E-2</v>
      </c>
      <c r="BC13" s="883">
        <v>6.7916928918531228E-3</v>
      </c>
      <c r="BD13" s="883">
        <v>3.2859815805831839E-2</v>
      </c>
      <c r="BE13" s="883">
        <v>5.259730524536195E-2</v>
      </c>
      <c r="BF13" s="883">
        <v>9.4777871673078815E-2</v>
      </c>
      <c r="BG13" s="883">
        <v>4.0131751404773562E-2</v>
      </c>
      <c r="BH13" s="875" t="s">
        <v>497</v>
      </c>
    </row>
    <row r="14" spans="2:60" ht="12" customHeight="1">
      <c r="G14" s="891"/>
      <c r="S14" s="884" t="str">
        <f>"*H_"&amp;"*"&amp;RIGHT(V13,LEN(V13)-3)&amp;"_"&amp;SETUP!B64</f>
        <v>*H_*OILKER_X0</v>
      </c>
      <c r="T14" s="884" t="str">
        <f>COMM!E10&amp;"_"&amp;SETUP!C64</f>
        <v>Kerosene to Residential_Existing 00</v>
      </c>
      <c r="U14" s="884"/>
      <c r="V14" s="884" t="s">
        <v>684</v>
      </c>
      <c r="W14" s="884">
        <v>0.16</v>
      </c>
      <c r="X14" s="884"/>
      <c r="Y14" s="884"/>
      <c r="Z14" s="884"/>
      <c r="AA14" s="884">
        <v>5.2909653443917494E-2</v>
      </c>
      <c r="AB14" s="884">
        <v>0.1130595111768057</v>
      </c>
      <c r="AC14" s="884">
        <v>0.18480169736713609</v>
      </c>
      <c r="AD14" s="884">
        <v>9.1980608893918028E-2</v>
      </c>
      <c r="AE14" s="884">
        <v>4.0248445684114405E-2</v>
      </c>
      <c r="AF14" s="884">
        <v>6.6194646918417144E-2</v>
      </c>
      <c r="AG14" s="884">
        <v>0.12021532312122017</v>
      </c>
      <c r="AH14" s="884">
        <v>5.2154967135292975E-2</v>
      </c>
      <c r="AI14" s="884">
        <v>1.3178805351752886E-2</v>
      </c>
      <c r="AJ14" s="884">
        <v>1.4108453121111133E-2</v>
      </c>
      <c r="AK14" s="884">
        <v>2.1205986611954164E-2</v>
      </c>
      <c r="AL14" s="884">
        <v>7.1491504124769718E-3</v>
      </c>
      <c r="AM14" s="884">
        <v>3.4589279795612465E-2</v>
      </c>
      <c r="AN14" s="884">
        <v>5.5365584468802055E-2</v>
      </c>
      <c r="AO14" s="884">
        <v>9.9766180708504015E-2</v>
      </c>
      <c r="AP14" s="884">
        <v>4.2243948847130071E-2</v>
      </c>
      <c r="AQ14" s="881"/>
      <c r="AR14" s="884">
        <v>5.0264170771721614E-2</v>
      </c>
      <c r="AS14" s="884">
        <v>0.10740653561796541</v>
      </c>
      <c r="AT14" s="884">
        <v>0.17556161249877927</v>
      </c>
      <c r="AU14" s="884">
        <v>8.7381578449222119E-2</v>
      </c>
      <c r="AV14" s="884">
        <v>3.8236023399908683E-2</v>
      </c>
      <c r="AW14" s="884">
        <v>6.2884914572496287E-2</v>
      </c>
      <c r="AX14" s="884">
        <v>0.11420455696515916</v>
      </c>
      <c r="AY14" s="884">
        <v>4.9547218778528322E-2</v>
      </c>
      <c r="AZ14" s="884">
        <v>1.2519865084165241E-2</v>
      </c>
      <c r="BA14" s="884">
        <v>1.3403030465055575E-2</v>
      </c>
      <c r="BB14" s="884">
        <v>2.0145687281356454E-2</v>
      </c>
      <c r="BC14" s="884">
        <v>6.7916928918531228E-3</v>
      </c>
      <c r="BD14" s="884">
        <v>3.2859815805831839E-2</v>
      </c>
      <c r="BE14" s="884">
        <v>5.259730524536195E-2</v>
      </c>
      <c r="BF14" s="884">
        <v>9.4777871673078815E-2</v>
      </c>
      <c r="BG14" s="884">
        <v>4.0131751404773562E-2</v>
      </c>
      <c r="BH14" s="875" t="s">
        <v>497</v>
      </c>
    </row>
    <row r="15" spans="2:60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S15" s="883" t="str">
        <f>"*H_"&amp;"*"&amp;RIGHT(V15,LEN(V15)-3)&amp;"_"&amp;SETUP!B64</f>
        <v>*H_*OILHFO_X0</v>
      </c>
      <c r="T15" s="883" t="str">
        <f>COMM!E12&amp;"_"&amp;SETUP!C64</f>
        <v>Fueloil to Residential_Existing 00</v>
      </c>
      <c r="U15" s="883" t="str">
        <f>RSD_Balance!A15</f>
        <v>OILHFO</v>
      </c>
      <c r="V15" s="883" t="s">
        <v>685</v>
      </c>
      <c r="W15" s="883">
        <v>1</v>
      </c>
      <c r="X15" s="883"/>
      <c r="Y15" s="883"/>
      <c r="Z15" s="883"/>
      <c r="AA15" s="883">
        <v>5.2909653443917494E-2</v>
      </c>
      <c r="AB15" s="883">
        <v>0.1130595111768057</v>
      </c>
      <c r="AC15" s="883">
        <v>0.18480169736713609</v>
      </c>
      <c r="AD15" s="883">
        <v>9.1980608893918028E-2</v>
      </c>
      <c r="AE15" s="883">
        <v>4.0248445684114405E-2</v>
      </c>
      <c r="AF15" s="883">
        <v>6.6194646918417144E-2</v>
      </c>
      <c r="AG15" s="883">
        <v>0.12021532312122017</v>
      </c>
      <c r="AH15" s="883">
        <v>5.2154967135292975E-2</v>
      </c>
      <c r="AI15" s="883">
        <v>1.3178805351752886E-2</v>
      </c>
      <c r="AJ15" s="883">
        <v>1.4108453121111133E-2</v>
      </c>
      <c r="AK15" s="883">
        <v>2.1205986611954164E-2</v>
      </c>
      <c r="AL15" s="883">
        <v>7.1491504124769718E-3</v>
      </c>
      <c r="AM15" s="883">
        <v>3.4589279795612465E-2</v>
      </c>
      <c r="AN15" s="883">
        <v>5.5365584468802055E-2</v>
      </c>
      <c r="AO15" s="883">
        <v>9.9766180708504015E-2</v>
      </c>
      <c r="AP15" s="883">
        <v>4.2243948847130071E-2</v>
      </c>
      <c r="AQ15" s="881"/>
      <c r="AR15" s="883">
        <v>5.0264170771721614E-2</v>
      </c>
      <c r="AS15" s="883">
        <v>0.10740653561796541</v>
      </c>
      <c r="AT15" s="883">
        <v>0.17556161249877927</v>
      </c>
      <c r="AU15" s="883">
        <v>8.7381578449222119E-2</v>
      </c>
      <c r="AV15" s="883">
        <v>3.8236023399908683E-2</v>
      </c>
      <c r="AW15" s="883">
        <v>6.2884914572496287E-2</v>
      </c>
      <c r="AX15" s="883">
        <v>0.11420455696515916</v>
      </c>
      <c r="AY15" s="883">
        <v>4.9547218778528322E-2</v>
      </c>
      <c r="AZ15" s="883">
        <v>1.2519865084165241E-2</v>
      </c>
      <c r="BA15" s="883">
        <v>1.3403030465055575E-2</v>
      </c>
      <c r="BB15" s="883">
        <v>2.0145687281356454E-2</v>
      </c>
      <c r="BC15" s="883">
        <v>6.7916928918531228E-3</v>
      </c>
      <c r="BD15" s="883">
        <v>3.2859815805831839E-2</v>
      </c>
      <c r="BE15" s="883">
        <v>5.259730524536195E-2</v>
      </c>
      <c r="BF15" s="883">
        <v>9.4777871673078815E-2</v>
      </c>
      <c r="BG15" s="883">
        <v>4.0131751404773562E-2</v>
      </c>
      <c r="BH15" s="875" t="s">
        <v>497</v>
      </c>
    </row>
    <row r="16" spans="2:60" ht="12" customHeight="1">
      <c r="B16" s="696" t="s">
        <v>1301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S16" s="884" t="str">
        <f>"*H_"&amp;"*"&amp;RIGHT(V16,LEN(V16)-3)&amp;"_"&amp;SETUP!B64</f>
        <v>*H_*OILCOK_X0</v>
      </c>
      <c r="T16" s="884" t="str">
        <f>COMM!E13&amp;"_"&amp;SETUP!C64</f>
        <v>Petroleum Coke to Residential_Existing 00</v>
      </c>
      <c r="U16" s="884" t="str">
        <f>RSD_Balance!A16</f>
        <v>OILCOK</v>
      </c>
      <c r="V16" s="884" t="s">
        <v>686</v>
      </c>
      <c r="W16" s="884">
        <v>1</v>
      </c>
      <c r="X16" s="884"/>
      <c r="Y16" s="884"/>
      <c r="Z16" s="884"/>
      <c r="AA16" s="884">
        <v>5.2909653443917494E-2</v>
      </c>
      <c r="AB16" s="884">
        <v>0.1130595111768057</v>
      </c>
      <c r="AC16" s="884">
        <v>0.18480169736713609</v>
      </c>
      <c r="AD16" s="884">
        <v>9.1980608893918028E-2</v>
      </c>
      <c r="AE16" s="884">
        <v>4.0248445684114405E-2</v>
      </c>
      <c r="AF16" s="884">
        <v>6.6194646918417144E-2</v>
      </c>
      <c r="AG16" s="884">
        <v>0.12021532312122017</v>
      </c>
      <c r="AH16" s="884">
        <v>5.2154967135292975E-2</v>
      </c>
      <c r="AI16" s="884">
        <v>1.3178805351752886E-2</v>
      </c>
      <c r="AJ16" s="884">
        <v>1.4108453121111133E-2</v>
      </c>
      <c r="AK16" s="884">
        <v>2.1205986611954164E-2</v>
      </c>
      <c r="AL16" s="884">
        <v>7.1491504124769718E-3</v>
      </c>
      <c r="AM16" s="884">
        <v>3.4589279795612465E-2</v>
      </c>
      <c r="AN16" s="884">
        <v>5.5365584468802055E-2</v>
      </c>
      <c r="AO16" s="884">
        <v>9.9766180708504015E-2</v>
      </c>
      <c r="AP16" s="884">
        <v>4.2243948847130071E-2</v>
      </c>
      <c r="AQ16" s="881"/>
      <c r="AR16" s="884">
        <v>5.0264170771721614E-2</v>
      </c>
      <c r="AS16" s="884">
        <v>0.10740653561796541</v>
      </c>
      <c r="AT16" s="884">
        <v>0.17556161249877927</v>
      </c>
      <c r="AU16" s="884">
        <v>8.7381578449222119E-2</v>
      </c>
      <c r="AV16" s="884">
        <v>3.8236023399908683E-2</v>
      </c>
      <c r="AW16" s="884">
        <v>6.2884914572496287E-2</v>
      </c>
      <c r="AX16" s="884">
        <v>0.11420455696515916</v>
      </c>
      <c r="AY16" s="884">
        <v>4.9547218778528322E-2</v>
      </c>
      <c r="AZ16" s="884">
        <v>1.2519865084165241E-2</v>
      </c>
      <c r="BA16" s="884">
        <v>1.3403030465055575E-2</v>
      </c>
      <c r="BB16" s="884">
        <v>2.0145687281356454E-2</v>
      </c>
      <c r="BC16" s="884">
        <v>6.7916928918531228E-3</v>
      </c>
      <c r="BD16" s="884">
        <v>3.2859815805831839E-2</v>
      </c>
      <c r="BE16" s="884">
        <v>5.259730524536195E-2</v>
      </c>
      <c r="BF16" s="884">
        <v>9.4777871673078815E-2</v>
      </c>
      <c r="BG16" s="884">
        <v>4.0131751404773562E-2</v>
      </c>
      <c r="BH16" s="875" t="s">
        <v>497</v>
      </c>
    </row>
    <row r="17" spans="2:60" ht="12" customHeight="1">
      <c r="B17" s="886" t="str">
        <f>_xlfn.TEXTJOIN(",",TRUE,IF(LEFT(Regions!$C$3,1)&lt;&gt;"*",Regions!$C$3,""),IF(LEFT(Regions!$D$3,1)&lt;&gt;"*",Regions!$D$3,""))</f>
        <v>IE,National</v>
      </c>
      <c r="C17" s="886" t="str">
        <f>COMM!N6</f>
        <v>RSD_Apt</v>
      </c>
      <c r="D17" s="886" t="str">
        <f>COMM!O6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S17" s="883" t="str">
        <f>"*H_"&amp;"*"&amp;RIGHT(V17,LEN(V17)-3)&amp;"_"&amp;SETUP!B64</f>
        <v>*H_*GASNAT_X0</v>
      </c>
      <c r="T17" s="883" t="str">
        <f>COMM!E14&amp;"_"&amp;SETUP!C64</f>
        <v>Natural Gas to Residential_Existing 00</v>
      </c>
      <c r="U17" s="883" t="str">
        <f>RSD_Balance!A17</f>
        <v>GASNAT</v>
      </c>
      <c r="V17" s="883" t="s">
        <v>687</v>
      </c>
      <c r="W17" s="883">
        <v>1</v>
      </c>
      <c r="X17" s="883"/>
      <c r="Y17" s="883"/>
      <c r="Z17" s="883"/>
      <c r="AA17" s="883">
        <v>5.2909653443917494E-2</v>
      </c>
      <c r="AB17" s="883">
        <v>0.1130595111768057</v>
      </c>
      <c r="AC17" s="883">
        <v>0.18480169736713609</v>
      </c>
      <c r="AD17" s="883">
        <v>9.1980608893918028E-2</v>
      </c>
      <c r="AE17" s="883">
        <v>4.0248445684114405E-2</v>
      </c>
      <c r="AF17" s="883">
        <v>6.6194646918417144E-2</v>
      </c>
      <c r="AG17" s="883">
        <v>0.12021532312122017</v>
      </c>
      <c r="AH17" s="883">
        <v>5.2154967135292975E-2</v>
      </c>
      <c r="AI17" s="883">
        <v>1.3178805351752886E-2</v>
      </c>
      <c r="AJ17" s="883">
        <v>1.4108453121111133E-2</v>
      </c>
      <c r="AK17" s="883">
        <v>2.1205986611954164E-2</v>
      </c>
      <c r="AL17" s="883">
        <v>7.1491504124769718E-3</v>
      </c>
      <c r="AM17" s="883">
        <v>3.4589279795612465E-2</v>
      </c>
      <c r="AN17" s="883">
        <v>5.5365584468802055E-2</v>
      </c>
      <c r="AO17" s="883">
        <v>9.9766180708504015E-2</v>
      </c>
      <c r="AP17" s="883">
        <v>4.2243948847130071E-2</v>
      </c>
      <c r="AQ17" s="881"/>
      <c r="AR17" s="883">
        <v>5.0264170771721614E-2</v>
      </c>
      <c r="AS17" s="883">
        <v>0.10740653561796541</v>
      </c>
      <c r="AT17" s="883">
        <v>0.17556161249877927</v>
      </c>
      <c r="AU17" s="883">
        <v>8.7381578449222119E-2</v>
      </c>
      <c r="AV17" s="883">
        <v>3.8236023399908683E-2</v>
      </c>
      <c r="AW17" s="883">
        <v>6.2884914572496287E-2</v>
      </c>
      <c r="AX17" s="883">
        <v>0.11420455696515916</v>
      </c>
      <c r="AY17" s="883">
        <v>4.9547218778528322E-2</v>
      </c>
      <c r="AZ17" s="883">
        <v>1.2519865084165241E-2</v>
      </c>
      <c r="BA17" s="883">
        <v>1.3403030465055575E-2</v>
      </c>
      <c r="BB17" s="883">
        <v>2.0145687281356454E-2</v>
      </c>
      <c r="BC17" s="883">
        <v>6.7916928918531228E-3</v>
      </c>
      <c r="BD17" s="883">
        <v>3.2859815805831839E-2</v>
      </c>
      <c r="BE17" s="883">
        <v>5.259730524536195E-2</v>
      </c>
      <c r="BF17" s="883">
        <v>9.4777871673078815E-2</v>
      </c>
      <c r="BG17" s="883">
        <v>4.0131751404773562E-2</v>
      </c>
      <c r="BH17" s="875" t="s">
        <v>497</v>
      </c>
    </row>
    <row r="18" spans="2:60" ht="12" customHeight="1">
      <c r="B18" s="876" t="str">
        <f>_xlfn.TEXTJOIN(",",TRUE,IF(LEFT(Regions!$C$3,1)&lt;&gt;"*",Regions!$C$3,""),IF(LEFT(Regions!$D$3,1)&lt;&gt;"*",Regions!$D$3,""))</f>
        <v>IE,National</v>
      </c>
      <c r="C18" s="876" t="str">
        <f>COMM!N7</f>
        <v>RSD_Att</v>
      </c>
      <c r="D18" s="876" t="str">
        <f>COMM!O7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S18" s="884" t="str">
        <f>"*H_"&amp;"*"&amp;RIGHT(V18,LEN(V18)-3)&amp;"_"&amp;SETUP!B64</f>
        <v>*H_*RENSOL_X0</v>
      </c>
      <c r="T18" s="884" t="str">
        <f>COMM!E15&amp;"_"&amp;SETUP!C64</f>
        <v>Solar to Residential_Existing 00</v>
      </c>
      <c r="U18" s="884" t="str">
        <f>RSD_Balance!A18</f>
        <v>RENSOL</v>
      </c>
      <c r="V18" s="884" t="s">
        <v>688</v>
      </c>
      <c r="W18" s="884">
        <v>1</v>
      </c>
      <c r="X18" s="884"/>
      <c r="Y18" s="884"/>
      <c r="Z18" s="884"/>
      <c r="AA18" s="884">
        <v>0.34623779937084581</v>
      </c>
      <c r="AB18" s="884">
        <v>0.36219925443872714</v>
      </c>
      <c r="AC18" s="884">
        <v>0.57741154264418526</v>
      </c>
      <c r="AD18" s="884">
        <v>0.18318787048379334</v>
      </c>
      <c r="AE18" s="884">
        <v>0.344526432974474</v>
      </c>
      <c r="AF18" s="884">
        <v>0.36219925443872714</v>
      </c>
      <c r="AG18" s="884">
        <v>0.57741154264418526</v>
      </c>
      <c r="AH18" s="884">
        <v>0.18130815007141382</v>
      </c>
      <c r="AI18" s="884">
        <v>0.30478910007079352</v>
      </c>
      <c r="AJ18" s="884">
        <v>0.31505748679387902</v>
      </c>
      <c r="AK18" s="884">
        <v>0.52902041831780355</v>
      </c>
      <c r="AL18" s="884">
        <v>0.1451125372768769</v>
      </c>
      <c r="AM18" s="884">
        <v>0.34060248205914861</v>
      </c>
      <c r="AN18" s="884">
        <v>0.35978640094448372</v>
      </c>
      <c r="AO18" s="884">
        <v>0.57741154264418526</v>
      </c>
      <c r="AP18" s="884">
        <v>0.17777162205246544</v>
      </c>
      <c r="AQ18" s="881"/>
      <c r="AR18" s="884">
        <v>0.32892590940230348</v>
      </c>
      <c r="AS18" s="884">
        <v>0.34408929171679076</v>
      </c>
      <c r="AT18" s="884">
        <v>0.54854096551197595</v>
      </c>
      <c r="AU18" s="884">
        <v>0.17402847695960366</v>
      </c>
      <c r="AV18" s="884">
        <v>0.32730011132575026</v>
      </c>
      <c r="AW18" s="884">
        <v>0.34408929171679076</v>
      </c>
      <c r="AX18" s="884">
        <v>0.54854096551197595</v>
      </c>
      <c r="AY18" s="884">
        <v>0.17224274256784311</v>
      </c>
      <c r="AZ18" s="884">
        <v>0.28954964506725384</v>
      </c>
      <c r="BA18" s="884">
        <v>0.29930461245418505</v>
      </c>
      <c r="BB18" s="884">
        <v>0.50256939740191331</v>
      </c>
      <c r="BC18" s="884">
        <v>0.13785691041303305</v>
      </c>
      <c r="BD18" s="884">
        <v>0.32357235795619116</v>
      </c>
      <c r="BE18" s="884">
        <v>0.34179708089725952</v>
      </c>
      <c r="BF18" s="884">
        <v>0.54854096551197595</v>
      </c>
      <c r="BG18" s="884">
        <v>0.16888304094984216</v>
      </c>
      <c r="BH18" s="875" t="s">
        <v>497</v>
      </c>
    </row>
    <row r="19" spans="2:60" ht="12" customHeight="1">
      <c r="B19" s="886" t="str">
        <f>_xlfn.TEXTJOIN(",",TRUE,IF(LEFT(Regions!$C$3,1)&lt;&gt;"*",Regions!$C$3,""),IF(LEFT(Regions!$D$3,1)&lt;&gt;"*",Regions!$D$3,""))</f>
        <v>IE,National</v>
      </c>
      <c r="C19" s="886" t="str">
        <f>COMM!N8</f>
        <v>RSD_Det</v>
      </c>
      <c r="D19" s="886" t="str">
        <f>COMM!O8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883" t="str">
        <f>"*H_"&amp;"*"&amp;RIGHT(V19,LEN(V19)-3)&amp;"_"&amp;SETUP!B64</f>
        <v>*H_*BIOWOO_X0</v>
      </c>
      <c r="T19" s="883" t="str">
        <f>COMM!E16&amp;"_"&amp;SETUP!C64</f>
        <v>Biomass and Renewable Waste to Residential_Existing 00</v>
      </c>
      <c r="U19" s="883" t="str">
        <f>RSD_Balance!A19</f>
        <v>BIOWOO</v>
      </c>
      <c r="V19" s="883" t="s">
        <v>689</v>
      </c>
      <c r="W19" s="883">
        <v>1</v>
      </c>
      <c r="X19" s="883"/>
      <c r="Y19" s="883"/>
      <c r="Z19" s="883"/>
      <c r="AA19" s="883">
        <v>5.2909653443917494E-2</v>
      </c>
      <c r="AB19" s="883">
        <v>0.1130595111768057</v>
      </c>
      <c r="AC19" s="883">
        <v>0.18480169736713609</v>
      </c>
      <c r="AD19" s="883">
        <v>9.1980608893918028E-2</v>
      </c>
      <c r="AE19" s="883">
        <v>4.0248445684114405E-2</v>
      </c>
      <c r="AF19" s="883">
        <v>6.6194646918417144E-2</v>
      </c>
      <c r="AG19" s="883">
        <v>0.12021532312122017</v>
      </c>
      <c r="AH19" s="883">
        <v>5.2154967135292975E-2</v>
      </c>
      <c r="AI19" s="883">
        <v>1.3178805351752886E-2</v>
      </c>
      <c r="AJ19" s="883">
        <v>1.4108453121111133E-2</v>
      </c>
      <c r="AK19" s="883">
        <v>2.1205986611954164E-2</v>
      </c>
      <c r="AL19" s="883">
        <v>7.1491504124769718E-3</v>
      </c>
      <c r="AM19" s="883">
        <v>3.4589279795612465E-2</v>
      </c>
      <c r="AN19" s="883">
        <v>5.5365584468802055E-2</v>
      </c>
      <c r="AO19" s="883">
        <v>9.9766180708504015E-2</v>
      </c>
      <c r="AP19" s="883">
        <v>4.2243948847130071E-2</v>
      </c>
      <c r="AQ19" s="881"/>
      <c r="AR19" s="883">
        <v>5.0264170771721614E-2</v>
      </c>
      <c r="AS19" s="883">
        <v>0.10740653561796541</v>
      </c>
      <c r="AT19" s="883">
        <v>0.17556161249877927</v>
      </c>
      <c r="AU19" s="883">
        <v>8.7381578449222119E-2</v>
      </c>
      <c r="AV19" s="883">
        <v>3.8236023399908683E-2</v>
      </c>
      <c r="AW19" s="883">
        <v>6.2884914572496287E-2</v>
      </c>
      <c r="AX19" s="883">
        <v>0.11420455696515916</v>
      </c>
      <c r="AY19" s="883">
        <v>4.9547218778528322E-2</v>
      </c>
      <c r="AZ19" s="883">
        <v>1.2519865084165241E-2</v>
      </c>
      <c r="BA19" s="883">
        <v>1.3403030465055575E-2</v>
      </c>
      <c r="BB19" s="883">
        <v>2.0145687281356454E-2</v>
      </c>
      <c r="BC19" s="883">
        <v>6.7916928918531228E-3</v>
      </c>
      <c r="BD19" s="883">
        <v>3.2859815805831839E-2</v>
      </c>
      <c r="BE19" s="883">
        <v>5.259730524536195E-2</v>
      </c>
      <c r="BF19" s="883">
        <v>9.4777871673078815E-2</v>
      </c>
      <c r="BG19" s="883">
        <v>4.0131751404773562E-2</v>
      </c>
      <c r="BH19" s="875" t="s">
        <v>497</v>
      </c>
    </row>
    <row r="20" spans="2:60" ht="12" customHeight="1">
      <c r="C20" s="73" t="s">
        <v>327</v>
      </c>
      <c r="D20" s="73" t="s">
        <v>803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884" t="str">
        <f>"*H_"&amp;"*"&amp;RIGHT(V20,LEN(V20)-3)&amp;"_"&amp;SETUP!B65</f>
        <v>*H_*BIOWOO_X1</v>
      </c>
      <c r="T20" s="884" t="str">
        <f>COMM!E16&amp;"_"&amp;SETUP!C65</f>
        <v>Biomass and Renewable Waste to Residential_Existing 01</v>
      </c>
      <c r="U20" s="884" t="str">
        <f>RSD_Balance!A19</f>
        <v>BIOWOO</v>
      </c>
      <c r="V20" s="884" t="s">
        <v>689</v>
      </c>
      <c r="W20" s="884">
        <v>1</v>
      </c>
      <c r="X20" s="884"/>
      <c r="Y20" s="884"/>
      <c r="Z20" s="884"/>
      <c r="AA20" s="884">
        <v>5.2909653443917494E-2</v>
      </c>
      <c r="AB20" s="884">
        <v>0.1130595111768057</v>
      </c>
      <c r="AC20" s="884">
        <v>0.18480169736713609</v>
      </c>
      <c r="AD20" s="884">
        <v>9.1980608893918028E-2</v>
      </c>
      <c r="AE20" s="884">
        <v>4.0248445684114405E-2</v>
      </c>
      <c r="AF20" s="884">
        <v>6.6194646918417144E-2</v>
      </c>
      <c r="AG20" s="884">
        <v>0.12021532312122017</v>
      </c>
      <c r="AH20" s="884">
        <v>5.2154967135292975E-2</v>
      </c>
      <c r="AI20" s="884">
        <v>1.3178805351752886E-2</v>
      </c>
      <c r="AJ20" s="884">
        <v>1.4108453121111133E-2</v>
      </c>
      <c r="AK20" s="884">
        <v>2.1205986611954164E-2</v>
      </c>
      <c r="AL20" s="884">
        <v>7.1491504124769718E-3</v>
      </c>
      <c r="AM20" s="884">
        <v>3.4589279795612465E-2</v>
      </c>
      <c r="AN20" s="884">
        <v>5.5365584468802055E-2</v>
      </c>
      <c r="AO20" s="884">
        <v>9.9766180708504015E-2</v>
      </c>
      <c r="AP20" s="884">
        <v>4.2243948847130071E-2</v>
      </c>
      <c r="AQ20" s="881"/>
      <c r="AR20" s="884">
        <v>5.0264170771721614E-2</v>
      </c>
      <c r="AS20" s="884">
        <v>0.10740653561796541</v>
      </c>
      <c r="AT20" s="884">
        <v>0.17556161249877927</v>
      </c>
      <c r="AU20" s="884">
        <v>8.7381578449222119E-2</v>
      </c>
      <c r="AV20" s="884">
        <v>3.8236023399908683E-2</v>
      </c>
      <c r="AW20" s="884">
        <v>6.2884914572496287E-2</v>
      </c>
      <c r="AX20" s="884">
        <v>0.11420455696515916</v>
      </c>
      <c r="AY20" s="884">
        <v>4.9547218778528322E-2</v>
      </c>
      <c r="AZ20" s="884">
        <v>1.2519865084165241E-2</v>
      </c>
      <c r="BA20" s="884">
        <v>1.3403030465055575E-2</v>
      </c>
      <c r="BB20" s="884">
        <v>2.0145687281356454E-2</v>
      </c>
      <c r="BC20" s="884">
        <v>6.7916928918531228E-3</v>
      </c>
      <c r="BD20" s="884">
        <v>3.2859815805831839E-2</v>
      </c>
      <c r="BE20" s="884">
        <v>5.259730524536195E-2</v>
      </c>
      <c r="BF20" s="884">
        <v>9.4777871673078815E-2</v>
      </c>
      <c r="BG20" s="884">
        <v>4.0131751404773562E-2</v>
      </c>
      <c r="BH20" s="875" t="s">
        <v>497</v>
      </c>
    </row>
    <row r="21" spans="2:60">
      <c r="C21" s="895" t="s">
        <v>802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883" t="str">
        <f>"*H_"&amp;"*"&amp;RIGHT(V21,LEN(V21)-3)&amp;"_"&amp;SETUP!B66</f>
        <v>*H_*BIOWOO_X2</v>
      </c>
      <c r="T21" s="883" t="str">
        <f>COMM!E16&amp;"_"&amp;SETUP!C66</f>
        <v>Biomass and Renewable Waste to Residential_Existing 02</v>
      </c>
      <c r="U21" s="883" t="str">
        <f>RSD_Balance!A19</f>
        <v>BIOWOO</v>
      </c>
      <c r="V21" s="883" t="s">
        <v>689</v>
      </c>
      <c r="W21" s="883">
        <v>1</v>
      </c>
      <c r="X21" s="883"/>
      <c r="Y21" s="883"/>
      <c r="Z21" s="883"/>
      <c r="AA21" s="883">
        <v>5.2909653443917494E-2</v>
      </c>
      <c r="AB21" s="883">
        <v>0.1130595111768057</v>
      </c>
      <c r="AC21" s="883">
        <v>0.18480169736713609</v>
      </c>
      <c r="AD21" s="883">
        <v>9.1980608893918028E-2</v>
      </c>
      <c r="AE21" s="883">
        <v>4.0248445684114405E-2</v>
      </c>
      <c r="AF21" s="883">
        <v>6.6194646918417144E-2</v>
      </c>
      <c r="AG21" s="883">
        <v>0.12021532312122017</v>
      </c>
      <c r="AH21" s="883">
        <v>5.2154967135292975E-2</v>
      </c>
      <c r="AI21" s="883">
        <v>1.3178805351752886E-2</v>
      </c>
      <c r="AJ21" s="883">
        <v>1.4108453121111133E-2</v>
      </c>
      <c r="AK21" s="883">
        <v>2.1205986611954164E-2</v>
      </c>
      <c r="AL21" s="883">
        <v>7.1491504124769718E-3</v>
      </c>
      <c r="AM21" s="883">
        <v>3.4589279795612465E-2</v>
      </c>
      <c r="AN21" s="883">
        <v>5.5365584468802055E-2</v>
      </c>
      <c r="AO21" s="883">
        <v>9.9766180708504015E-2</v>
      </c>
      <c r="AP21" s="883">
        <v>4.2243948847130071E-2</v>
      </c>
      <c r="AQ21" s="881"/>
      <c r="AR21" s="883">
        <v>5.0264170771721614E-2</v>
      </c>
      <c r="AS21" s="883">
        <v>0.10740653561796541</v>
      </c>
      <c r="AT21" s="883">
        <v>0.17556161249877927</v>
      </c>
      <c r="AU21" s="883">
        <v>8.7381578449222119E-2</v>
      </c>
      <c r="AV21" s="883">
        <v>3.8236023399908683E-2</v>
      </c>
      <c r="AW21" s="883">
        <v>6.2884914572496287E-2</v>
      </c>
      <c r="AX21" s="883">
        <v>0.11420455696515916</v>
      </c>
      <c r="AY21" s="883">
        <v>4.9547218778528322E-2</v>
      </c>
      <c r="AZ21" s="883">
        <v>1.2519865084165241E-2</v>
      </c>
      <c r="BA21" s="883">
        <v>1.3403030465055575E-2</v>
      </c>
      <c r="BB21" s="883">
        <v>2.0145687281356454E-2</v>
      </c>
      <c r="BC21" s="883">
        <v>6.7916928918531228E-3</v>
      </c>
      <c r="BD21" s="883">
        <v>3.2859815805831839E-2</v>
      </c>
      <c r="BE21" s="883">
        <v>5.259730524536195E-2</v>
      </c>
      <c r="BF21" s="883">
        <v>9.4777871673078815E-2</v>
      </c>
      <c r="BG21" s="883">
        <v>4.0131751404773562E-2</v>
      </c>
      <c r="BH21" s="875" t="s">
        <v>497</v>
      </c>
    </row>
    <row r="22" spans="2:60">
      <c r="R22" s="131"/>
      <c r="S22" s="884" t="str">
        <f>"*H_"&amp;"*"&amp;RIGHT(V22,LEN(V22)-3)&amp;"_"&amp;SETUP!B64</f>
        <v>*H_*BIOGAS_X0</v>
      </c>
      <c r="T22" s="884" t="str">
        <f>COMM!E17&amp;"_"&amp;SETUP!C64</f>
        <v>Biogas to Residential_Existing 00</v>
      </c>
      <c r="U22" s="884" t="str">
        <f>RSD_Balance!A20</f>
        <v>BIOGAS</v>
      </c>
      <c r="V22" s="884" t="s">
        <v>690</v>
      </c>
      <c r="W22" s="884">
        <v>1</v>
      </c>
      <c r="X22" s="884"/>
      <c r="Y22" s="884"/>
      <c r="Z22" s="884"/>
      <c r="AA22" s="884">
        <v>5.2909653443917494E-2</v>
      </c>
      <c r="AB22" s="884">
        <v>0.1130595111768057</v>
      </c>
      <c r="AC22" s="884">
        <v>0.18480169736713609</v>
      </c>
      <c r="AD22" s="884">
        <v>9.1980608893918028E-2</v>
      </c>
      <c r="AE22" s="884">
        <v>4.0248445684114405E-2</v>
      </c>
      <c r="AF22" s="884">
        <v>6.6194646918417144E-2</v>
      </c>
      <c r="AG22" s="884">
        <v>0.12021532312122017</v>
      </c>
      <c r="AH22" s="884">
        <v>5.2154967135292975E-2</v>
      </c>
      <c r="AI22" s="884">
        <v>1.3178805351752886E-2</v>
      </c>
      <c r="AJ22" s="884">
        <v>1.4108453121111133E-2</v>
      </c>
      <c r="AK22" s="884">
        <v>2.1205986611954164E-2</v>
      </c>
      <c r="AL22" s="884">
        <v>7.1491504124769718E-3</v>
      </c>
      <c r="AM22" s="884">
        <v>3.4589279795612465E-2</v>
      </c>
      <c r="AN22" s="884">
        <v>5.5365584468802055E-2</v>
      </c>
      <c r="AO22" s="884">
        <v>9.9766180708504015E-2</v>
      </c>
      <c r="AP22" s="884">
        <v>4.2243948847130071E-2</v>
      </c>
      <c r="AQ22" s="881"/>
      <c r="AR22" s="884">
        <v>5.0264170771721614E-2</v>
      </c>
      <c r="AS22" s="884">
        <v>0.10740653561796541</v>
      </c>
      <c r="AT22" s="884">
        <v>0.17556161249877927</v>
      </c>
      <c r="AU22" s="884">
        <v>8.7381578449222119E-2</v>
      </c>
      <c r="AV22" s="884">
        <v>3.8236023399908683E-2</v>
      </c>
      <c r="AW22" s="884">
        <v>6.2884914572496287E-2</v>
      </c>
      <c r="AX22" s="884">
        <v>0.11420455696515916</v>
      </c>
      <c r="AY22" s="884">
        <v>4.9547218778528322E-2</v>
      </c>
      <c r="AZ22" s="884">
        <v>1.2519865084165241E-2</v>
      </c>
      <c r="BA22" s="884">
        <v>1.3403030465055575E-2</v>
      </c>
      <c r="BB22" s="884">
        <v>2.0145687281356454E-2</v>
      </c>
      <c r="BC22" s="884">
        <v>6.7916928918531228E-3</v>
      </c>
      <c r="BD22" s="884">
        <v>3.2859815805831839E-2</v>
      </c>
      <c r="BE22" s="884">
        <v>5.259730524536195E-2</v>
      </c>
      <c r="BF22" s="884">
        <v>9.4777871673078815E-2</v>
      </c>
      <c r="BG22" s="884">
        <v>4.0131751404773562E-2</v>
      </c>
      <c r="BH22" s="875" t="s">
        <v>497</v>
      </c>
    </row>
    <row r="23" spans="2:60" ht="21">
      <c r="C23" s="120" t="s">
        <v>827</v>
      </c>
      <c r="D23" s="120"/>
      <c r="E23" s="111" t="s">
        <v>840</v>
      </c>
      <c r="F23" s="111"/>
      <c r="R23" s="131"/>
      <c r="S23" s="883" t="str">
        <f>"*H_"&amp;"*"&amp;RIGHT(V23,LEN(V23)-3)&amp;"_"&amp;SETUP!B64</f>
        <v>*H_*BIOMUN_X0</v>
      </c>
      <c r="T23" s="883" t="str">
        <f>COMM!E18&amp;"_"&amp;SETUP!C64</f>
        <v>Landfill Gas to Residential_Existing 00</v>
      </c>
      <c r="U23" s="883" t="str">
        <f>RSD_Balance!A21</f>
        <v>BIOMUN</v>
      </c>
      <c r="V23" s="883" t="s">
        <v>691</v>
      </c>
      <c r="W23" s="883">
        <v>1</v>
      </c>
      <c r="X23" s="883"/>
      <c r="Y23" s="883"/>
      <c r="Z23" s="883"/>
      <c r="AA23" s="883">
        <v>5.2909653443917494E-2</v>
      </c>
      <c r="AB23" s="883">
        <v>0.1130595111768057</v>
      </c>
      <c r="AC23" s="883">
        <v>0.18480169736713609</v>
      </c>
      <c r="AD23" s="883">
        <v>9.1980608893918028E-2</v>
      </c>
      <c r="AE23" s="883">
        <v>4.0248445684114405E-2</v>
      </c>
      <c r="AF23" s="883">
        <v>6.6194646918417144E-2</v>
      </c>
      <c r="AG23" s="883">
        <v>0.12021532312122017</v>
      </c>
      <c r="AH23" s="883">
        <v>5.2154967135292975E-2</v>
      </c>
      <c r="AI23" s="883">
        <v>1.3178805351752886E-2</v>
      </c>
      <c r="AJ23" s="883">
        <v>1.4108453121111133E-2</v>
      </c>
      <c r="AK23" s="883">
        <v>2.1205986611954164E-2</v>
      </c>
      <c r="AL23" s="883">
        <v>7.1491504124769718E-3</v>
      </c>
      <c r="AM23" s="883">
        <v>3.4589279795612465E-2</v>
      </c>
      <c r="AN23" s="883">
        <v>5.5365584468802055E-2</v>
      </c>
      <c r="AO23" s="883">
        <v>9.9766180708504015E-2</v>
      </c>
      <c r="AP23" s="883">
        <v>4.2243948847130071E-2</v>
      </c>
      <c r="AQ23" s="881"/>
      <c r="AR23" s="883">
        <v>5.0264170771721614E-2</v>
      </c>
      <c r="AS23" s="883">
        <v>0.10740653561796541</v>
      </c>
      <c r="AT23" s="883">
        <v>0.17556161249877927</v>
      </c>
      <c r="AU23" s="883">
        <v>8.7381578449222119E-2</v>
      </c>
      <c r="AV23" s="883">
        <v>3.8236023399908683E-2</v>
      </c>
      <c r="AW23" s="883">
        <v>6.2884914572496287E-2</v>
      </c>
      <c r="AX23" s="883">
        <v>0.11420455696515916</v>
      </c>
      <c r="AY23" s="883">
        <v>4.9547218778528322E-2</v>
      </c>
      <c r="AZ23" s="883">
        <v>1.2519865084165241E-2</v>
      </c>
      <c r="BA23" s="883">
        <v>1.3403030465055575E-2</v>
      </c>
      <c r="BB23" s="883">
        <v>2.0145687281356454E-2</v>
      </c>
      <c r="BC23" s="883">
        <v>6.7916928918531228E-3</v>
      </c>
      <c r="BD23" s="883">
        <v>3.2859815805831839E-2</v>
      </c>
      <c r="BE23" s="883">
        <v>5.259730524536195E-2</v>
      </c>
      <c r="BF23" s="883">
        <v>9.4777871673078815E-2</v>
      </c>
      <c r="BG23" s="883">
        <v>4.0131751404773562E-2</v>
      </c>
      <c r="BH23" s="875" t="s">
        <v>497</v>
      </c>
    </row>
    <row r="24" spans="2:60">
      <c r="D24" s="148" t="s">
        <v>804</v>
      </c>
      <c r="R24" s="131"/>
      <c r="S24" s="884" t="str">
        <f>"*H_"&amp;"*"&amp;RIGHT(V24,LEN(V24)-3)&amp;"_"&amp;SETUP!B64</f>
        <v>*H_*RENGEO_X0</v>
      </c>
      <c r="T24" s="884" t="str">
        <f>COMM!E19&amp;"_"&amp;SETUP!C64</f>
        <v>Geothermal to Residential_Existing 00</v>
      </c>
      <c r="U24" s="884" t="str">
        <f>RSD_Balance!A22</f>
        <v>RENGEO</v>
      </c>
      <c r="V24" s="884" t="s">
        <v>692</v>
      </c>
      <c r="W24" s="884">
        <v>1</v>
      </c>
      <c r="X24" s="884"/>
      <c r="Y24" s="884"/>
      <c r="Z24" s="884"/>
      <c r="AA24" s="884">
        <v>5.2909653443917494E-2</v>
      </c>
      <c r="AB24" s="884">
        <v>0.1130595111768057</v>
      </c>
      <c r="AC24" s="884">
        <v>0.18480169736713609</v>
      </c>
      <c r="AD24" s="884">
        <v>9.1980608893918028E-2</v>
      </c>
      <c r="AE24" s="884">
        <v>4.0248445684114405E-2</v>
      </c>
      <c r="AF24" s="884">
        <v>6.6194646918417144E-2</v>
      </c>
      <c r="AG24" s="884">
        <v>0.12021532312122017</v>
      </c>
      <c r="AH24" s="884">
        <v>5.2154967135292975E-2</v>
      </c>
      <c r="AI24" s="884">
        <v>1.3178805351752886E-2</v>
      </c>
      <c r="AJ24" s="884">
        <v>1.4108453121111133E-2</v>
      </c>
      <c r="AK24" s="884">
        <v>2.1205986611954164E-2</v>
      </c>
      <c r="AL24" s="884">
        <v>7.1491504124769718E-3</v>
      </c>
      <c r="AM24" s="884">
        <v>3.4589279795612465E-2</v>
      </c>
      <c r="AN24" s="884">
        <v>5.5365584468802055E-2</v>
      </c>
      <c r="AO24" s="884">
        <v>9.9766180708504015E-2</v>
      </c>
      <c r="AP24" s="884">
        <v>4.2243948847130071E-2</v>
      </c>
      <c r="AQ24" s="881"/>
      <c r="AR24" s="884">
        <v>5.0264170771721614E-2</v>
      </c>
      <c r="AS24" s="884">
        <v>0.10740653561796541</v>
      </c>
      <c r="AT24" s="884">
        <v>0.17556161249877927</v>
      </c>
      <c r="AU24" s="884">
        <v>8.7381578449222119E-2</v>
      </c>
      <c r="AV24" s="884">
        <v>3.8236023399908683E-2</v>
      </c>
      <c r="AW24" s="884">
        <v>6.2884914572496287E-2</v>
      </c>
      <c r="AX24" s="884">
        <v>0.11420455696515916</v>
      </c>
      <c r="AY24" s="884">
        <v>4.9547218778528322E-2</v>
      </c>
      <c r="AZ24" s="884">
        <v>1.2519865084165241E-2</v>
      </c>
      <c r="BA24" s="884">
        <v>1.3403030465055575E-2</v>
      </c>
      <c r="BB24" s="884">
        <v>2.0145687281356454E-2</v>
      </c>
      <c r="BC24" s="884">
        <v>6.7916928918531228E-3</v>
      </c>
      <c r="BD24" s="884">
        <v>3.2859815805831839E-2</v>
      </c>
      <c r="BE24" s="884">
        <v>5.259730524536195E-2</v>
      </c>
      <c r="BF24" s="884">
        <v>9.4777871673078815E-2</v>
      </c>
      <c r="BG24" s="884">
        <v>4.0131751404773562E-2</v>
      </c>
      <c r="BH24" s="875" t="s">
        <v>497</v>
      </c>
    </row>
    <row r="25" spans="2:60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883" t="str">
        <f>"*H_"&amp;"*"&amp;RIGHT(V25,LEN(V25)-3)&amp;"_"&amp;SETUP!B64</f>
        <v>*H_*BIOETH_X0</v>
      </c>
      <c r="T25" s="883" t="str">
        <f>COMM!E20&amp;"_"&amp;SETUP!C64</f>
        <v>Ethanol to Residential_Existing 00</v>
      </c>
      <c r="U25" s="883" t="str">
        <f>RSD_Balance!A23</f>
        <v>BIOETH</v>
      </c>
      <c r="V25" s="883" t="s">
        <v>693</v>
      </c>
      <c r="W25" s="883">
        <v>1</v>
      </c>
      <c r="X25" s="883"/>
      <c r="Y25" s="883"/>
      <c r="Z25" s="883"/>
      <c r="AA25" s="883">
        <v>5.2909653443917494E-2</v>
      </c>
      <c r="AB25" s="883">
        <v>0.1130595111768057</v>
      </c>
      <c r="AC25" s="883">
        <v>0.18480169736713609</v>
      </c>
      <c r="AD25" s="883">
        <v>9.1980608893918028E-2</v>
      </c>
      <c r="AE25" s="883">
        <v>4.0248445684114405E-2</v>
      </c>
      <c r="AF25" s="883">
        <v>6.6194646918417144E-2</v>
      </c>
      <c r="AG25" s="883">
        <v>0.12021532312122017</v>
      </c>
      <c r="AH25" s="883">
        <v>5.2154967135292975E-2</v>
      </c>
      <c r="AI25" s="883">
        <v>1.3178805351752886E-2</v>
      </c>
      <c r="AJ25" s="883">
        <v>1.4108453121111133E-2</v>
      </c>
      <c r="AK25" s="883">
        <v>2.1205986611954164E-2</v>
      </c>
      <c r="AL25" s="883">
        <v>7.1491504124769718E-3</v>
      </c>
      <c r="AM25" s="883">
        <v>3.4589279795612465E-2</v>
      </c>
      <c r="AN25" s="883">
        <v>5.5365584468802055E-2</v>
      </c>
      <c r="AO25" s="883">
        <v>9.9766180708504015E-2</v>
      </c>
      <c r="AP25" s="883">
        <v>4.2243948847130071E-2</v>
      </c>
      <c r="AQ25" s="881"/>
      <c r="AR25" s="883">
        <v>5.0264170771721614E-2</v>
      </c>
      <c r="AS25" s="883">
        <v>0.10740653561796541</v>
      </c>
      <c r="AT25" s="883">
        <v>0.17556161249877927</v>
      </c>
      <c r="AU25" s="883">
        <v>8.7381578449222119E-2</v>
      </c>
      <c r="AV25" s="883">
        <v>3.8236023399908683E-2</v>
      </c>
      <c r="AW25" s="883">
        <v>6.2884914572496287E-2</v>
      </c>
      <c r="AX25" s="883">
        <v>0.11420455696515916</v>
      </c>
      <c r="AY25" s="883">
        <v>4.9547218778528322E-2</v>
      </c>
      <c r="AZ25" s="883">
        <v>1.2519865084165241E-2</v>
      </c>
      <c r="BA25" s="883">
        <v>1.3403030465055575E-2</v>
      </c>
      <c r="BB25" s="883">
        <v>2.0145687281356454E-2</v>
      </c>
      <c r="BC25" s="883">
        <v>6.7916928918531228E-3</v>
      </c>
      <c r="BD25" s="883">
        <v>3.2859815805831839E-2</v>
      </c>
      <c r="BE25" s="883">
        <v>5.259730524536195E-2</v>
      </c>
      <c r="BF25" s="883">
        <v>9.4777871673078815E-2</v>
      </c>
      <c r="BG25" s="883">
        <v>4.0131751404773562E-2</v>
      </c>
      <c r="BH25" s="875" t="s">
        <v>497</v>
      </c>
    </row>
    <row r="26" spans="2:60">
      <c r="E26" s="148" t="s">
        <v>805</v>
      </c>
      <c r="F26" s="891">
        <f>I77</f>
        <v>875.12249999999995</v>
      </c>
      <c r="H26">
        <v>1122.25</v>
      </c>
      <c r="R26" s="131"/>
      <c r="S26" s="884" t="str">
        <f>"*H_"&amp;"*"&amp;RIGHT(V26,LEN(V26)-3)&amp;"_"&amp;SETUP!B64</f>
        <v>*H_*BIODST_X0</v>
      </c>
      <c r="T26" s="884" t="str">
        <f>COMM!E21&amp;"_"&amp;SETUP!C64</f>
        <v>Biodiesel to Residential_Existing 00</v>
      </c>
      <c r="U26" s="884" t="str">
        <f>RSD_Balance!A24</f>
        <v>BIODST</v>
      </c>
      <c r="V26" s="884" t="s">
        <v>694</v>
      </c>
      <c r="W26" s="884">
        <v>1</v>
      </c>
      <c r="X26" s="884"/>
      <c r="Y26" s="884"/>
      <c r="Z26" s="884"/>
      <c r="AA26" s="884">
        <v>5.2909653443917494E-2</v>
      </c>
      <c r="AB26" s="884">
        <v>0.1130595111768057</v>
      </c>
      <c r="AC26" s="884">
        <v>0.18480169736713609</v>
      </c>
      <c r="AD26" s="884">
        <v>9.1980608893918028E-2</v>
      </c>
      <c r="AE26" s="884">
        <v>4.0248445684114405E-2</v>
      </c>
      <c r="AF26" s="884">
        <v>6.6194646918417144E-2</v>
      </c>
      <c r="AG26" s="884">
        <v>0.12021532312122017</v>
      </c>
      <c r="AH26" s="884">
        <v>5.2154967135292975E-2</v>
      </c>
      <c r="AI26" s="884">
        <v>1.3178805351752886E-2</v>
      </c>
      <c r="AJ26" s="884">
        <v>1.4108453121111133E-2</v>
      </c>
      <c r="AK26" s="884">
        <v>2.1205986611954164E-2</v>
      </c>
      <c r="AL26" s="884">
        <v>7.1491504124769718E-3</v>
      </c>
      <c r="AM26" s="884">
        <v>3.4589279795612465E-2</v>
      </c>
      <c r="AN26" s="884">
        <v>5.5365584468802055E-2</v>
      </c>
      <c r="AO26" s="884">
        <v>9.9766180708504015E-2</v>
      </c>
      <c r="AP26" s="884">
        <v>4.2243948847130071E-2</v>
      </c>
      <c r="AQ26" s="881"/>
      <c r="AR26" s="884">
        <v>5.0264170771721614E-2</v>
      </c>
      <c r="AS26" s="884">
        <v>0.10740653561796541</v>
      </c>
      <c r="AT26" s="884">
        <v>0.17556161249877927</v>
      </c>
      <c r="AU26" s="884">
        <v>8.7381578449222119E-2</v>
      </c>
      <c r="AV26" s="884">
        <v>3.8236023399908683E-2</v>
      </c>
      <c r="AW26" s="884">
        <v>6.2884914572496287E-2</v>
      </c>
      <c r="AX26" s="884">
        <v>0.11420455696515916</v>
      </c>
      <c r="AY26" s="884">
        <v>4.9547218778528322E-2</v>
      </c>
      <c r="AZ26" s="884">
        <v>1.2519865084165241E-2</v>
      </c>
      <c r="BA26" s="884">
        <v>1.3403030465055575E-2</v>
      </c>
      <c r="BB26" s="884">
        <v>2.0145687281356454E-2</v>
      </c>
      <c r="BC26" s="884">
        <v>6.7916928918531228E-3</v>
      </c>
      <c r="BD26" s="884">
        <v>3.2859815805831839E-2</v>
      </c>
      <c r="BE26" s="884">
        <v>5.259730524536195E-2</v>
      </c>
      <c r="BF26" s="884">
        <v>9.4777871673078815E-2</v>
      </c>
      <c r="BG26" s="884">
        <v>4.0131751404773562E-2</v>
      </c>
      <c r="BH26" s="875" t="s">
        <v>497</v>
      </c>
    </row>
    <row r="27" spans="2:60">
      <c r="E27" s="148" t="s">
        <v>806</v>
      </c>
      <c r="F27" s="891">
        <f>I78</f>
        <v>486.83249999999998</v>
      </c>
      <c r="H27">
        <v>817.05</v>
      </c>
      <c r="R27" s="131"/>
      <c r="S27" s="883" t="str">
        <f>"*H_"&amp;"*"&amp;RIGHT(V27,LEN(V27)-3)&amp;"_"&amp;SETUP!B64</f>
        <v>*H_*BIOSLU_X0</v>
      </c>
      <c r="T27" s="883" t="str">
        <f>COMM!E22&amp;"_"&amp;SETUP!C64</f>
        <v>Non-Renewable Waste to Residential_Existing 00</v>
      </c>
      <c r="U27" s="883" t="str">
        <f>RSD_Balance!A25</f>
        <v>BIOSLU</v>
      </c>
      <c r="V27" s="883" t="s">
        <v>695</v>
      </c>
      <c r="W27" s="883">
        <v>1</v>
      </c>
      <c r="X27" s="883"/>
      <c r="Y27" s="883"/>
      <c r="Z27" s="883"/>
      <c r="AA27" s="883">
        <v>5.2909653443917494E-2</v>
      </c>
      <c r="AB27" s="883">
        <v>0.1130595111768057</v>
      </c>
      <c r="AC27" s="883">
        <v>0.18480169736713609</v>
      </c>
      <c r="AD27" s="883">
        <v>9.1980608893918028E-2</v>
      </c>
      <c r="AE27" s="883">
        <v>4.0248445684114405E-2</v>
      </c>
      <c r="AF27" s="883">
        <v>6.6194646918417144E-2</v>
      </c>
      <c r="AG27" s="883">
        <v>0.12021532312122017</v>
      </c>
      <c r="AH27" s="883">
        <v>5.2154967135292975E-2</v>
      </c>
      <c r="AI27" s="883">
        <v>1.3178805351752886E-2</v>
      </c>
      <c r="AJ27" s="883">
        <v>1.4108453121111133E-2</v>
      </c>
      <c r="AK27" s="883">
        <v>2.1205986611954164E-2</v>
      </c>
      <c r="AL27" s="883">
        <v>7.1491504124769718E-3</v>
      </c>
      <c r="AM27" s="883">
        <v>3.4589279795612465E-2</v>
      </c>
      <c r="AN27" s="883">
        <v>5.5365584468802055E-2</v>
      </c>
      <c r="AO27" s="883">
        <v>9.9766180708504015E-2</v>
      </c>
      <c r="AP27" s="883">
        <v>4.2243948847130071E-2</v>
      </c>
      <c r="AQ27" s="881"/>
      <c r="AR27" s="883">
        <v>5.0264170771721614E-2</v>
      </c>
      <c r="AS27" s="883">
        <v>0.10740653561796541</v>
      </c>
      <c r="AT27" s="883">
        <v>0.17556161249877927</v>
      </c>
      <c r="AU27" s="883">
        <v>8.7381578449222119E-2</v>
      </c>
      <c r="AV27" s="883">
        <v>3.8236023399908683E-2</v>
      </c>
      <c r="AW27" s="883">
        <v>6.2884914572496287E-2</v>
      </c>
      <c r="AX27" s="883">
        <v>0.11420455696515916</v>
      </c>
      <c r="AY27" s="883">
        <v>4.9547218778528322E-2</v>
      </c>
      <c r="AZ27" s="883">
        <v>1.2519865084165241E-2</v>
      </c>
      <c r="BA27" s="883">
        <v>1.3403030465055575E-2</v>
      </c>
      <c r="BB27" s="883">
        <v>2.0145687281356454E-2</v>
      </c>
      <c r="BC27" s="883">
        <v>6.7916928918531228E-3</v>
      </c>
      <c r="BD27" s="883">
        <v>3.2859815805831839E-2</v>
      </c>
      <c r="BE27" s="883">
        <v>5.259730524536195E-2</v>
      </c>
      <c r="BF27" s="883">
        <v>9.4777871673078815E-2</v>
      </c>
      <c r="BG27" s="883">
        <v>4.0131751404773562E-2</v>
      </c>
      <c r="BH27" s="875" t="s">
        <v>497</v>
      </c>
    </row>
    <row r="28" spans="2:60">
      <c r="E28" s="148" t="s">
        <v>807</v>
      </c>
      <c r="F28" s="891">
        <f>I79</f>
        <v>655.88249999999994</v>
      </c>
      <c r="H28">
        <v>345.07500000000005</v>
      </c>
      <c r="R28" s="131"/>
      <c r="S28" s="884" t="str">
        <f>"*H_"&amp;"*"&amp;"SMF"&amp;"_"&amp;SETUP!B64</f>
        <v>*H_*SMF_X0</v>
      </c>
      <c r="T28" s="884" t="str">
        <f>COMM!E23&amp;"_"&amp;SETUP!C64</f>
        <v>Solid Multi-Fuel_Existing 00</v>
      </c>
      <c r="U28" s="884" t="s">
        <v>592</v>
      </c>
      <c r="V28" s="884" t="s">
        <v>677</v>
      </c>
      <c r="W28" s="884">
        <v>0.09</v>
      </c>
      <c r="X28" s="884"/>
      <c r="Y28" s="884"/>
      <c r="Z28" s="884"/>
      <c r="AA28" s="884">
        <v>5.2909653443917494E-2</v>
      </c>
      <c r="AB28" s="884">
        <v>0.1130595111768057</v>
      </c>
      <c r="AC28" s="884">
        <v>0.18480169736713609</v>
      </c>
      <c r="AD28" s="884">
        <v>9.1980608893918028E-2</v>
      </c>
      <c r="AE28" s="884">
        <v>4.0248445684114405E-2</v>
      </c>
      <c r="AF28" s="884">
        <v>6.6194646918417144E-2</v>
      </c>
      <c r="AG28" s="884">
        <v>0.12021532312122017</v>
      </c>
      <c r="AH28" s="884">
        <v>5.2154967135292975E-2</v>
      </c>
      <c r="AI28" s="884">
        <v>1.3178805351752886E-2</v>
      </c>
      <c r="AJ28" s="884">
        <v>1.4108453121111133E-2</v>
      </c>
      <c r="AK28" s="884">
        <v>2.1205986611954164E-2</v>
      </c>
      <c r="AL28" s="884">
        <v>7.1491504124769718E-3</v>
      </c>
      <c r="AM28" s="884">
        <v>3.4589279795612465E-2</v>
      </c>
      <c r="AN28" s="884">
        <v>5.5365584468802055E-2</v>
      </c>
      <c r="AO28" s="884">
        <v>9.9766180708504015E-2</v>
      </c>
      <c r="AP28" s="884">
        <v>4.2243948847130071E-2</v>
      </c>
      <c r="AQ28" s="881"/>
      <c r="AR28" s="884">
        <v>5.0264170771721614E-2</v>
      </c>
      <c r="AS28" s="884">
        <v>0.10740653561796541</v>
      </c>
      <c r="AT28" s="884">
        <v>0.17556161249877927</v>
      </c>
      <c r="AU28" s="884">
        <v>8.7381578449222119E-2</v>
      </c>
      <c r="AV28" s="884">
        <v>3.8236023399908683E-2</v>
      </c>
      <c r="AW28" s="884">
        <v>6.2884914572496287E-2</v>
      </c>
      <c r="AX28" s="884">
        <v>0.11420455696515916</v>
      </c>
      <c r="AY28" s="884">
        <v>4.9547218778528322E-2</v>
      </c>
      <c r="AZ28" s="884">
        <v>1.2519865084165241E-2</v>
      </c>
      <c r="BA28" s="884">
        <v>1.3403030465055575E-2</v>
      </c>
      <c r="BB28" s="884">
        <v>2.0145687281356454E-2</v>
      </c>
      <c r="BC28" s="884">
        <v>6.7916928918531228E-3</v>
      </c>
      <c r="BD28" s="884">
        <v>3.2859815805831839E-2</v>
      </c>
      <c r="BE28" s="884">
        <v>5.259730524536195E-2</v>
      </c>
      <c r="BF28" s="884">
        <v>9.4777871673078815E-2</v>
      </c>
      <c r="BG28" s="884">
        <v>4.0131751404773562E-2</v>
      </c>
      <c r="BH28" s="875" t="s">
        <v>497</v>
      </c>
    </row>
    <row r="29" spans="2:60">
      <c r="E29" s="148" t="s">
        <v>808</v>
      </c>
      <c r="F29" s="891">
        <f>I80</f>
        <v>456.48</v>
      </c>
      <c r="H29">
        <v>723.67499999999995</v>
      </c>
      <c r="R29" s="131"/>
      <c r="S29" s="883" t="str">
        <f>"*H_"&amp;"*"&amp;"SMF"&amp;"_"&amp;SETUP!B64</f>
        <v>*H_*SMF_X0</v>
      </c>
      <c r="T29" s="883" t="str">
        <f>COMM!E23&amp;"_"&amp;SETUP!C64</f>
        <v>Solid Multi-Fuel_Existing 00</v>
      </c>
      <c r="U29" s="883"/>
      <c r="V29" s="883" t="s">
        <v>678</v>
      </c>
      <c r="W29" s="883">
        <v>0.04</v>
      </c>
      <c r="X29" s="883"/>
      <c r="Y29" s="883"/>
      <c r="Z29" s="883"/>
      <c r="AA29" s="883">
        <v>5.2909653443917494E-2</v>
      </c>
      <c r="AB29" s="883">
        <v>0.1130595111768057</v>
      </c>
      <c r="AC29" s="883">
        <v>0.18480169736713609</v>
      </c>
      <c r="AD29" s="883">
        <v>9.1980608893918028E-2</v>
      </c>
      <c r="AE29" s="883">
        <v>4.0248445684114405E-2</v>
      </c>
      <c r="AF29" s="883">
        <v>6.6194646918417144E-2</v>
      </c>
      <c r="AG29" s="883">
        <v>0.12021532312122017</v>
      </c>
      <c r="AH29" s="883">
        <v>5.2154967135292975E-2</v>
      </c>
      <c r="AI29" s="883">
        <v>1.3178805351752886E-2</v>
      </c>
      <c r="AJ29" s="883">
        <v>1.4108453121111133E-2</v>
      </c>
      <c r="AK29" s="883">
        <v>2.1205986611954164E-2</v>
      </c>
      <c r="AL29" s="883">
        <v>7.1491504124769718E-3</v>
      </c>
      <c r="AM29" s="883">
        <v>3.4589279795612465E-2</v>
      </c>
      <c r="AN29" s="883">
        <v>5.5365584468802055E-2</v>
      </c>
      <c r="AO29" s="883">
        <v>9.9766180708504015E-2</v>
      </c>
      <c r="AP29" s="883">
        <v>4.2243948847130071E-2</v>
      </c>
      <c r="AQ29" s="881"/>
      <c r="AR29" s="883">
        <v>5.0264170771721614E-2</v>
      </c>
      <c r="AS29" s="883">
        <v>0.10740653561796541</v>
      </c>
      <c r="AT29" s="883">
        <v>0.17556161249877927</v>
      </c>
      <c r="AU29" s="883">
        <v>8.7381578449222119E-2</v>
      </c>
      <c r="AV29" s="883">
        <v>3.8236023399908683E-2</v>
      </c>
      <c r="AW29" s="883">
        <v>6.2884914572496287E-2</v>
      </c>
      <c r="AX29" s="883">
        <v>0.11420455696515916</v>
      </c>
      <c r="AY29" s="883">
        <v>4.9547218778528322E-2</v>
      </c>
      <c r="AZ29" s="883">
        <v>1.2519865084165241E-2</v>
      </c>
      <c r="BA29" s="883">
        <v>1.3403030465055575E-2</v>
      </c>
      <c r="BB29" s="883">
        <v>2.0145687281356454E-2</v>
      </c>
      <c r="BC29" s="883">
        <v>6.7916928918531228E-3</v>
      </c>
      <c r="BD29" s="883">
        <v>3.2859815805831839E-2</v>
      </c>
      <c r="BE29" s="883">
        <v>5.259730524536195E-2</v>
      </c>
      <c r="BF29" s="883">
        <v>9.4777871673078815E-2</v>
      </c>
      <c r="BG29" s="883">
        <v>4.0131751404773562E-2</v>
      </c>
      <c r="BH29" s="875" t="s">
        <v>497</v>
      </c>
    </row>
    <row r="30" spans="2:60">
      <c r="E30" s="148" t="s">
        <v>823</v>
      </c>
      <c r="F30" s="891">
        <f>SUM(F26:F29)</f>
        <v>2474.3175000000001</v>
      </c>
      <c r="R30" s="131"/>
      <c r="S30" s="884" t="str">
        <f>"*H_"&amp;"*"&amp;"SMF"&amp;"_"&amp;SETUP!B64</f>
        <v>*H_*SMF_X0</v>
      </c>
      <c r="T30" s="884" t="str">
        <f>COMM!E23&amp;"_"&amp;SETUP!C64</f>
        <v>Solid Multi-Fuel_Existing 00</v>
      </c>
      <c r="U30" s="884"/>
      <c r="V30" s="884" t="s">
        <v>680</v>
      </c>
      <c r="W30" s="884">
        <v>0.02</v>
      </c>
      <c r="X30" s="884"/>
      <c r="Y30" s="884"/>
      <c r="Z30" s="884"/>
      <c r="AA30" s="884">
        <v>5.2909653443917494E-2</v>
      </c>
      <c r="AB30" s="884">
        <v>0.1130595111768057</v>
      </c>
      <c r="AC30" s="884">
        <v>0.18480169736713609</v>
      </c>
      <c r="AD30" s="884">
        <v>9.1980608893918028E-2</v>
      </c>
      <c r="AE30" s="884">
        <v>4.0248445684114405E-2</v>
      </c>
      <c r="AF30" s="884">
        <v>6.6194646918417144E-2</v>
      </c>
      <c r="AG30" s="884">
        <v>0.12021532312122017</v>
      </c>
      <c r="AH30" s="884">
        <v>5.2154967135292975E-2</v>
      </c>
      <c r="AI30" s="884">
        <v>1.3178805351752886E-2</v>
      </c>
      <c r="AJ30" s="884">
        <v>1.4108453121111133E-2</v>
      </c>
      <c r="AK30" s="884">
        <v>2.1205986611954164E-2</v>
      </c>
      <c r="AL30" s="884">
        <v>7.1491504124769718E-3</v>
      </c>
      <c r="AM30" s="884">
        <v>3.4589279795612465E-2</v>
      </c>
      <c r="AN30" s="884">
        <v>5.5365584468802055E-2</v>
      </c>
      <c r="AO30" s="884">
        <v>9.9766180708504015E-2</v>
      </c>
      <c r="AP30" s="884">
        <v>4.2243948847130071E-2</v>
      </c>
      <c r="AQ30" s="881"/>
      <c r="AR30" s="884">
        <v>5.0264170771721614E-2</v>
      </c>
      <c r="AS30" s="884">
        <v>0.10740653561796541</v>
      </c>
      <c r="AT30" s="884">
        <v>0.17556161249877927</v>
      </c>
      <c r="AU30" s="884">
        <v>8.7381578449222119E-2</v>
      </c>
      <c r="AV30" s="884">
        <v>3.8236023399908683E-2</v>
      </c>
      <c r="AW30" s="884">
        <v>6.2884914572496287E-2</v>
      </c>
      <c r="AX30" s="884">
        <v>0.11420455696515916</v>
      </c>
      <c r="AY30" s="884">
        <v>4.9547218778528322E-2</v>
      </c>
      <c r="AZ30" s="884">
        <v>1.2519865084165241E-2</v>
      </c>
      <c r="BA30" s="884">
        <v>1.3403030465055575E-2</v>
      </c>
      <c r="BB30" s="884">
        <v>2.0145687281356454E-2</v>
      </c>
      <c r="BC30" s="884">
        <v>6.7916928918531228E-3</v>
      </c>
      <c r="BD30" s="884">
        <v>3.2859815805831839E-2</v>
      </c>
      <c r="BE30" s="884">
        <v>5.259730524536195E-2</v>
      </c>
      <c r="BF30" s="884">
        <v>9.4777871673078815E-2</v>
      </c>
      <c r="BG30" s="884">
        <v>4.0131751404773562E-2</v>
      </c>
      <c r="BH30" s="875" t="s">
        <v>497</v>
      </c>
    </row>
    <row r="31" spans="2:60" ht="15">
      <c r="C31" s="73" t="s">
        <v>822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883" t="str">
        <f>"*H_"&amp;"*"&amp;"SMF"&amp;"_"&amp;SETUP!B64</f>
        <v>*H_*SMF_X0</v>
      </c>
      <c r="T31" s="883" t="str">
        <f>COMM!E23&amp;"_"&amp;SETUP!C64</f>
        <v>Solid Multi-Fuel_Existing 00</v>
      </c>
      <c r="U31" s="883"/>
      <c r="V31" s="883" t="s">
        <v>499</v>
      </c>
      <c r="W31" s="883">
        <v>0.75</v>
      </c>
      <c r="X31" s="883"/>
      <c r="Y31" s="883"/>
      <c r="Z31" s="883"/>
      <c r="AA31" s="883">
        <v>5.2909653443917494E-2</v>
      </c>
      <c r="AB31" s="883">
        <v>0.1130595111768057</v>
      </c>
      <c r="AC31" s="883">
        <v>0.18480169736713609</v>
      </c>
      <c r="AD31" s="883">
        <v>9.1980608893918028E-2</v>
      </c>
      <c r="AE31" s="883">
        <v>4.0248445684114405E-2</v>
      </c>
      <c r="AF31" s="883">
        <v>6.6194646918417144E-2</v>
      </c>
      <c r="AG31" s="883">
        <v>0.12021532312122017</v>
      </c>
      <c r="AH31" s="883">
        <v>5.2154967135292975E-2</v>
      </c>
      <c r="AI31" s="883">
        <v>1.3178805351752886E-2</v>
      </c>
      <c r="AJ31" s="883">
        <v>1.4108453121111133E-2</v>
      </c>
      <c r="AK31" s="883">
        <v>2.1205986611954164E-2</v>
      </c>
      <c r="AL31" s="883">
        <v>7.1491504124769718E-3</v>
      </c>
      <c r="AM31" s="883">
        <v>3.4589279795612465E-2</v>
      </c>
      <c r="AN31" s="883">
        <v>5.5365584468802055E-2</v>
      </c>
      <c r="AO31" s="883">
        <v>9.9766180708504015E-2</v>
      </c>
      <c r="AP31" s="883">
        <v>4.2243948847130071E-2</v>
      </c>
      <c r="AQ31" s="881"/>
      <c r="AR31" s="883">
        <v>5.0264170771721614E-2</v>
      </c>
      <c r="AS31" s="883">
        <v>0.10740653561796541</v>
      </c>
      <c r="AT31" s="883">
        <v>0.17556161249877927</v>
      </c>
      <c r="AU31" s="883">
        <v>8.7381578449222119E-2</v>
      </c>
      <c r="AV31" s="883">
        <v>3.8236023399908683E-2</v>
      </c>
      <c r="AW31" s="883">
        <v>6.2884914572496287E-2</v>
      </c>
      <c r="AX31" s="883">
        <v>0.11420455696515916</v>
      </c>
      <c r="AY31" s="883">
        <v>4.9547218778528322E-2</v>
      </c>
      <c r="AZ31" s="883">
        <v>1.2519865084165241E-2</v>
      </c>
      <c r="BA31" s="883">
        <v>1.3403030465055575E-2</v>
      </c>
      <c r="BB31" s="883">
        <v>2.0145687281356454E-2</v>
      </c>
      <c r="BC31" s="883">
        <v>6.7916928918531228E-3</v>
      </c>
      <c r="BD31" s="883">
        <v>3.2859815805831839E-2</v>
      </c>
      <c r="BE31" s="883">
        <v>5.259730524536195E-2</v>
      </c>
      <c r="BF31" s="883">
        <v>9.4777871673078815E-2</v>
      </c>
      <c r="BG31" s="883">
        <v>4.0131751404773562E-2</v>
      </c>
      <c r="BH31" s="875" t="s">
        <v>497</v>
      </c>
    </row>
    <row r="32" spans="2:60">
      <c r="D32" s="323" t="s">
        <v>809</v>
      </c>
      <c r="H32" t="s">
        <v>824</v>
      </c>
      <c r="R32" s="131"/>
      <c r="S32" s="884" t="str">
        <f>"*H_"&amp;"*"&amp;"SMF"&amp;"_"&amp;SETUP!B64</f>
        <v>*H_*SMF_X0</v>
      </c>
      <c r="T32" s="884" t="str">
        <f>COMM!E23&amp;"_"&amp;SETUP!C64</f>
        <v>Solid Multi-Fuel_Existing 00</v>
      </c>
      <c r="U32" s="884"/>
      <c r="V32" s="884" t="s">
        <v>689</v>
      </c>
      <c r="W32" s="884">
        <v>0.1</v>
      </c>
      <c r="X32" s="884"/>
      <c r="Y32" s="884"/>
      <c r="Z32" s="884"/>
      <c r="AA32" s="884">
        <v>5.2909653443917494E-2</v>
      </c>
      <c r="AB32" s="884">
        <v>0.1130595111768057</v>
      </c>
      <c r="AC32" s="884">
        <v>0.18480169736713609</v>
      </c>
      <c r="AD32" s="884">
        <v>9.1980608893918028E-2</v>
      </c>
      <c r="AE32" s="884">
        <v>4.0248445684114405E-2</v>
      </c>
      <c r="AF32" s="884">
        <v>6.6194646918417144E-2</v>
      </c>
      <c r="AG32" s="884">
        <v>0.12021532312122017</v>
      </c>
      <c r="AH32" s="884">
        <v>5.2154967135292975E-2</v>
      </c>
      <c r="AI32" s="884">
        <v>1.3178805351752886E-2</v>
      </c>
      <c r="AJ32" s="884">
        <v>1.4108453121111133E-2</v>
      </c>
      <c r="AK32" s="884">
        <v>2.1205986611954164E-2</v>
      </c>
      <c r="AL32" s="884">
        <v>7.1491504124769718E-3</v>
      </c>
      <c r="AM32" s="884">
        <v>3.4589279795612465E-2</v>
      </c>
      <c r="AN32" s="884">
        <v>5.5365584468802055E-2</v>
      </c>
      <c r="AO32" s="884">
        <v>9.9766180708504015E-2</v>
      </c>
      <c r="AP32" s="884">
        <v>4.2243948847130071E-2</v>
      </c>
      <c r="AQ32" s="881"/>
      <c r="AR32" s="884">
        <v>5.0264170771721614E-2</v>
      </c>
      <c r="AS32" s="884">
        <v>0.10740653561796541</v>
      </c>
      <c r="AT32" s="884">
        <v>0.17556161249877927</v>
      </c>
      <c r="AU32" s="884">
        <v>8.7381578449222119E-2</v>
      </c>
      <c r="AV32" s="884">
        <v>3.8236023399908683E-2</v>
      </c>
      <c r="AW32" s="884">
        <v>6.2884914572496287E-2</v>
      </c>
      <c r="AX32" s="884">
        <v>0.11420455696515916</v>
      </c>
      <c r="AY32" s="884">
        <v>4.9547218778528322E-2</v>
      </c>
      <c r="AZ32" s="884">
        <v>1.2519865084165241E-2</v>
      </c>
      <c r="BA32" s="884">
        <v>1.3403030465055575E-2</v>
      </c>
      <c r="BB32" s="884">
        <v>2.0145687281356454E-2</v>
      </c>
      <c r="BC32" s="884">
        <v>6.7916928918531228E-3</v>
      </c>
      <c r="BD32" s="884">
        <v>3.2859815805831839E-2</v>
      </c>
      <c r="BE32" s="884">
        <v>5.259730524536195E-2</v>
      </c>
      <c r="BF32" s="884">
        <v>9.4777871673078815E-2</v>
      </c>
      <c r="BG32" s="884">
        <v>4.0131751404773562E-2</v>
      </c>
      <c r="BH32" s="875" t="s">
        <v>497</v>
      </c>
    </row>
    <row r="33" spans="2:60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883" t="str">
        <f>"*H_"&amp;"*"&amp;RIGHT(V33,LEN(V33)-3)&amp;"_"&amp;SETUP!B64</f>
        <v>*H_*ELC_X0</v>
      </c>
      <c r="T33" s="883" t="str">
        <f>COMM!E24&amp;"_"&amp;SETUP!C64</f>
        <v>Electricity to Residential_Existing 00</v>
      </c>
      <c r="U33" s="883" t="str">
        <f>RSD_Balance!A26</f>
        <v>ELC</v>
      </c>
      <c r="V33" s="883" t="s">
        <v>498</v>
      </c>
      <c r="W33" s="883">
        <v>1</v>
      </c>
      <c r="X33" s="883"/>
      <c r="Y33" s="883"/>
      <c r="Z33" s="883"/>
      <c r="AA33" s="883">
        <v>5.2909653443917494E-2</v>
      </c>
      <c r="AB33" s="883">
        <v>0.1130595111768057</v>
      </c>
      <c r="AC33" s="883">
        <v>0.18480169736713609</v>
      </c>
      <c r="AD33" s="883">
        <v>9.1980608893918028E-2</v>
      </c>
      <c r="AE33" s="883">
        <v>4.0248445684114405E-2</v>
      </c>
      <c r="AF33" s="883">
        <v>6.6194646918417144E-2</v>
      </c>
      <c r="AG33" s="883">
        <v>0.12021532312122017</v>
      </c>
      <c r="AH33" s="883">
        <v>5.2154967135292975E-2</v>
      </c>
      <c r="AI33" s="883">
        <v>1.3178805351752886E-2</v>
      </c>
      <c r="AJ33" s="883">
        <v>1.4108453121111133E-2</v>
      </c>
      <c r="AK33" s="883">
        <v>2.1205986611954164E-2</v>
      </c>
      <c r="AL33" s="883">
        <v>7.1491504124769718E-3</v>
      </c>
      <c r="AM33" s="883">
        <v>3.4589279795612465E-2</v>
      </c>
      <c r="AN33" s="883">
        <v>5.5365584468802055E-2</v>
      </c>
      <c r="AO33" s="883">
        <v>9.9766180708504015E-2</v>
      </c>
      <c r="AP33" s="883">
        <v>4.2243948847130071E-2</v>
      </c>
      <c r="AQ33" s="881"/>
      <c r="AR33" s="883">
        <v>5.0264170771721614E-2</v>
      </c>
      <c r="AS33" s="883">
        <v>0.10740653561796541</v>
      </c>
      <c r="AT33" s="883">
        <v>0.17556161249877927</v>
      </c>
      <c r="AU33" s="883">
        <v>8.7381578449222119E-2</v>
      </c>
      <c r="AV33" s="883">
        <v>3.8236023399908683E-2</v>
      </c>
      <c r="AW33" s="883">
        <v>6.2884914572496287E-2</v>
      </c>
      <c r="AX33" s="883">
        <v>0.11420455696515916</v>
      </c>
      <c r="AY33" s="883">
        <v>4.9547218778528322E-2</v>
      </c>
      <c r="AZ33" s="883">
        <v>1.2519865084165241E-2</v>
      </c>
      <c r="BA33" s="883">
        <v>1.3403030465055575E-2</v>
      </c>
      <c r="BB33" s="883">
        <v>2.0145687281356454E-2</v>
      </c>
      <c r="BC33" s="883">
        <v>6.7916928918531228E-3</v>
      </c>
      <c r="BD33" s="883">
        <v>3.2859815805831839E-2</v>
      </c>
      <c r="BE33" s="883">
        <v>5.259730524536195E-2</v>
      </c>
      <c r="BF33" s="883">
        <v>9.4777871673078815E-2</v>
      </c>
      <c r="BG33" s="883">
        <v>4.0131751404773562E-2</v>
      </c>
      <c r="BH33" s="875" t="s">
        <v>497</v>
      </c>
    </row>
    <row r="34" spans="2:60" ht="13.5" thickBot="1">
      <c r="C34" s="889" t="s">
        <v>810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884" t="str">
        <f>"*H_"&amp;"*"&amp;RIGHT(V34,LEN(V34)-3)&amp;"_"&amp;SETUP!B64</f>
        <v>*H_*HET_X0</v>
      </c>
      <c r="T34" s="884" t="str">
        <f>COMM!E25&amp;"_"&amp;SETUP!C64</f>
        <v>Heat to Residential_Existing 00</v>
      </c>
      <c r="U34" s="884" t="str">
        <f>RSD_Balance!A27</f>
        <v>HET</v>
      </c>
      <c r="V34" s="884" t="s">
        <v>495</v>
      </c>
      <c r="W34" s="884">
        <v>1</v>
      </c>
      <c r="X34" s="884"/>
      <c r="Y34" s="884"/>
      <c r="Z34" s="884"/>
      <c r="AA34" s="884">
        <v>5.2909653443917494E-2</v>
      </c>
      <c r="AB34" s="884">
        <v>0.1130595111768057</v>
      </c>
      <c r="AC34" s="884">
        <v>0.18480169736713609</v>
      </c>
      <c r="AD34" s="884">
        <v>9.1980608893918028E-2</v>
      </c>
      <c r="AE34" s="884">
        <v>4.0248445684114405E-2</v>
      </c>
      <c r="AF34" s="884">
        <v>6.6194646918417144E-2</v>
      </c>
      <c r="AG34" s="884">
        <v>0.12021532312122017</v>
      </c>
      <c r="AH34" s="884">
        <v>5.2154967135292975E-2</v>
      </c>
      <c r="AI34" s="884">
        <v>1.3178805351752886E-2</v>
      </c>
      <c r="AJ34" s="884">
        <v>1.4108453121111133E-2</v>
      </c>
      <c r="AK34" s="884">
        <v>2.1205986611954164E-2</v>
      </c>
      <c r="AL34" s="884">
        <v>7.1491504124769718E-3</v>
      </c>
      <c r="AM34" s="884">
        <v>3.4589279795612465E-2</v>
      </c>
      <c r="AN34" s="884">
        <v>5.5365584468802055E-2</v>
      </c>
      <c r="AO34" s="884">
        <v>9.9766180708504015E-2</v>
      </c>
      <c r="AP34" s="884">
        <v>4.2243948847130071E-2</v>
      </c>
      <c r="AQ34" s="882"/>
      <c r="AR34" s="884">
        <v>5.0264170771721614E-2</v>
      </c>
      <c r="AS34" s="884">
        <v>0.10740653561796541</v>
      </c>
      <c r="AT34" s="884">
        <v>0.17556161249877927</v>
      </c>
      <c r="AU34" s="884">
        <v>8.7381578449222119E-2</v>
      </c>
      <c r="AV34" s="884">
        <v>3.8236023399908683E-2</v>
      </c>
      <c r="AW34" s="884">
        <v>6.2884914572496287E-2</v>
      </c>
      <c r="AX34" s="884">
        <v>0.11420455696515916</v>
      </c>
      <c r="AY34" s="884">
        <v>4.9547218778528322E-2</v>
      </c>
      <c r="AZ34" s="884">
        <v>1.2519865084165241E-2</v>
      </c>
      <c r="BA34" s="884">
        <v>1.3403030465055575E-2</v>
      </c>
      <c r="BB34" s="884">
        <v>2.0145687281356454E-2</v>
      </c>
      <c r="BC34" s="884">
        <v>6.7916928918531228E-3</v>
      </c>
      <c r="BD34" s="884">
        <v>3.2859815805831839E-2</v>
      </c>
      <c r="BE34" s="884">
        <v>5.259730524536195E-2</v>
      </c>
      <c r="BF34" s="884">
        <v>9.4777871673078815E-2</v>
      </c>
      <c r="BG34" s="884">
        <v>4.0131751404773562E-2</v>
      </c>
      <c r="BH34" s="875" t="s">
        <v>497</v>
      </c>
    </row>
    <row r="35" spans="2:60">
      <c r="C35" s="889" t="s">
        <v>811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</row>
    <row r="36" spans="2:60">
      <c r="C36" s="889" t="s">
        <v>812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</row>
    <row r="37" spans="2:60">
      <c r="C37" s="889" t="s">
        <v>813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866" t="s">
        <v>758</v>
      </c>
      <c r="T37" s="867" t="s">
        <v>759</v>
      </c>
      <c r="U37" s="867" t="s">
        <v>760</v>
      </c>
      <c r="V37" s="867" t="s">
        <v>761</v>
      </c>
      <c r="W37" s="868" t="s">
        <v>762</v>
      </c>
    </row>
    <row r="38" spans="2:60">
      <c r="C38" s="889" t="s">
        <v>814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869" t="s">
        <v>763</v>
      </c>
      <c r="T38" s="870" t="s">
        <v>67</v>
      </c>
      <c r="U38" s="870">
        <v>700</v>
      </c>
      <c r="V38" s="870">
        <v>1700</v>
      </c>
      <c r="W38" s="871">
        <v>10</v>
      </c>
    </row>
    <row r="39" spans="2:60">
      <c r="C39" s="889" t="s">
        <v>815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869" t="s">
        <v>764</v>
      </c>
      <c r="T39" s="870" t="s">
        <v>765</v>
      </c>
      <c r="U39" s="870">
        <v>1700</v>
      </c>
      <c r="V39" s="870">
        <v>2000</v>
      </c>
      <c r="W39" s="871">
        <v>3</v>
      </c>
    </row>
    <row r="40" spans="2:60">
      <c r="C40" s="889" t="s">
        <v>816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869" t="s">
        <v>766</v>
      </c>
      <c r="T40" s="870" t="s">
        <v>69</v>
      </c>
      <c r="U40" s="870">
        <v>2000</v>
      </c>
      <c r="V40" s="870">
        <v>0</v>
      </c>
      <c r="W40" s="871">
        <v>4</v>
      </c>
    </row>
    <row r="41" spans="2:60">
      <c r="C41" s="889" t="s">
        <v>817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872" t="s">
        <v>767</v>
      </c>
      <c r="T41" s="873" t="s">
        <v>768</v>
      </c>
      <c r="U41" s="873">
        <v>0</v>
      </c>
      <c r="V41" s="873">
        <v>700</v>
      </c>
      <c r="W41" s="874">
        <v>7</v>
      </c>
    </row>
    <row r="42" spans="2:60">
      <c r="C42" s="889" t="s">
        <v>818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</row>
    <row r="43" spans="2:60">
      <c r="C43" s="889" t="s">
        <v>819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</row>
    <row r="44" spans="2:60">
      <c r="C44" s="889" t="s">
        <v>820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0">
      <c r="C45" s="889" t="s">
        <v>821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0">
      <c r="B46">
        <v>2012</v>
      </c>
      <c r="C46" s="148" t="s">
        <v>805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0">
      <c r="B47" s="890">
        <v>335.17</v>
      </c>
      <c r="C47" s="148" t="s">
        <v>806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0">
      <c r="B48" s="890">
        <v>303.10000000000002</v>
      </c>
      <c r="C48" s="148" t="s">
        <v>807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808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825</v>
      </c>
      <c r="E57" s="148" t="s">
        <v>826</v>
      </c>
    </row>
    <row r="58" spans="2:17">
      <c r="B58" s="890">
        <v>371.05</v>
      </c>
      <c r="C58" s="148" t="s">
        <v>805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806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807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808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8" ht="15">
      <c r="R134" s="893"/>
    </row>
    <row r="135" spans="18:18" ht="15">
      <c r="R135" s="893"/>
    </row>
    <row r="136" spans="18:18" ht="15">
      <c r="R136" s="893"/>
    </row>
    <row r="137" spans="18:18" ht="15">
      <c r="R137" s="893"/>
    </row>
  </sheetData>
  <mergeCells count="1">
    <mergeCell ref="C12:I12"/>
  </mergeCells>
  <phoneticPr fontId="15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V111"/>
  <sheetViews>
    <sheetView tabSelected="1" topLeftCell="F1" workbookViewId="0">
      <selection activeCell="E6" sqref="E6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5.7109375" customWidth="1"/>
    <col min="7" max="7" width="14.42578125" customWidth="1"/>
    <col min="9" max="9" width="10.42578125" customWidth="1"/>
    <col min="10" max="11" width="9.140625" customWidth="1"/>
    <col min="12" max="12" width="23.140625" bestFit="1" customWidth="1"/>
    <col min="13" max="13" width="22.85546875" bestFit="1" customWidth="1"/>
    <col min="17" max="17" width="11.5703125" bestFit="1" customWidth="1"/>
    <col min="18" max="18" width="30.7109375" bestFit="1" customWidth="1"/>
    <col min="22" max="22" width="10.42578125" bestFit="1" customWidth="1"/>
  </cols>
  <sheetData>
    <row r="1" spans="2:22" s="652" customFormat="1"/>
    <row r="2" spans="2:22" ht="21">
      <c r="C2" s="120" t="s">
        <v>1259</v>
      </c>
      <c r="D2" s="120"/>
      <c r="E2" s="120"/>
      <c r="F2" s="124" t="s">
        <v>296</v>
      </c>
      <c r="G2" s="85"/>
      <c r="H2" s="85"/>
      <c r="I2" s="85"/>
      <c r="J2" s="85"/>
      <c r="K2" s="85"/>
      <c r="L2" s="85"/>
      <c r="M2" s="90"/>
      <c r="N2" s="90"/>
      <c r="O2" s="90"/>
      <c r="P2" s="68" t="s">
        <v>297</v>
      </c>
      <c r="Q2" s="68"/>
      <c r="R2" s="652"/>
      <c r="S2" s="701"/>
      <c r="T2" s="701"/>
      <c r="U2" s="701"/>
      <c r="V2" s="701"/>
    </row>
    <row r="3" spans="2:22" ht="15">
      <c r="B3" s="73" t="s">
        <v>1301</v>
      </c>
      <c r="C3" s="73" t="s">
        <v>298</v>
      </c>
      <c r="D3" s="73" t="s">
        <v>313</v>
      </c>
      <c r="E3" s="73" t="s">
        <v>300</v>
      </c>
      <c r="F3" s="73" t="s">
        <v>301</v>
      </c>
      <c r="G3" s="86" t="s">
        <v>314</v>
      </c>
      <c r="H3" s="73" t="s">
        <v>302</v>
      </c>
      <c r="I3" s="73" t="s">
        <v>1242</v>
      </c>
      <c r="J3" s="86" t="s">
        <v>304</v>
      </c>
      <c r="K3" s="86" t="s">
        <v>316</v>
      </c>
      <c r="L3" s="86" t="s">
        <v>1241</v>
      </c>
      <c r="M3" s="91" t="s">
        <v>1240</v>
      </c>
      <c r="N3" s="893"/>
      <c r="O3" s="893"/>
      <c r="P3" s="73" t="s">
        <v>305</v>
      </c>
      <c r="Q3" s="73" t="s">
        <v>298</v>
      </c>
      <c r="R3" s="73" t="s">
        <v>299</v>
      </c>
      <c r="S3" s="73" t="s">
        <v>306</v>
      </c>
      <c r="T3" s="73" t="s">
        <v>307</v>
      </c>
      <c r="U3" s="73" t="s">
        <v>308</v>
      </c>
      <c r="V3" s="73" t="s">
        <v>309</v>
      </c>
    </row>
    <row r="4" spans="2:22" ht="26.25" thickBot="1">
      <c r="B4" s="74" t="s">
        <v>1302</v>
      </c>
      <c r="C4" s="74" t="s">
        <v>317</v>
      </c>
      <c r="D4" s="74" t="s">
        <v>318</v>
      </c>
      <c r="E4" s="74" t="s">
        <v>319</v>
      </c>
      <c r="F4" s="74" t="s">
        <v>320</v>
      </c>
      <c r="G4" s="89" t="s">
        <v>321</v>
      </c>
      <c r="H4" s="74" t="s">
        <v>477</v>
      </c>
      <c r="I4" s="74"/>
      <c r="J4" s="87"/>
      <c r="K4" s="87"/>
      <c r="L4" s="87" t="s">
        <v>19</v>
      </c>
      <c r="M4" s="630" t="s">
        <v>19</v>
      </c>
      <c r="N4" s="893"/>
      <c r="O4" s="893"/>
      <c r="P4" s="75" t="s">
        <v>295</v>
      </c>
      <c r="Q4" s="75"/>
      <c r="R4" s="74"/>
      <c r="S4" s="75"/>
      <c r="T4" s="75"/>
      <c r="U4" s="75"/>
      <c r="V4" s="75"/>
    </row>
    <row r="5" spans="2:22" ht="15">
      <c r="B5" s="746" t="str">
        <f>_xlfn.TEXTJOIN(",",TRUE,IF(LEFT(Regions!$C$3,1)&lt;&gt;"*",Regions!$C$3,""),IF(LEFT(Regions!$D$3,1)&lt;&gt;"*",Regions!$D$3,""))</f>
        <v>IE,National</v>
      </c>
      <c r="C5" s="746" t="str">
        <f>COMM!D32&amp;"_"&amp;SETUP!$B$64</f>
        <v>RSDRRF_X0</v>
      </c>
      <c r="D5" s="746" t="str">
        <f>COMM!E32</f>
        <v>Residential Refrigeration</v>
      </c>
      <c r="E5" s="920" t="str">
        <f>COMM!$D$24</f>
        <v>RSDELC</v>
      </c>
      <c r="F5" s="920" t="str">
        <f>COMM!D32</f>
        <v>RSDRRF</v>
      </c>
      <c r="G5" s="920">
        <f>DwellingStocks!$L$38/1000*RSD_Balance!U38</f>
        <v>1697.5803349999996</v>
      </c>
      <c r="H5" s="1005">
        <v>0.37037039770119351</v>
      </c>
      <c r="I5" s="1005">
        <v>4.9586069743111178E-3</v>
      </c>
      <c r="J5" s="1005">
        <v>10</v>
      </c>
      <c r="K5" s="1005">
        <v>1</v>
      </c>
      <c r="L5" s="1006">
        <v>1.0254343934407628</v>
      </c>
      <c r="M5" s="1005">
        <v>0.37979054411513746</v>
      </c>
      <c r="N5" s="893"/>
      <c r="O5" s="893"/>
      <c r="P5" s="746" t="s">
        <v>322</v>
      </c>
      <c r="Q5" s="746" t="str">
        <f>C5</f>
        <v>RSDRRF_X0</v>
      </c>
      <c r="R5" s="746" t="str">
        <f>D5</f>
        <v>Residential Refrigeration</v>
      </c>
      <c r="S5" s="746" t="s">
        <v>19</v>
      </c>
      <c r="T5" s="746" t="s">
        <v>1303</v>
      </c>
      <c r="U5" s="746"/>
      <c r="V5" s="746"/>
    </row>
    <row r="6" spans="2:22" ht="15">
      <c r="B6" s="652" t="str">
        <f>_xlfn.TEXTJOIN(",",TRUE,IF(LEFT(Regions!$C$3,1)&lt;&gt;"*",Regions!$C$3,""),IF(LEFT(Regions!$D$3,1)&lt;&gt;"*",Regions!$D$3,""))</f>
        <v>IE,National</v>
      </c>
      <c r="C6" s="652" t="str">
        <f>COMM!D33&amp;"_"&amp;SETUP!$B$64</f>
        <v>RSDRCK_X0</v>
      </c>
      <c r="D6" s="652" t="str">
        <f>COMM!E33</f>
        <v>Residential Cooking</v>
      </c>
      <c r="E6" s="148" t="str">
        <f>COMM!D24&amp;","&amp;COMM!D14&amp;","&amp;COMM!D8</f>
        <v>RSDELC,RSDGASNAT,RSDOILLPG</v>
      </c>
      <c r="F6" s="148" t="str">
        <f>COMM!D33</f>
        <v>RSDRCK</v>
      </c>
      <c r="G6" s="148">
        <f>DwellingStocks!$L$38/1000*1</f>
        <v>1697.5803349999996</v>
      </c>
      <c r="H6" s="1005">
        <v>0.37037049989705056</v>
      </c>
      <c r="I6" s="1005">
        <v>1.021764265914812E-3</v>
      </c>
      <c r="J6" s="1005">
        <v>10</v>
      </c>
      <c r="K6" s="1005">
        <v>1</v>
      </c>
      <c r="L6" s="1006">
        <v>0.21129971092402661</v>
      </c>
      <c r="M6" s="1005">
        <v>7.8259179563034006E-2</v>
      </c>
      <c r="N6" s="893"/>
      <c r="O6" s="893"/>
      <c r="P6" s="652" t="s">
        <v>322</v>
      </c>
      <c r="Q6" s="652" t="str">
        <f t="shared" ref="Q6:Q11" si="0">C6</f>
        <v>RSDRCK_X0</v>
      </c>
      <c r="R6" s="652" t="str">
        <f t="shared" ref="R6:R11" si="1">D6</f>
        <v>Residential Cooking</v>
      </c>
      <c r="S6" s="652" t="s">
        <v>19</v>
      </c>
      <c r="T6" s="652" t="s">
        <v>1303</v>
      </c>
      <c r="U6" s="652"/>
      <c r="V6" s="652"/>
    </row>
    <row r="7" spans="2:22" ht="15">
      <c r="B7" s="746" t="str">
        <f>_xlfn.TEXTJOIN(",",TRUE,IF(LEFT(Regions!$C$3,1)&lt;&gt;"*",Regions!$C$3,""),IF(LEFT(Regions!$D$3,1)&lt;&gt;"*",Regions!$D$3,""))</f>
        <v>IE,National</v>
      </c>
      <c r="C7" s="746" t="str">
        <f>COMM!D34&amp;"_"&amp;SETUP!$B$64</f>
        <v>RSDRCW_X0</v>
      </c>
      <c r="D7" s="746" t="str">
        <f>COMM!E34</f>
        <v>Residential Cloth Washing demand</v>
      </c>
      <c r="E7" s="920" t="str">
        <f>COMM!$D$24</f>
        <v>RSDELC</v>
      </c>
      <c r="F7" s="920" t="str">
        <f>COMM!D34</f>
        <v>RSDRCW</v>
      </c>
      <c r="G7" s="920">
        <f>DwellingStocks!$L$38/1000*RSD_Balance!U36</f>
        <v>1655.1408266249996</v>
      </c>
      <c r="H7" s="1005"/>
      <c r="I7" s="1005"/>
      <c r="J7" s="1005"/>
      <c r="K7" s="1005"/>
      <c r="L7" s="1006"/>
      <c r="M7" s="1005"/>
      <c r="N7" s="893"/>
      <c r="O7" s="893"/>
      <c r="P7" s="746" t="s">
        <v>322</v>
      </c>
      <c r="Q7" s="746" t="str">
        <f t="shared" si="0"/>
        <v>RSDRCW_X0</v>
      </c>
      <c r="R7" s="746" t="str">
        <f t="shared" si="1"/>
        <v>Residential Cloth Washing demand</v>
      </c>
      <c r="S7" s="746" t="s">
        <v>19</v>
      </c>
      <c r="T7" s="746" t="s">
        <v>1303</v>
      </c>
      <c r="U7" s="746"/>
      <c r="V7" s="746"/>
    </row>
    <row r="8" spans="2:22" s="652" customFormat="1" ht="15">
      <c r="B8" s="652" t="str">
        <f>_xlfn.TEXTJOIN(",",TRUE,IF(LEFT(Regions!$C$3,1)&lt;&gt;"*",Regions!$C$3,""),IF(LEFT(Regions!$D$3,1)&lt;&gt;"*",Regions!$D$3,""))</f>
        <v>IE,National</v>
      </c>
      <c r="C8" s="652" t="str">
        <f>COMM!D35&amp;"_"&amp;SETUP!$B$64</f>
        <v>RSDRCD_X0</v>
      </c>
      <c r="D8" s="652" t="str">
        <f>COMM!E35</f>
        <v>Residential Cloth Drying demand</v>
      </c>
      <c r="E8" s="148" t="str">
        <f>COMM!$D$24</f>
        <v>RSDELC</v>
      </c>
      <c r="F8" s="148" t="str">
        <f>COMM!D35</f>
        <v>RSDRCD</v>
      </c>
      <c r="G8" s="148">
        <f>DwellingStocks!$L$38/1000*RSD_Balance!U37</f>
        <v>1100.0320570799997</v>
      </c>
      <c r="H8" s="1005"/>
      <c r="I8" s="1005"/>
      <c r="J8" s="1005"/>
      <c r="K8" s="1005"/>
      <c r="L8" s="1006"/>
      <c r="M8" s="1005"/>
      <c r="N8" s="893"/>
      <c r="O8" s="893"/>
      <c r="P8" s="652" t="s">
        <v>322</v>
      </c>
      <c r="Q8" s="652" t="str">
        <f t="shared" si="0"/>
        <v>RSDRCD_X0</v>
      </c>
      <c r="R8" s="652" t="str">
        <f t="shared" si="1"/>
        <v>Residential Cloth Drying demand</v>
      </c>
      <c r="S8" s="652" t="s">
        <v>19</v>
      </c>
      <c r="T8" s="652" t="s">
        <v>1303</v>
      </c>
    </row>
    <row r="9" spans="2:22" s="652" customFormat="1" ht="15">
      <c r="B9" s="746" t="str">
        <f>_xlfn.TEXTJOIN(",",TRUE,IF(LEFT(Regions!$C$3,1)&lt;&gt;"*",Regions!$C$3,""),IF(LEFT(Regions!$D$3,1)&lt;&gt;"*",Regions!$D$3,""))</f>
        <v>IE,National</v>
      </c>
      <c r="C9" s="746" t="str">
        <f>COMM!D36&amp;"_"&amp;SETUP!$B$64</f>
        <v>RSDRDW_X0</v>
      </c>
      <c r="D9" s="746" t="str">
        <f>COMM!E36</f>
        <v>Residential Dish Washing demand</v>
      </c>
      <c r="E9" s="920" t="str">
        <f>COMM!$D$24</f>
        <v>RSDELC</v>
      </c>
      <c r="F9" s="920" t="str">
        <f>COMM!D36</f>
        <v>RSDRDW</v>
      </c>
      <c r="G9" s="920">
        <f>DwellingStocks!$L$38/1000*RSD_Balance!U40</f>
        <v>1098.3344767449998</v>
      </c>
      <c r="H9" s="1005"/>
      <c r="I9" s="1005"/>
      <c r="J9" s="1005"/>
      <c r="K9" s="1005"/>
      <c r="L9" s="1006"/>
      <c r="M9" s="1005"/>
      <c r="N9" s="893"/>
      <c r="O9" s="893"/>
      <c r="P9" s="746" t="s">
        <v>322</v>
      </c>
      <c r="Q9" s="746" t="str">
        <f t="shared" si="0"/>
        <v>RSDRDW_X0</v>
      </c>
      <c r="R9" s="746" t="str">
        <f t="shared" si="1"/>
        <v>Residential Dish Washing demand</v>
      </c>
      <c r="S9" s="746" t="s">
        <v>19</v>
      </c>
      <c r="T9" s="746" t="s">
        <v>1303</v>
      </c>
      <c r="U9" s="746"/>
      <c r="V9" s="746"/>
    </row>
    <row r="10" spans="2:22" s="652" customFormat="1" ht="15">
      <c r="B10" s="652" t="str">
        <f>_xlfn.TEXTJOIN(",",TRUE,IF(LEFT(Regions!$C$3,1)&lt;&gt;"*",Regions!$C$3,""),IF(LEFT(Regions!$D$3,1)&lt;&gt;"*",Regions!$D$3,""))</f>
        <v>IE,National</v>
      </c>
      <c r="C10" s="652" t="str">
        <f>COMM!D37&amp;"_"&amp;SETUP!$B$64</f>
        <v>RSDROE_X0</v>
      </c>
      <c r="D10" s="652" t="str">
        <f>COMM!E37</f>
        <v>Residential ELC Appliances</v>
      </c>
      <c r="E10" s="148" t="str">
        <f>COMM!$D$24</f>
        <v>RSDELC</v>
      </c>
      <c r="F10" s="148" t="str">
        <f>COMM!D37</f>
        <v>RSDROE</v>
      </c>
      <c r="G10" s="148">
        <f>DwellingStocks!$L$38/1000*1</f>
        <v>1697.5803349999996</v>
      </c>
      <c r="H10" s="1005"/>
      <c r="I10" s="1005"/>
      <c r="J10" s="1005"/>
      <c r="K10" s="1005"/>
      <c r="L10" s="1006"/>
      <c r="M10" s="1005"/>
      <c r="N10" s="893"/>
      <c r="O10" s="893"/>
      <c r="P10" s="652" t="s">
        <v>322</v>
      </c>
      <c r="Q10" s="652" t="str">
        <f t="shared" si="0"/>
        <v>RSDROE_X0</v>
      </c>
      <c r="R10" s="652" t="str">
        <f t="shared" si="1"/>
        <v>Residential ELC Appliances</v>
      </c>
      <c r="S10" s="652" t="s">
        <v>19</v>
      </c>
      <c r="T10" s="652" t="s">
        <v>1303</v>
      </c>
    </row>
    <row r="11" spans="2:22" ht="15">
      <c r="B11" s="746" t="str">
        <f>_xlfn.TEXTJOIN(",",TRUE,IF(LEFT(Regions!$C$3,1)&lt;&gt;"*",Regions!$C$3,""),IF(LEFT(Regions!$D$3,1)&lt;&gt;"*",Regions!$D$3,""))</f>
        <v>IE,National</v>
      </c>
      <c r="C11" s="746" t="str">
        <f>COMM!D38&amp;"_"&amp;SETUP!$B$64</f>
        <v>RSDROA_X0</v>
      </c>
      <c r="D11" s="746" t="str">
        <f>COMM!E38</f>
        <v>Residential Other Applications</v>
      </c>
      <c r="E11" s="920" t="str">
        <f>COMM!$D$24</f>
        <v>RSDELC</v>
      </c>
      <c r="F11" s="920" t="str">
        <f>COMM!D38</f>
        <v>RSDROA</v>
      </c>
      <c r="G11" s="920">
        <f>DwellingStocks!$L$38/1000*1</f>
        <v>1697.5803349999996</v>
      </c>
      <c r="H11" s="1005"/>
      <c r="I11" s="1005"/>
      <c r="J11" s="1005"/>
      <c r="K11" s="1005"/>
      <c r="L11" s="1006"/>
      <c r="M11" s="1005"/>
      <c r="N11" s="893"/>
      <c r="O11" s="893"/>
      <c r="P11" s="746" t="s">
        <v>322</v>
      </c>
      <c r="Q11" s="746" t="str">
        <f t="shared" si="0"/>
        <v>RSDROA_X0</v>
      </c>
      <c r="R11" s="746" t="str">
        <f t="shared" si="1"/>
        <v>Residential Other Applications</v>
      </c>
      <c r="S11" s="746" t="s">
        <v>19</v>
      </c>
      <c r="T11" s="746" t="s">
        <v>1303</v>
      </c>
      <c r="U11" s="746"/>
      <c r="V11" s="746"/>
    </row>
    <row r="12" spans="2:22" ht="15">
      <c r="C12" s="893"/>
      <c r="D12" s="893"/>
      <c r="E12" s="893"/>
      <c r="F12" s="893"/>
      <c r="G12" s="893"/>
      <c r="H12" s="893"/>
      <c r="I12" s="893"/>
      <c r="J12" s="893"/>
      <c r="K12" s="893"/>
      <c r="L12" s="893"/>
      <c r="M12" s="893"/>
      <c r="N12" s="893"/>
      <c r="O12" s="893"/>
    </row>
    <row r="13" spans="2:22" ht="15">
      <c r="N13" s="893"/>
      <c r="O13" s="893"/>
      <c r="P13" s="893"/>
      <c r="Q13" s="893"/>
    </row>
    <row r="14" spans="2:22" ht="15">
      <c r="N14" s="893"/>
      <c r="O14" s="893"/>
      <c r="P14" s="893"/>
      <c r="Q14" s="893"/>
    </row>
    <row r="15" spans="2:22" ht="18.75">
      <c r="D15" s="1028" t="s">
        <v>841</v>
      </c>
      <c r="E15" s="1028"/>
      <c r="F15" s="1028"/>
      <c r="G15" s="1028"/>
      <c r="H15" s="1028"/>
      <c r="I15" s="1028"/>
      <c r="J15" s="1028"/>
      <c r="N15" s="893"/>
      <c r="O15" s="893"/>
      <c r="P15" s="893"/>
      <c r="Q15" s="893"/>
    </row>
    <row r="16" spans="2:22" ht="15">
      <c r="N16" s="893"/>
      <c r="O16" s="893"/>
      <c r="P16" s="893"/>
      <c r="Q16" s="893"/>
    </row>
    <row r="17" spans="3:17" ht="21">
      <c r="D17" s="120" t="s">
        <v>323</v>
      </c>
      <c r="E17" s="120"/>
      <c r="F17" s="111" t="s">
        <v>296</v>
      </c>
      <c r="G17" s="111"/>
      <c r="H17" s="72"/>
      <c r="I17" s="72"/>
      <c r="J17" s="66"/>
      <c r="K17" s="66"/>
      <c r="L17" s="66"/>
      <c r="M17" s="66"/>
      <c r="N17" s="893"/>
      <c r="O17" s="893"/>
      <c r="P17" s="893"/>
      <c r="Q17" s="893"/>
    </row>
    <row r="18" spans="3:17" ht="15">
      <c r="C18" s="696" t="s">
        <v>1301</v>
      </c>
      <c r="D18" s="696" t="s">
        <v>271</v>
      </c>
      <c r="E18" s="696" t="s">
        <v>324</v>
      </c>
      <c r="F18" s="696" t="s">
        <v>325</v>
      </c>
      <c r="G18" s="885">
        <v>2018</v>
      </c>
      <c r="H18" s="885">
        <v>2030</v>
      </c>
      <c r="I18" s="885">
        <v>2040</v>
      </c>
      <c r="J18" s="885">
        <v>2050</v>
      </c>
      <c r="K18" s="885">
        <v>2060</v>
      </c>
      <c r="L18" s="885">
        <v>2070</v>
      </c>
      <c r="M18" s="696" t="s">
        <v>326</v>
      </c>
      <c r="N18" s="893"/>
      <c r="O18" s="893"/>
      <c r="P18" s="893"/>
      <c r="Q18" s="893"/>
    </row>
    <row r="19" spans="3:17" ht="15">
      <c r="C19" s="886" t="str">
        <f>_xlfn.TEXTJOIN(",",TRUE,IF(LEFT(Regions!$C$3,1)&lt;&gt;"*",Regions!$C$3,""),IF(LEFT(Regions!$D$3,1)&lt;&gt;"*",Regions!$D$3,""))</f>
        <v>IE,National</v>
      </c>
      <c r="D19" s="886" t="str">
        <f>COMM!D32</f>
        <v>RSDRRF</v>
      </c>
      <c r="E19" s="886" t="str">
        <f>COMM!E32</f>
        <v>Residential Refrigeration</v>
      </c>
      <c r="F19" s="886" t="s">
        <v>328</v>
      </c>
      <c r="G19" s="902">
        <f>RSD_Balance!S26</f>
        <v>1.4117078065859998</v>
      </c>
      <c r="H19" s="902">
        <f>G19*(H26/G26)</f>
        <v>1.7367467040000002</v>
      </c>
      <c r="I19" s="902">
        <f>H19*(I26/H26)</f>
        <v>1.9499855760000002</v>
      </c>
      <c r="J19" s="902">
        <f t="shared" ref="J19:L19" si="2">I19*(J26/I26)</f>
        <v>2.1375196920000001</v>
      </c>
      <c r="K19" s="902">
        <f t="shared" si="2"/>
        <v>2.3184758520000002</v>
      </c>
      <c r="L19" s="902">
        <f t="shared" si="2"/>
        <v>2.4931118520000002</v>
      </c>
      <c r="M19" s="886" t="s">
        <v>19</v>
      </c>
      <c r="N19" s="893"/>
      <c r="O19" s="893"/>
      <c r="P19" s="893"/>
      <c r="Q19" s="893"/>
    </row>
    <row r="20" spans="3:17" ht="15">
      <c r="C20" s="876" t="str">
        <f>_xlfn.TEXTJOIN(",",TRUE,IF(LEFT(Regions!$C$3,1)&lt;&gt;"*",Regions!$C$3,""),IF(LEFT(Regions!$D$3,1)&lt;&gt;"*",Regions!$D$3,""))</f>
        <v>IE,National</v>
      </c>
      <c r="D20" s="876" t="str">
        <f>COMM!D33</f>
        <v>RSDRCK</v>
      </c>
      <c r="E20" s="876" t="str">
        <f>COMM!E33</f>
        <v>Residential Cooking</v>
      </c>
      <c r="F20" s="876" t="s">
        <v>328</v>
      </c>
      <c r="G20" s="903">
        <f>RSD_Balance!R26</f>
        <v>2.051734110329881</v>
      </c>
      <c r="H20" s="903">
        <f>G20*(H26/G26)</f>
        <v>2.5241359699052697</v>
      </c>
      <c r="I20" s="903">
        <f t="shared" ref="I20:L20" si="3">H20*(I26/H26)</f>
        <v>2.83405099997705</v>
      </c>
      <c r="J20" s="903">
        <f t="shared" si="3"/>
        <v>3.106607502712746</v>
      </c>
      <c r="K20" s="903">
        <f t="shared" si="3"/>
        <v>3.3696037999735657</v>
      </c>
      <c r="L20" s="903">
        <f t="shared" si="3"/>
        <v>3.6234145647932907</v>
      </c>
      <c r="M20" s="876" t="s">
        <v>19</v>
      </c>
      <c r="N20" s="893"/>
      <c r="O20" s="893"/>
      <c r="P20" s="893"/>
      <c r="Q20" s="893"/>
    </row>
    <row r="21" spans="3:17" ht="15">
      <c r="C21" s="886" t="str">
        <f>_xlfn.TEXTJOIN(",",TRUE,IF(LEFT(Regions!$C$3,1)&lt;&gt;"*",Regions!$C$3,""),IF(LEFT(Regions!$D$3,1)&lt;&gt;"*",Regions!$D$3,""))</f>
        <v>IE,National</v>
      </c>
      <c r="D21" s="886" t="str">
        <f>COMM!D34</f>
        <v>RSDRCW</v>
      </c>
      <c r="E21" s="886" t="str">
        <f>COMM!E34</f>
        <v>Residential Cloth Washing demand</v>
      </c>
      <c r="F21" s="886" t="s">
        <v>328</v>
      </c>
      <c r="G21" s="902">
        <f>RSD_Balance!T26</f>
        <v>1.1023237905322498</v>
      </c>
      <c r="H21" s="902">
        <f>G21*(H26/G26)</f>
        <v>1.3561285140000001</v>
      </c>
      <c r="I21" s="902">
        <f t="shared" ref="I21:L21" si="4">H21*(I26/H26)</f>
        <v>1.5226348410000001</v>
      </c>
      <c r="J21" s="902">
        <f t="shared" si="4"/>
        <v>1.6690697595000001</v>
      </c>
      <c r="K21" s="902">
        <f t="shared" si="4"/>
        <v>1.8103683195</v>
      </c>
      <c r="L21" s="902">
        <f t="shared" si="4"/>
        <v>1.9467318195000001</v>
      </c>
      <c r="M21" s="886" t="s">
        <v>19</v>
      </c>
      <c r="N21" s="893"/>
      <c r="O21" s="893"/>
      <c r="P21" s="893"/>
      <c r="Q21" s="893"/>
    </row>
    <row r="22" spans="3:17" ht="15">
      <c r="C22" s="876" t="str">
        <f>_xlfn.TEXTJOIN(",",TRUE,IF(LEFT(Regions!$C$3,1)&lt;&gt;"*",Regions!$C$3,""),IF(LEFT(Regions!$D$3,1)&lt;&gt;"*",Regions!$D$3,""))</f>
        <v>IE,National</v>
      </c>
      <c r="D22" s="876" t="str">
        <f>COMM!D35</f>
        <v>RSDRCD</v>
      </c>
      <c r="E22" s="876" t="str">
        <f>COMM!E35</f>
        <v>Residential Cloth Drying demand</v>
      </c>
      <c r="F22" s="876" t="s">
        <v>328</v>
      </c>
      <c r="G22" s="903">
        <f>RSD_Balance!U26</f>
        <v>1.7147299705763039</v>
      </c>
      <c r="H22" s="903">
        <f>G22*(H26/G26)</f>
        <v>2.1095382562560006</v>
      </c>
      <c r="I22" s="903">
        <f t="shared" ref="I22:L22" si="5">H22*(I26/H26)</f>
        <v>2.3685487136640004</v>
      </c>
      <c r="J22" s="903">
        <f t="shared" si="5"/>
        <v>2.5963369058880001</v>
      </c>
      <c r="K22" s="903">
        <f t="shared" si="5"/>
        <v>2.8161351881279999</v>
      </c>
      <c r="L22" s="903">
        <f t="shared" si="5"/>
        <v>3.0282566921280001</v>
      </c>
      <c r="M22" s="876" t="s">
        <v>19</v>
      </c>
      <c r="N22" s="893"/>
      <c r="O22" s="893"/>
      <c r="P22" s="893"/>
      <c r="Q22" s="893"/>
    </row>
    <row r="23" spans="3:17" ht="15">
      <c r="C23" s="886" t="str">
        <f>_xlfn.TEXTJOIN(",",TRUE,IF(LEFT(Regions!$C$3,1)&lt;&gt;"*",Regions!$C$3,""),IF(LEFT(Regions!$D$3,1)&lt;&gt;"*",Regions!$D$3,""))</f>
        <v>IE,National</v>
      </c>
      <c r="D23" s="886" t="str">
        <f>COMM!D36</f>
        <v>RSDRDW</v>
      </c>
      <c r="E23" s="886" t="str">
        <f>COMM!E36</f>
        <v>Residential Dish Washing demand</v>
      </c>
      <c r="F23" s="886" t="s">
        <v>328</v>
      </c>
      <c r="G23" s="902">
        <f>RSD_Balance!V26</f>
        <v>1.1862012348845998</v>
      </c>
      <c r="H23" s="902">
        <f>G23*(H26/G26)</f>
        <v>1.4593183344</v>
      </c>
      <c r="I23" s="902">
        <f t="shared" ref="I23:L23" si="6">H23*(I26/H26)</f>
        <v>1.6384943735999999</v>
      </c>
      <c r="J23" s="902">
        <f t="shared" si="6"/>
        <v>1.7960717411999998</v>
      </c>
      <c r="K23" s="902">
        <f t="shared" si="6"/>
        <v>1.9481219171999997</v>
      </c>
      <c r="L23" s="902">
        <f t="shared" si="6"/>
        <v>2.0948615171999996</v>
      </c>
      <c r="M23" s="886" t="s">
        <v>19</v>
      </c>
      <c r="N23" s="893"/>
      <c r="O23" s="893"/>
      <c r="P23" s="893"/>
      <c r="Q23" s="893"/>
    </row>
    <row r="24" spans="3:17" ht="15">
      <c r="C24" s="876" t="str">
        <f>_xlfn.TEXTJOIN(",",TRUE,IF(LEFT(Regions!$C$3,1)&lt;&gt;"*",Regions!$C$3,""),IF(LEFT(Regions!$D$3,1)&lt;&gt;"*",Regions!$D$3,""))</f>
        <v>IE,National</v>
      </c>
      <c r="D24" s="876" t="str">
        <f>COMM!D37</f>
        <v>RSDROE</v>
      </c>
      <c r="E24" s="876" t="str">
        <f>COMM!E37</f>
        <v>Residential ELC Appliances</v>
      </c>
      <c r="F24" s="876" t="s">
        <v>328</v>
      </c>
      <c r="G24" s="903">
        <f>RSD_Balance!W26</f>
        <v>10.352794328441064</v>
      </c>
      <c r="H24" s="903">
        <f>G24*(H26/G26)</f>
        <v>12.736475170872819</v>
      </c>
      <c r="I24" s="903">
        <f t="shared" ref="I24:L24" si="7">H24*(I26/H26)</f>
        <v>14.300267744906646</v>
      </c>
      <c r="J24" s="903">
        <f t="shared" si="7"/>
        <v>15.675553851179044</v>
      </c>
      <c r="K24" s="903">
        <f t="shared" si="7"/>
        <v>17.002600353440027</v>
      </c>
      <c r="L24" s="903">
        <f t="shared" si="7"/>
        <v>18.283297805070571</v>
      </c>
      <c r="M24" s="876" t="s">
        <v>19</v>
      </c>
      <c r="N24" s="893"/>
      <c r="O24" s="893"/>
      <c r="P24" s="893"/>
      <c r="Q24" s="893"/>
    </row>
    <row r="25" spans="3:17" ht="15">
      <c r="C25" s="886" t="str">
        <f>_xlfn.TEXTJOIN(",",TRUE,IF(LEFT(Regions!$C$3,1)&lt;&gt;"*",Regions!$C$3,""),IF(LEFT(Regions!$D$3,1)&lt;&gt;"*",Regions!$D$3,""))</f>
        <v>IE,National</v>
      </c>
      <c r="D25" s="886" t="str">
        <f>COMM!D38</f>
        <v>RSDROA</v>
      </c>
      <c r="E25" s="886" t="str">
        <f>COMM!E38</f>
        <v>Residential Other Applications</v>
      </c>
      <c r="F25" s="886" t="s">
        <v>328</v>
      </c>
      <c r="G25" s="902">
        <f>RSD_Balance!X26</f>
        <v>0</v>
      </c>
      <c r="H25" s="902">
        <f>G25*(H26/G26)</f>
        <v>0</v>
      </c>
      <c r="I25" s="902">
        <f t="shared" ref="I25:L25" si="8">H25*(I26/H26)</f>
        <v>0</v>
      </c>
      <c r="J25" s="902">
        <f t="shared" si="8"/>
        <v>0</v>
      </c>
      <c r="K25" s="902">
        <f t="shared" si="8"/>
        <v>0</v>
      </c>
      <c r="L25" s="902">
        <f t="shared" si="8"/>
        <v>0</v>
      </c>
      <c r="M25" s="886" t="s">
        <v>19</v>
      </c>
      <c r="N25" s="893"/>
      <c r="O25" s="893"/>
      <c r="P25" s="893"/>
      <c r="Q25" s="893"/>
    </row>
    <row r="26" spans="3:17" ht="15">
      <c r="C26" s="893"/>
      <c r="D26" s="895" t="s">
        <v>802</v>
      </c>
      <c r="E26" s="895"/>
      <c r="F26" s="895"/>
      <c r="G26" s="896">
        <f>'Heating Drivers'!F21</f>
        <v>1697.5803349999996</v>
      </c>
      <c r="H26" s="896">
        <f>'Heating Drivers'!G21</f>
        <v>2088.44</v>
      </c>
      <c r="I26" s="896">
        <f>'Heating Drivers'!H21</f>
        <v>2344.86</v>
      </c>
      <c r="J26" s="896">
        <f>'Heating Drivers'!I21</f>
        <v>2570.37</v>
      </c>
      <c r="K26" s="896">
        <f>'Heating Drivers'!J21</f>
        <v>2787.97</v>
      </c>
      <c r="L26" s="896">
        <f>'Heating Drivers'!K21</f>
        <v>2997.97</v>
      </c>
      <c r="M26" s="895"/>
      <c r="N26" s="893"/>
      <c r="O26" s="893"/>
      <c r="P26" s="893"/>
      <c r="Q26" s="893"/>
    </row>
    <row r="27" spans="3:17" ht="15">
      <c r="C27" s="893"/>
      <c r="D27" s="893"/>
      <c r="E27" s="893"/>
      <c r="F27" s="893"/>
      <c r="G27" s="893"/>
      <c r="H27" s="893"/>
      <c r="I27" s="893"/>
      <c r="J27" s="893"/>
      <c r="K27" s="893"/>
      <c r="L27" s="893"/>
      <c r="M27" s="893"/>
      <c r="N27" s="893"/>
      <c r="O27" s="893"/>
      <c r="P27" s="893"/>
      <c r="Q27" s="893"/>
    </row>
    <row r="28" spans="3:17" ht="15">
      <c r="C28" s="893"/>
      <c r="D28" s="893"/>
      <c r="E28" s="893"/>
      <c r="F28" s="893"/>
      <c r="G28" s="893"/>
      <c r="H28" s="893"/>
      <c r="I28" s="893"/>
      <c r="J28" s="893"/>
      <c r="K28" s="893"/>
      <c r="L28" s="893"/>
      <c r="M28" s="893"/>
      <c r="N28" s="893"/>
      <c r="O28" s="893"/>
      <c r="P28" s="893"/>
      <c r="Q28" s="893"/>
    </row>
    <row r="29" spans="3:17" ht="15"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  <row r="111" spans="3:17" ht="15"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</row>
  </sheetData>
  <mergeCells count="1">
    <mergeCell ref="D15:J15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37" t="s">
        <v>1245</v>
      </c>
      <c r="R26" s="1037"/>
      <c r="S26" s="1037"/>
      <c r="T26" s="1037" t="s">
        <v>1246</v>
      </c>
      <c r="U26" s="1037"/>
      <c r="V26" s="1037"/>
    </row>
    <row r="27" spans="1:22" ht="21.75" thickBot="1">
      <c r="A27" s="67"/>
      <c r="B27" s="67"/>
      <c r="C27" s="67"/>
      <c r="D27" s="67"/>
      <c r="E27" s="67"/>
      <c r="F27" s="67"/>
      <c r="H27" s="1037" t="s">
        <v>667</v>
      </c>
      <c r="I27" s="1037"/>
      <c r="J27" s="1037"/>
      <c r="K27" s="1037"/>
      <c r="L27" s="1037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[3]Second_SH_Demand!$A$5</f>
        <v>1.4285714285714286</v>
      </c>
      <c r="R28" s="909">
        <f>[3]Second_SH_Demand!$K$5</f>
        <v>1.375</v>
      </c>
      <c r="S28" s="909">
        <f>[3]Second_SH_Demand!$F$5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[3]Second_SH_Demand!$A$12</f>
        <v>1</v>
      </c>
      <c r="R29" s="910">
        <f>[3]Second_SH_Demand!$K$12</f>
        <v>1</v>
      </c>
      <c r="S29" s="910">
        <f>[3]Second_SH_Demand!$F$12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[3]Second_SH_Demand!$A$19</f>
        <v>1</v>
      </c>
      <c r="R30" s="911">
        <f>[3]Second_SH_Demand!$K$19</f>
        <v>1</v>
      </c>
      <c r="S30" s="911">
        <f>[3]Second_SH_Demand!$F$19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[3]Second_SH_Demand!$A$26</f>
        <v>1</v>
      </c>
      <c r="R31" s="910">
        <f>[3]Second_SH_Demand!$K$26</f>
        <v>1</v>
      </c>
      <c r="S31" s="910">
        <f>[3]Second_SH_Demand!$F$26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[3]Second_SH_Demand!$A$33</f>
        <v>0.62350597609561753</v>
      </c>
      <c r="R32" s="911">
        <f>[3]Second_SH_Demand!$K$33</f>
        <v>0.63854266538830295</v>
      </c>
      <c r="S32" s="911">
        <f>[3]Second_SH_Demand!$F$33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666</v>
      </c>
      <c r="P33" s="628" t="s">
        <v>67</v>
      </c>
      <c r="Q33" s="910">
        <f>[3]Second_SH_Demand!$A$40</f>
        <v>0.64275466284074612</v>
      </c>
      <c r="R33" s="910">
        <f>[3]Second_SH_Demand!$K$40</f>
        <v>0.6669136717302705</v>
      </c>
      <c r="S33" s="910">
        <f>[3]Second_SH_Demand!$F$40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[3]Second_SH_Demand!$A$47</f>
        <v>0.65947786606129399</v>
      </c>
      <c r="R34" s="911">
        <f>[3]Second_SH_Demand!$K$47</f>
        <v>0.68235651381718798</v>
      </c>
      <c r="S34" s="911">
        <f>[3]Second_SH_Demand!$F$47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[3]Second_SH_Demand!$A$54</f>
        <v>0.67760942760942755</v>
      </c>
      <c r="R35" s="910">
        <f>[3]Second_SH_Demand!$K$54</f>
        <v>0.69366197183098599</v>
      </c>
      <c r="S35" s="910">
        <f>[3]Second_SH_Demand!$F$54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[3]Second_SH_Demand!$A$61</f>
        <v>0.56219445953286251</v>
      </c>
      <c r="R36" s="916">
        <f>[3]Second_SH_Demand!$K$61</f>
        <v>0.54586660910856888</v>
      </c>
      <c r="S36" s="916">
        <f>[3]Second_SH_Demand!$F$61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664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665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34" t="s">
        <v>334</v>
      </c>
      <c r="C58" s="1035"/>
      <c r="D58" s="1035"/>
      <c r="E58" s="1035"/>
      <c r="F58" s="1035"/>
      <c r="G58" s="1035"/>
      <c r="H58" s="1035"/>
      <c r="I58" s="1035"/>
      <c r="J58" s="1035"/>
      <c r="K58" s="1035"/>
      <c r="L58" s="1036"/>
      <c r="M58" s="1031" t="s">
        <v>335</v>
      </c>
      <c r="N58" s="1032"/>
      <c r="O58" s="1033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38" t="s">
        <v>400</v>
      </c>
      <c r="T92" s="1039"/>
      <c r="U92" s="1039"/>
      <c r="V92" s="1039"/>
      <c r="W92" s="1039"/>
      <c r="X92" s="1039"/>
      <c r="Y92" s="1039"/>
      <c r="Z92" s="1040"/>
      <c r="AB92" s="1029" t="s">
        <v>401</v>
      </c>
      <c r="AC92" s="1029"/>
      <c r="AD92" s="1029"/>
      <c r="AE92" s="1029"/>
      <c r="AF92" s="1030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29"/>
      <c r="AC93" s="1029"/>
      <c r="AD93" s="1029"/>
      <c r="AE93" s="1029"/>
      <c r="AF93" s="1030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5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T1" zoomScaleNormal="100" workbookViewId="0">
      <selection activeCell="L4" sqref="L4:L55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1250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1249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669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588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588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41" t="s">
        <v>1247</v>
      </c>
      <c r="C4" s="1042"/>
      <c r="D4" s="1042"/>
      <c r="E4" s="1042"/>
      <c r="F4" s="1042"/>
      <c r="G4" s="1043"/>
      <c r="H4" s="1041" t="s">
        <v>1248</v>
      </c>
      <c r="I4" s="1042"/>
      <c r="J4" s="1043"/>
      <c r="K4" s="702"/>
      <c r="L4" s="73" t="s">
        <v>1301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1242</v>
      </c>
      <c r="V4" s="86" t="s">
        <v>304</v>
      </c>
      <c r="W4" s="86" t="s">
        <v>316</v>
      </c>
      <c r="X4" s="86" t="s">
        <v>1241</v>
      </c>
      <c r="Y4" s="91" t="s">
        <v>1240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1251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1251</v>
      </c>
      <c r="K5" s="702"/>
      <c r="L5" s="74" t="s">
        <v>1302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673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COMM!$N$9&amp;"_"&amp;RIGHT(O7,LEN(O7)-3)&amp;"_"&amp;SETUP!$B$64</f>
        <v>RSH_Apt_COA_X0</v>
      </c>
      <c r="N7" s="747" t="str">
        <f>COMM!$O$9&amp;"_"&amp;COMM!E6&amp;"_"&amp;SETUP!$C$64</f>
        <v>Residential Space Heating Apartment_Coal to Residential_Existing 00</v>
      </c>
      <c r="O7" s="747" t="str">
        <f>COMM!$D$6</f>
        <v>RSDCOA</v>
      </c>
      <c r="P7" s="747" t="str">
        <f>COMM!N9</f>
        <v>RSH_Apt</v>
      </c>
      <c r="Q7" s="945">
        <f>(E7+E14+E16)/SUM($E$7:$E$25)</f>
        <v>2.1588177690732664E-3</v>
      </c>
      <c r="R7" s="946">
        <f>Q7*DwellingStocks!$I$38/1000</f>
        <v>0.44644110756253896</v>
      </c>
      <c r="S7" s="947">
        <f>(R7*1000)/(E7+E14+E16)*DwellingStocks!$T$37</f>
        <v>1.1396707013624294</v>
      </c>
      <c r="T7" s="948">
        <f>(G7+G14+G16)/300</f>
        <v>0.59018803418803423</v>
      </c>
      <c r="U7" s="948">
        <f>X7/R7/W7</f>
        <v>0.28895332946844798</v>
      </c>
      <c r="V7" s="949">
        <v>20</v>
      </c>
      <c r="W7" s="949">
        <v>1</v>
      </c>
      <c r="X7" s="950">
        <f>Y7/T7</f>
        <v>0.12900064444177714</v>
      </c>
      <c r="Y7" s="950">
        <f>IF(((D7+I7+D14+I14+D16+I16)*$B$2)&lt;=0,0,((D7+I7+D14+I14+D16+I16)*S7*$B$2))</f>
        <v>7.6134636752082013E-2</v>
      </c>
      <c r="Z7" s="722"/>
      <c r="AA7" s="747" t="s">
        <v>311</v>
      </c>
      <c r="AB7" s="747" t="str">
        <f>M7</f>
        <v>RSH_Apt_COA_X0</v>
      </c>
      <c r="AC7" s="747" t="str">
        <f>N7</f>
        <v>Residential Space Heating Apartment_Coal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COMM!$N$9&amp;"_"&amp;RIGHT(O8,LEN(O8)-3)&amp;"_"&amp;SETUP!$B$64</f>
        <v>RSH_Apt_BIODST_X0</v>
      </c>
      <c r="N8" s="83" t="str">
        <f>COMM!$O$9&amp;"_"&amp;COMM!E21&amp;"_"&amp;SETUP!$C$64</f>
        <v>Residential Space Heating Apartment_Biodiesel to Residential_Existing 00</v>
      </c>
      <c r="O8" s="83" t="str">
        <f>COMM!$D$21</f>
        <v>RSDBIODST</v>
      </c>
      <c r="P8" s="83" t="str">
        <f>COMM!N9</f>
        <v>RSH_Apt</v>
      </c>
      <c r="Q8" s="952">
        <f>E8/SUM($E$7:$E$25)</f>
        <v>2.2255853289415115E-5</v>
      </c>
      <c r="R8" s="953">
        <f>Q8*DwellingStocks!$I$38/1000</f>
        <v>4.6024856449746274E-3</v>
      </c>
      <c r="S8" s="954">
        <f>(R8*1000)/E8*DwellingStocks!$T$37</f>
        <v>1.139670701362429</v>
      </c>
      <c r="T8" s="963">
        <f>IF((G8/100)&gt;1,0.9)</f>
        <v>0.9</v>
      </c>
      <c r="U8" s="955">
        <f>X8/R8/W8</f>
        <v>5.5229320162991499E-3</v>
      </c>
      <c r="V8" s="956">
        <v>20</v>
      </c>
      <c r="W8" s="956">
        <v>1</v>
      </c>
      <c r="X8" s="957">
        <f>Y8/T8</f>
        <v>2.5419215323187613E-5</v>
      </c>
      <c r="Y8" s="958">
        <f>IF(((D8+I8)*$B$2)&lt;=0,0,((D8+I8)*S8*$B$2))</f>
        <v>2.2877293790868852E-5</v>
      </c>
      <c r="Z8" s="722"/>
      <c r="AA8" s="83" t="s">
        <v>311</v>
      </c>
      <c r="AB8" s="83" t="str">
        <f t="shared" ref="AB8:AB10" si="0">M8</f>
        <v>RSH_Apt_BIODST_X0</v>
      </c>
      <c r="AC8" s="83" t="str">
        <f t="shared" ref="AC8:AC10" si="1">N8</f>
        <v>Residential Space Heating Apartment_Biodiesel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COMM!N9&amp;"_"&amp;RIGHT(O9,LEN(O9)-3)&amp;"_"&amp;SETUP!B64</f>
        <v>RSH_Apt_BIOETH_X0</v>
      </c>
      <c r="N9" s="747" t="str">
        <f>COMM!O9&amp;"_"&amp;COMM!E20&amp;"_"&amp;SETUP!C64</f>
        <v>Residential Space Heating Apartment_Ethanol to Residential_Existing 00</v>
      </c>
      <c r="O9" s="747" t="str">
        <f>COMM!$D$20</f>
        <v>RSDBIOETH</v>
      </c>
      <c r="P9" s="747" t="str">
        <f>COMM!N9</f>
        <v>RSH_Apt</v>
      </c>
      <c r="Q9" s="945">
        <f>E9/SUM($E$7:$E$25)</f>
        <v>7.4186177631383719E-6</v>
      </c>
      <c r="R9" s="946">
        <f>Q9*DwellingStocks!$I$38/1000</f>
        <v>1.5341618816582091E-3</v>
      </c>
      <c r="S9" s="947">
        <f>(R9*1000)/E9*DwellingStocks!$T$37</f>
        <v>1.1396707013624292</v>
      </c>
      <c r="T9" s="964">
        <f>IF((G9/100)&gt;1,0.9)</f>
        <v>0.9</v>
      </c>
      <c r="U9" s="948">
        <f t="shared" ref="U9:U21" si="2">X9/R9/W9</f>
        <v>1.1885793435364027E-5</v>
      </c>
      <c r="V9" s="949">
        <v>20</v>
      </c>
      <c r="W9" s="949">
        <v>1</v>
      </c>
      <c r="X9" s="950">
        <f t="shared" ref="X9:X20" si="3">Y9/T9</f>
        <v>1.8234731221798864E-8</v>
      </c>
      <c r="Y9" s="950">
        <f>IF(((D9+I9)*$B$2)&lt;=0,0,((D9+I9)*S9*$B$2))</f>
        <v>1.6411258099618979E-8</v>
      </c>
      <c r="Z9" s="722"/>
      <c r="AA9" s="747" t="s">
        <v>311</v>
      </c>
      <c r="AB9" s="747" t="str">
        <f t="shared" si="0"/>
        <v>RSH_Apt_BIOETH_X0</v>
      </c>
      <c r="AC9" s="747" t="str">
        <f t="shared" si="1"/>
        <v>Residential Space Heating Apartment_Ethanol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COMM!N9&amp;"_"&amp;RIGHT(O10,LEN(O10)-3)&amp;"_"&amp;SETUP!B64</f>
        <v>RSH_Apt_OILLPG_X0</v>
      </c>
      <c r="N10" s="83" t="str">
        <f>COMM!O9&amp;"_"&amp;COMM!E8&amp;"_"&amp;SETUP!C64</f>
        <v>Residential Space Heating Apartment_LPG to Residential_Existing 00</v>
      </c>
      <c r="O10" s="83" t="str">
        <f>COMM!$D$8</f>
        <v>RSDOILLPG</v>
      </c>
      <c r="P10" s="83" t="str">
        <f>COMM!N9</f>
        <v>RSH_Apt</v>
      </c>
      <c r="Q10" s="952">
        <f>(E10+E11)/SUM($E$7:$E$25)</f>
        <v>1.4139885456541736E-2</v>
      </c>
      <c r="R10" s="953">
        <f>(Q10)*DwellingStocks!$I$38/1000</f>
        <v>2.9241125464405466</v>
      </c>
      <c r="S10" s="954">
        <f>(R10*1000)/(E10+E11)*DwellingStocks!$T$37</f>
        <v>1.1396707013624292</v>
      </c>
      <c r="T10" s="955">
        <f>(G10+G11)/200</f>
        <v>0.80677902621722841</v>
      </c>
      <c r="U10" s="955">
        <f t="shared" si="2"/>
        <v>2.3440929472308469E-2</v>
      </c>
      <c r="V10" s="956">
        <v>20</v>
      </c>
      <c r="W10" s="956">
        <v>1</v>
      </c>
      <c r="X10" s="957">
        <f t="shared" si="3"/>
        <v>6.8543915970205177E-2</v>
      </c>
      <c r="Y10" s="958">
        <f>IF(((D10+I10+D11+I11)*S10*$B$2)&lt;=0,0,((D10+I10+D11+I11)*S10*$B$2))</f>
        <v>5.5299793779557661E-2</v>
      </c>
      <c r="Z10" s="722"/>
      <c r="AA10" s="83" t="s">
        <v>311</v>
      </c>
      <c r="AB10" s="83" t="str">
        <f t="shared" si="0"/>
        <v>RSH_Apt_OILLPG_X0</v>
      </c>
      <c r="AC10" s="83" t="str">
        <f t="shared" si="1"/>
        <v>Residential Space Heating Apartment_LPG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COMM!N9&amp;"_"&amp;RIGHT(O12,LEN(O12)-3)&amp;"_"&amp;SETUP!B64</f>
        <v>RSH_Apt_ELC_X0</v>
      </c>
      <c r="N11" s="747" t="str">
        <f>COMM!O9&amp;"_"&amp;COMM!E24&amp;"_"&amp;SETUP!C64</f>
        <v>Residential Space Heating Apartment_Electricity to Residential_Existing 00</v>
      </c>
      <c r="O11" s="747" t="str">
        <f>COMM!$D$24</f>
        <v>RSDELC</v>
      </c>
      <c r="P11" s="747" t="str">
        <f>COMM!N9</f>
        <v>RSH_Apt</v>
      </c>
      <c r="Q11" s="945">
        <f>E25/SUM($E$7:$E$25)</f>
        <v>0.28021603014926261</v>
      </c>
      <c r="R11" s="946">
        <f>(Q11)*DwellingStocks!$I$38/1000</f>
        <v>57.948362593993885</v>
      </c>
      <c r="S11" s="947">
        <f>(R11*1000)/(E25)*DwellingStocks!$T$37</f>
        <v>1.1396707013624294</v>
      </c>
      <c r="T11" s="948">
        <f>(G25)/100</f>
        <v>1</v>
      </c>
      <c r="U11" s="948">
        <f t="shared" si="2"/>
        <v>1.2627552741070682E-2</v>
      </c>
      <c r="V11" s="949">
        <v>20</v>
      </c>
      <c r="W11" s="949">
        <v>1</v>
      </c>
      <c r="X11" s="950">
        <f t="shared" si="3"/>
        <v>0.73174600491434527</v>
      </c>
      <c r="Y11" s="950">
        <f>IF(((D25+I25)*S11*$B$2)&lt;=0,0,((D25+I25)*S11*$B$2))</f>
        <v>0.73174600491434527</v>
      </c>
      <c r="Z11" s="722"/>
      <c r="AA11" s="747" t="s">
        <v>311</v>
      </c>
      <c r="AB11" s="747" t="str">
        <f t="shared" ref="AB11:AB21" si="4">M11</f>
        <v>RSH_Apt_ELC_X0</v>
      </c>
      <c r="AC11" s="747" t="str">
        <f t="shared" ref="AC11:AC21" si="5">N11</f>
        <v>Residential Space Heating Apartment_Electricity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1257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COMM!N9&amp;"_"&amp;RIGHT(O12,LEN(O12)-3)&amp;"_"&amp;SETUP!B65</f>
        <v>RSH_Apt_ELC_X1</v>
      </c>
      <c r="N12" s="83" t="str">
        <f>COMM!O9&amp;"_"&amp;COMM!E24&amp;"_"&amp;SETUP!C65</f>
        <v>Residential Space Heating Apartment_Electricity to Residential_Existing 01</v>
      </c>
      <c r="O12" s="83" t="str">
        <f>COMM!$D$24</f>
        <v>RSDELC</v>
      </c>
      <c r="P12" s="83" t="str">
        <f>COMM!N9</f>
        <v>RSH_Apt</v>
      </c>
      <c r="Q12" s="952">
        <f>E12/SUM($E$7:$E$25)</f>
        <v>0.19717944152645478</v>
      </c>
      <c r="R12" s="953">
        <f>Q12*DwellingStocks!$I$38/1000</f>
        <v>40.776488652593542</v>
      </c>
      <c r="S12" s="954">
        <f>(R12*1000)/E12*DwellingStocks!$T$37</f>
        <v>1.1396707013624292</v>
      </c>
      <c r="T12" s="955">
        <f>G12/100</f>
        <v>3.0701960784313722</v>
      </c>
      <c r="U12" s="955">
        <f t="shared" si="2"/>
        <v>2.0839738504670083E-3</v>
      </c>
      <c r="V12" s="956">
        <v>20</v>
      </c>
      <c r="W12" s="956">
        <v>1</v>
      </c>
      <c r="X12" s="957">
        <f t="shared" si="3"/>
        <v>8.4977136065869638E-2</v>
      </c>
      <c r="Y12" s="958">
        <f>IF(((D12+I12)*S12*$B$2)&lt;=0,0,((D12+I12)*S12*$B$2))</f>
        <v>0.2608964699057621</v>
      </c>
      <c r="Z12" s="722"/>
      <c r="AA12" s="83" t="s">
        <v>311</v>
      </c>
      <c r="AB12" s="83" t="str">
        <f t="shared" si="4"/>
        <v>RSH_Apt_ELC_X1</v>
      </c>
      <c r="AC12" s="83" t="str">
        <f t="shared" si="5"/>
        <v>Residential Space Heating Apartment_Electricity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COMM!N9&amp;"_"&amp;RIGHT(O13,LEN(O13)-3)&amp;"_"&amp;SETUP!B64</f>
        <v>RSH_Apt_OILKER_X0</v>
      </c>
      <c r="N13" s="747" t="str">
        <f>COMM!O9&amp;"_"&amp;COMM!E10&amp;"_"&amp;SETUP!C64</f>
        <v>Residential Space Heating Apartment_Kerosene to Residential_Existing 00</v>
      </c>
      <c r="O13" s="747" t="str">
        <f>COMM!$D$10</f>
        <v>RSDOILKER</v>
      </c>
      <c r="P13" s="747" t="str">
        <f>COMM!N9</f>
        <v>RSH_Apt</v>
      </c>
      <c r="Q13" s="945">
        <f>E13/SUM($E$7:$E$25)</f>
        <v>2.9103237484791832E-2</v>
      </c>
      <c r="R13" s="946">
        <f>Q13*DwellingStocks!$I$38/1000</f>
        <v>6.0185170617451549</v>
      </c>
      <c r="S13" s="947">
        <f>(R13*1000)/E13*DwellingStocks!$T$37</f>
        <v>1.1396707013624292</v>
      </c>
      <c r="T13" s="948">
        <f>G13/100</f>
        <v>0.81016216216216219</v>
      </c>
      <c r="U13" s="948">
        <f t="shared" si="2"/>
        <v>4.6973817311931489E-2</v>
      </c>
      <c r="V13" s="949">
        <v>20</v>
      </c>
      <c r="W13" s="949">
        <v>1</v>
      </c>
      <c r="X13" s="950">
        <f t="shared" si="3"/>
        <v>0.2827127209471596</v>
      </c>
      <c r="Y13" s="950">
        <f>IF(((D13+I13)*$B$2)&lt;=0,0,((D13+I13)*S13*$B$2))</f>
        <v>0.22904314927329883</v>
      </c>
      <c r="Z13" s="722"/>
      <c r="AA13" s="747" t="s">
        <v>311</v>
      </c>
      <c r="AB13" s="747" t="str">
        <f t="shared" si="4"/>
        <v>RSH_Apt_OILKER_X0</v>
      </c>
      <c r="AC13" s="747" t="str">
        <f t="shared" si="5"/>
        <v>Residential Space Heating Apartment_Kerosene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COMM!N9&amp;"_"&amp;RIGHT(O15,LEN(O15)-3)&amp;"_"&amp;SETUP!B64</f>
        <v>RSH_Apt_GASNAT_X0</v>
      </c>
      <c r="N15" s="747" t="str">
        <f>COMM!O9&amp;"_"&amp;COMM!E14&amp;"_"&amp;SETUP!C64</f>
        <v>Residential Space Heating Apartment_Natural Gas to Residential_Existing 00</v>
      </c>
      <c r="O15" s="747" t="str">
        <f>COMM!$D$14</f>
        <v>RSDGASNAT</v>
      </c>
      <c r="P15" s="747" t="str">
        <f>COMM!N9</f>
        <v>RSH_Apt</v>
      </c>
      <c r="Q15" s="945">
        <f>E15/SUM($E$7:$E$25)</f>
        <v>0.4073933944627437</v>
      </c>
      <c r="R15" s="946">
        <f>Q15*DwellingStocks!$I$38/1000</f>
        <v>84.248499731260551</v>
      </c>
      <c r="S15" s="947">
        <f>(R15*1000)/E15*DwellingStocks!$T$37</f>
        <v>1.1396707013624292</v>
      </c>
      <c r="T15" s="948">
        <f>G15/100</f>
        <v>0.81026881720430111</v>
      </c>
      <c r="U15" s="948">
        <f t="shared" si="2"/>
        <v>1.806312959890221E-2</v>
      </c>
      <c r="V15" s="949">
        <v>20</v>
      </c>
      <c r="W15" s="949">
        <v>1</v>
      </c>
      <c r="X15" s="950">
        <f t="shared" si="3"/>
        <v>1.5217915691588373</v>
      </c>
      <c r="Y15" s="950">
        <f>IF(((D15+I15)*$B$2)&lt;=0,0,((D15+I15)*S15*$B$2))</f>
        <v>1.2330602547738085</v>
      </c>
      <c r="Z15" s="722"/>
      <c r="AA15" s="747" t="s">
        <v>311</v>
      </c>
      <c r="AB15" s="747" t="str">
        <f t="shared" si="4"/>
        <v>RSH_Apt_GASNAT_X0</v>
      </c>
      <c r="AC15" s="747" t="str">
        <f t="shared" si="5"/>
        <v>Residential Space Heating Apartment_Natural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674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COMM!N9&amp;"_"&amp;RIGHT(O17,LEN(O17)-3)&amp;"_"&amp;SETUP!B64</f>
        <v>RSH_Apt_PEA_X0</v>
      </c>
      <c r="N17" s="747" t="str">
        <f>COMM!O9&amp;"_"&amp;COMM!E7&amp;"_"&amp;SETUP!C64</f>
        <v>Residential Space Heating Apartment_Peat to Residential_Existing 00</v>
      </c>
      <c r="O17" s="747" t="str">
        <f>COMM!D7</f>
        <v>RSDPEA</v>
      </c>
      <c r="P17" s="747" t="str">
        <f>COMM!$N$9</f>
        <v>RSH_Apt</v>
      </c>
      <c r="Q17" s="945">
        <f>(E17+E18)/SUM($E$7:$E$25)</f>
        <v>1.0386064868393721E-4</v>
      </c>
      <c r="R17" s="946">
        <f>Q17*DwellingStocks!$I$38/1000</f>
        <v>2.1478266343214931E-2</v>
      </c>
      <c r="S17" s="947">
        <f>(R17*1000)/(E17+E18)*DwellingStocks!$T$37</f>
        <v>1.1396707013624292</v>
      </c>
      <c r="T17" s="948">
        <f>(G17+G18)/200</f>
        <v>0.52500000000000002</v>
      </c>
      <c r="U17" s="948">
        <f t="shared" si="2"/>
        <v>0.271648110994754</v>
      </c>
      <c r="V17" s="949">
        <v>20</v>
      </c>
      <c r="W17" s="949">
        <v>1</v>
      </c>
      <c r="X17" s="950">
        <f t="shared" si="3"/>
        <v>5.8345304795765392E-3</v>
      </c>
      <c r="Y17" s="950">
        <f>IF(((D17+I17)+D18+I18*$B$2)&lt;=0,0,((D17+I17+D18+I18)*S17*$B$2))</f>
        <v>3.0631285017776832E-3</v>
      </c>
      <c r="Z17" s="722"/>
      <c r="AA17" s="747" t="s">
        <v>311</v>
      </c>
      <c r="AB17" s="747" t="str">
        <f t="shared" si="4"/>
        <v>RSH_Apt_PEA_X0</v>
      </c>
      <c r="AC17" s="747" t="str">
        <f t="shared" si="5"/>
        <v>Residential Space Heating Apartment_Peat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COMM!N9&amp;"_"&amp;RIGHT(COMM!D23,LEN(COMM!D23)-3)&amp;"_"&amp;SETUP!B64</f>
        <v>RSH_Apt_SMF_X0</v>
      </c>
      <c r="N19" s="951" t="str">
        <f>COMM!O9&amp;"_"&amp;COMM!E23&amp;"_"&amp;SETUP!C64</f>
        <v>Residential Space Heating Apartment_Solid Multi-Fuel_Existing 00</v>
      </c>
      <c r="O19" s="83" t="str">
        <f>COMM!D6&amp;","&amp;COMM!D7&amp;","&amp;COMM!D16</f>
        <v>RSDCOA,RSDPEA,RSDBIOWOO</v>
      </c>
      <c r="P19" s="83" t="str">
        <f>COMM!$N$9</f>
        <v>RSH_Apt</v>
      </c>
      <c r="Q19" s="952">
        <f>E19/SUM($E$7:$E$25)</f>
        <v>3.2493545802546068E-3</v>
      </c>
      <c r="R19" s="953">
        <f>Q19*DwellingStocks!$I$38/1000</f>
        <v>0.67196290416629567</v>
      </c>
      <c r="S19" s="954">
        <f>(R19*1000)/E19*DwellingStocks!$T$37</f>
        <v>1.1396707013624292</v>
      </c>
      <c r="T19" s="955">
        <f>G19/100</f>
        <v>0.58177777777777773</v>
      </c>
      <c r="U19" s="955">
        <f t="shared" si="2"/>
        <v>0.23365498075784066</v>
      </c>
      <c r="V19" s="956">
        <v>20</v>
      </c>
      <c r="W19" s="956">
        <v>1</v>
      </c>
      <c r="X19" s="957">
        <f t="shared" si="3"/>
        <v>0.15700747944295854</v>
      </c>
      <c r="Y19" s="958">
        <f>IF(((D19+I19)*$B$2)&lt;=0,0,((D19+I19)*S19*$B$2))</f>
        <v>9.1343462484814536E-2</v>
      </c>
      <c r="Z19" s="722"/>
      <c r="AA19" s="747" t="s">
        <v>311</v>
      </c>
      <c r="AB19" s="747" t="str">
        <f t="shared" si="4"/>
        <v>RSH_Apt_SMF_X0</v>
      </c>
      <c r="AC19" s="747" t="str">
        <f t="shared" si="5"/>
        <v>Residential Space Heating Apartment_Solid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COMM!N9&amp;"_"&amp;RIGHT(O20,LEN(O20)-3)&amp;"_"&amp;SETUP!B64</f>
        <v>RSH_Apt_BIOWOO_X0</v>
      </c>
      <c r="N20" s="747" t="str">
        <f>COMM!O9&amp;"_"&amp;COMM!E16&amp;"_"&amp;SETUP!C64</f>
        <v>Residential Space Heating Apartment_Biomass and Renewable Waste to Residential_Existing 00</v>
      </c>
      <c r="O20" s="747" t="str">
        <f>COMM!D16</f>
        <v>RSDBIOWOO</v>
      </c>
      <c r="P20" s="747" t="str">
        <f>COMM!$N$9</f>
        <v>RSH_Apt</v>
      </c>
      <c r="Q20" s="945">
        <f>(E20+E21+E22+E23)/SUM($E$7:$E$25)</f>
        <v>1.3872815217068756E-3</v>
      </c>
      <c r="R20" s="946">
        <f>Q20*DwellingStocks!$I$38/1000</f>
        <v>0.28688827187008514</v>
      </c>
      <c r="S20" s="947">
        <f>(R20*1000)/(E20+E21+E22+E23)*DwellingStocks!$T$37</f>
        <v>1.1396707013624292</v>
      </c>
      <c r="T20" s="948">
        <f>(G21+G22+G23)/300</f>
        <v>0.6880451127819549</v>
      </c>
      <c r="U20" s="948">
        <f t="shared" si="2"/>
        <v>3.0627306157788154E-2</v>
      </c>
      <c r="V20" s="949">
        <v>20</v>
      </c>
      <c r="W20" s="949">
        <v>1</v>
      </c>
      <c r="X20" s="950">
        <f t="shared" si="3"/>
        <v>8.7866149356438609E-3</v>
      </c>
      <c r="Y20" s="950">
        <f>IF(((D20+I20+D21+I21+D22+I22+D23+I23)*$B$2)&lt;=0,0,((D20+I20+D21+I21+D22+I22+D23+I23)*S20*$B$2))</f>
        <v>6.0455874643666899E-3</v>
      </c>
      <c r="Z20" s="722"/>
      <c r="AA20" s="83" t="s">
        <v>311</v>
      </c>
      <c r="AB20" s="83" t="str">
        <f t="shared" si="4"/>
        <v>RSH_Apt_BIOWOO_X0</v>
      </c>
      <c r="AC20" s="83" t="str">
        <f t="shared" si="5"/>
        <v>Residential Space Heating Apartment_Biomass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COMM!N9&amp;"_"&amp;RIGHT(O21,LEN(O21)-3)&amp;"_"&amp;SETUP!B64</f>
        <v>RSH_Apt_HET_X0</v>
      </c>
      <c r="N21" s="951" t="str">
        <f>COMM!O9&amp;"_"&amp;COMM!E25&amp;"_"&amp;SETUP!C64</f>
        <v>Residential Space Heating Apartment_Heat to Residential_Existing 00</v>
      </c>
      <c r="O21" s="83" t="str">
        <f>COMM!D25</f>
        <v>RSDHET</v>
      </c>
      <c r="P21" s="83" t="str">
        <f>COMM!$N$9</f>
        <v>RSH_Apt</v>
      </c>
      <c r="Q21" s="952">
        <f>E24/SUM($E$7:$E$25)</f>
        <v>6.5039021929434102E-2</v>
      </c>
      <c r="R21" s="953">
        <f>Q21*DwellingStocks!$I$38/1000</f>
        <v>13.449997216497518</v>
      </c>
      <c r="S21" s="954">
        <f>(R21*1000)/E24*DwellingStocks!$T$37</f>
        <v>1.139670701362429</v>
      </c>
      <c r="T21" s="955">
        <f>G24/100</f>
        <v>0.39838442187649958</v>
      </c>
      <c r="U21" s="955">
        <f t="shared" si="2"/>
        <v>7.0009344710218946E-3</v>
      </c>
      <c r="V21" s="956">
        <v>20</v>
      </c>
      <c r="W21" s="956">
        <v>1</v>
      </c>
      <c r="X21" s="957">
        <f>Y21/T21</f>
        <v>9.416254914812601E-2</v>
      </c>
      <c r="Y21" s="958">
        <f>IF(((D24+I24)*$B$2)&lt;=0,0,((D24+I24)*S21*$B$2))</f>
        <v>3.751289270479366E-2</v>
      </c>
      <c r="Z21" s="722"/>
      <c r="AA21" s="747" t="s">
        <v>311</v>
      </c>
      <c r="AB21" s="747" t="str">
        <f t="shared" si="4"/>
        <v>RSH_Apt_HET_X0</v>
      </c>
      <c r="AC21" s="747" t="str">
        <f t="shared" si="5"/>
        <v>Residential Space Heating Apartment_Heat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659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1258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4"/>
      <c r="N25" s="944"/>
      <c r="O25" s="944"/>
      <c r="P25" s="944"/>
      <c r="Q25" s="944"/>
      <c r="R25" s="939">
        <f>SUM(R6:R23)</f>
        <v>206.79888499999998</v>
      </c>
      <c r="S25" s="944"/>
      <c r="T25" s="944"/>
      <c r="U25" s="944"/>
      <c r="V25" s="944"/>
      <c r="W25" s="944"/>
      <c r="X25" s="933">
        <f>SUM(X6:X23)</f>
        <v>3.0845886029545531</v>
      </c>
      <c r="Y25" s="933">
        <f>SUM(Y6:Y23)</f>
        <v>2.7241682742596565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41" t="s">
        <v>1247</v>
      </c>
      <c r="C28" s="1042"/>
      <c r="D28" s="1042"/>
      <c r="E28" s="1042"/>
      <c r="F28" s="1042"/>
      <c r="G28" s="1043"/>
      <c r="H28" s="1041" t="s">
        <v>1248</v>
      </c>
      <c r="I28" s="1042"/>
      <c r="J28" s="1043"/>
      <c r="K28" s="702"/>
      <c r="L28" s="73" t="s">
        <v>1301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1242</v>
      </c>
      <c r="V28" s="86" t="s">
        <v>304</v>
      </c>
      <c r="W28" s="86" t="s">
        <v>316</v>
      </c>
      <c r="X28" s="86" t="s">
        <v>1241</v>
      </c>
      <c r="Y28" s="91" t="s">
        <v>1240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1244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1243</v>
      </c>
      <c r="K29" s="702"/>
      <c r="L29" s="74" t="s">
        <v>1302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673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COMM!$N$15&amp;"_"&amp;RIGHT(O31,LEN(O31)-3)&amp;"_"&amp;SETUP!$B$64</f>
        <v>RWH_Apt_COA_X0</v>
      </c>
      <c r="N31" s="747" t="str">
        <f>COMM!$O$15&amp;"_"&amp;COMM!E6&amp;"_"&amp;SETUP!$C$64</f>
        <v>Residential Water Heating Apartment_Coal to Residential_Existing 00</v>
      </c>
      <c r="O31" s="747" t="str">
        <f>COMM!$D$6</f>
        <v>RSDCOA</v>
      </c>
      <c r="P31" s="747" t="str">
        <f>COMM!$N$15</f>
        <v>RWH_Apt</v>
      </c>
      <c r="Q31" s="945">
        <f>(E31+E38+E40)/SUM($E$31:$E$49)</f>
        <v>1.7814815366955382E-3</v>
      </c>
      <c r="R31" s="946">
        <f>Q31*DwellingStocks!$I$38/1000</f>
        <v>0.36840839543672382</v>
      </c>
      <c r="S31" s="947">
        <f>IFERROR((R31*1000)/(E31+E38+E40),0)</f>
        <v>1.5414577214925682</v>
      </c>
      <c r="T31" s="948">
        <f>T7</f>
        <v>0.59018803418803423</v>
      </c>
      <c r="U31" s="948">
        <f>IFERROR(X31/R31/W31,0)</f>
        <v>2.6638250283516851E-2</v>
      </c>
      <c r="V31" s="949">
        <v>20</v>
      </c>
      <c r="W31" s="949">
        <v>1</v>
      </c>
      <c r="X31" s="950">
        <f>Y31/T31</f>
        <v>9.8137550441922961E-3</v>
      </c>
      <c r="Y31" s="950">
        <f>IF(((D31+I31+D38+I38+D40+I40)*$B$2)&lt;=0,0,((D31+I31+D38+I38+D40+I40)*S31*$B$2))</f>
        <v>5.7919607975347566E-3</v>
      </c>
      <c r="Z31" s="702"/>
      <c r="AA31" s="747" t="s">
        <v>311</v>
      </c>
      <c r="AB31" s="747" t="str">
        <f>M31</f>
        <v>RWH_Apt_COA_X0</v>
      </c>
      <c r="AC31" s="747" t="str">
        <f>N31</f>
        <v>Residential Water Heating Apartment_Coal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COMM!$N$15&amp;"_"&amp;RIGHT(O32,LEN(O32)-3)&amp;"_"&amp;SETUP!$B$64</f>
        <v>RWH_Apt_BIODST_X0</v>
      </c>
      <c r="N32" s="951" t="str">
        <f>COMM!$O$15&amp;"_"&amp;COMM!E21&amp;"_"&amp;SETUP!$C$64</f>
        <v>Residential Water Heating Apartment_Biodiesel to Residential_Existing 00</v>
      </c>
      <c r="O32" s="83" t="str">
        <f>COMM!$D$21</f>
        <v>RSDBIODST</v>
      </c>
      <c r="P32" s="83" t="str">
        <f>COMM!$N$15</f>
        <v>RWH_Apt</v>
      </c>
      <c r="Q32" s="952">
        <f>E32/SUM($E$31:$E$49)</f>
        <v>2.9815590572310261E-5</v>
      </c>
      <c r="R32" s="953">
        <f>Q32*DwellingStocks!$I$38/1000</f>
        <v>6.1658308859702726E-3</v>
      </c>
      <c r="S32" s="954">
        <f>IFERROR((R32*1000)/E32,0)</f>
        <v>1.5414577214925682</v>
      </c>
      <c r="T32" s="963">
        <f t="shared" ref="T32:T34" si="6">T8</f>
        <v>0.9</v>
      </c>
      <c r="U32" s="955">
        <f>X32/R32/W32</f>
        <v>8.7659999999999995E-3</v>
      </c>
      <c r="V32" s="956">
        <v>20</v>
      </c>
      <c r="W32" s="956">
        <v>1</v>
      </c>
      <c r="X32" s="957">
        <f>Y32/T32</f>
        <v>5.4049673546415409E-5</v>
      </c>
      <c r="Y32" s="958">
        <f>IF(((D32+I32)*$B$2)&lt;=0,0,((D32+I32)*S32*$B$2))</f>
        <v>4.8644706191773872E-5</v>
      </c>
      <c r="Z32" s="702"/>
      <c r="AA32" s="83" t="s">
        <v>311</v>
      </c>
      <c r="AB32" s="83" t="str">
        <f t="shared" ref="AB32:AB34" si="7">M32</f>
        <v>RWH_Apt_BIODST_X0</v>
      </c>
      <c r="AC32" s="83" t="str">
        <f t="shared" ref="AC32:AC34" si="8">N32</f>
        <v>Residential Water Heating Apartment_Biodiesel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COMM!$N$15&amp;"_"&amp;RIGHT(O33,LEN(O33)-3)&amp;"_"&amp;SETUP!$B$64</f>
        <v>RWH_Apt_BIOETH_X0</v>
      </c>
      <c r="N33" s="747" t="str">
        <f>COMM!$O$15&amp;"_"&amp;COMM!E20&amp;"_"&amp;SETUP!$C$64</f>
        <v>Residential Water Heating Apartment_Ethanol to Residential_Existing 00</v>
      </c>
      <c r="O33" s="747" t="str">
        <f>COMM!$D$20</f>
        <v>RSDBIOETH</v>
      </c>
      <c r="P33" s="747" t="str">
        <f>COMM!$N$15</f>
        <v>RWH_Apt</v>
      </c>
      <c r="Q33" s="945">
        <f>E33/SUM($E$31:$E$49)</f>
        <v>2.2361692929232695E-5</v>
      </c>
      <c r="R33" s="946">
        <f>Q33*DwellingStocks!$I$38/1000</f>
        <v>4.6243731644777042E-3</v>
      </c>
      <c r="S33" s="947">
        <f>IFERROR((R33*1000)/E33,0)</f>
        <v>1.5414577214925682</v>
      </c>
      <c r="T33" s="964">
        <f t="shared" si="6"/>
        <v>0.9</v>
      </c>
      <c r="U33" s="948">
        <f t="shared" ref="U33:U35" si="9">X33/R33/W33</f>
        <v>1.0561333333333336E-2</v>
      </c>
      <c r="V33" s="949">
        <v>20</v>
      </c>
      <c r="W33" s="949">
        <v>1</v>
      </c>
      <c r="X33" s="950">
        <f t="shared" ref="X33:X35" si="10">Y33/T33</f>
        <v>4.8839546447770535E-5</v>
      </c>
      <c r="Y33" s="950">
        <f>IF(((D33+I33)*$B$2)&lt;=0,0,((D33+I33)*S33*$B$2))</f>
        <v>4.395559180299348E-5</v>
      </c>
      <c r="Z33" s="702"/>
      <c r="AA33" s="747" t="s">
        <v>311</v>
      </c>
      <c r="AB33" s="747" t="str">
        <f t="shared" si="7"/>
        <v>RWH_Apt_BIOETH_X0</v>
      </c>
      <c r="AC33" s="747" t="str">
        <f t="shared" si="8"/>
        <v>Residential Water Heating Apartment_Ethanol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COMM!$N$15&amp;"_"&amp;RIGHT(O34,LEN(O34)-3)&amp;"_"&amp;SETUP!$B$64</f>
        <v>RWH_Apt_OILLPG_X0</v>
      </c>
      <c r="N34" s="951" t="str">
        <f>COMM!$O$15&amp;"_"&amp;COMM!E8&amp;"_"&amp;SETUP!$C$64</f>
        <v>Residential Water Heating Apartment_LPG to Residential_Existing 00</v>
      </c>
      <c r="O34" s="83" t="str">
        <f>COMM!$D$8</f>
        <v>RSDOILLPG</v>
      </c>
      <c r="P34" s="83" t="str">
        <f>COMM!$N$15</f>
        <v>RWH_Apt</v>
      </c>
      <c r="Q34" s="952">
        <f>(E34+E35)/SUM($E$31:$E$49)</f>
        <v>1.4348752962924313E-2</v>
      </c>
      <c r="R34" s="953">
        <f>(Q34)*DwellingStocks!$I$38/1000</f>
        <v>2.9673061138731938</v>
      </c>
      <c r="S34" s="954">
        <f>IFERROR((R34*1000)/(E34+E35),0)</f>
        <v>1.5414577214925682</v>
      </c>
      <c r="T34" s="955">
        <f t="shared" si="6"/>
        <v>0.80677902621722841</v>
      </c>
      <c r="U34" s="955">
        <f t="shared" si="9"/>
        <v>1.3555947507893434E-2</v>
      </c>
      <c r="V34" s="956">
        <v>20</v>
      </c>
      <c r="W34" s="956">
        <v>1</v>
      </c>
      <c r="X34" s="957">
        <f t="shared" si="10"/>
        <v>4.0224645919516272E-2</v>
      </c>
      <c r="Y34" s="958">
        <f>IF(((D34+I34+D35+I35)*$B$2)&lt;=0,0,((D34+I34+D35+I35)*S34*$B$2))</f>
        <v>3.245240066488015E-2</v>
      </c>
      <c r="Z34" s="702"/>
      <c r="AA34" s="83" t="s">
        <v>311</v>
      </c>
      <c r="AB34" s="83" t="str">
        <f t="shared" si="7"/>
        <v>RWH_Apt_OILLPG_X0</v>
      </c>
      <c r="AC34" s="83" t="str">
        <f t="shared" si="8"/>
        <v>Residential Water Heating Apartment_LPG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COMM!$N$15&amp;"_"&amp;RIGHT(O36,LEN(O36)-3)&amp;"_"&amp;SETUP!$B$64</f>
        <v>RWH_Apt_ELC_X0</v>
      </c>
      <c r="N35" s="747" t="str">
        <f>COMM!$O$15&amp;"_"&amp;COMM!E24&amp;"_"&amp;SETUP!$C$64</f>
        <v>Residential Water Heating Apartment_Electricity to Residential_Existing 00</v>
      </c>
      <c r="O35" s="747" t="str">
        <f>COMM!$D$24</f>
        <v>RSDELC</v>
      </c>
      <c r="P35" s="747" t="str">
        <f>COMM!$N$15</f>
        <v>RWH_Apt</v>
      </c>
      <c r="Q35" s="945">
        <f>E49/SUM($E$31:$E$49)</f>
        <v>0.28154862177432577</v>
      </c>
      <c r="R35" s="946">
        <f>Q35*DwellingStocks!$I$38/1000</f>
        <v>58.223941056217285</v>
      </c>
      <c r="S35" s="947">
        <f>IFERROR((R35*1000)/E49,0)</f>
        <v>1.5414577214925682</v>
      </c>
      <c r="T35" s="948">
        <f>T11</f>
        <v>1</v>
      </c>
      <c r="U35" s="948">
        <f t="shared" si="9"/>
        <v>8.0335910939320129E-3</v>
      </c>
      <c r="V35" s="949">
        <v>20</v>
      </c>
      <c r="W35" s="949">
        <v>1</v>
      </c>
      <c r="X35" s="950">
        <f t="shared" si="10"/>
        <v>0.46774733432284965</v>
      </c>
      <c r="Y35" s="950">
        <f>IF(((D49+I49)*$B$2)&lt;=0,0,((D49+I49)*S35*$B$2))</f>
        <v>0.46774733432284965</v>
      </c>
      <c r="Z35" s="702"/>
      <c r="AA35" s="747" t="s">
        <v>311</v>
      </c>
      <c r="AB35" s="747" t="str">
        <f t="shared" ref="AB35" si="11">M35</f>
        <v>RWH_Apt_ELC_X0</v>
      </c>
      <c r="AC35" s="747" t="str">
        <f t="shared" ref="AC35" si="12">N35</f>
        <v>Residential Water Heating Apartment_Electricity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1257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COMM!$N$15&amp;"_"&amp;RIGHT(O36,LEN(O36)-3)&amp;"_"&amp;SETUP!$B$65</f>
        <v>RWH_Apt_ELC_X1</v>
      </c>
      <c r="N36" s="951" t="str">
        <f>COMM!$O$15&amp;"_"&amp;COMM!E24&amp;"_"&amp;SETUP!$C$65</f>
        <v>Residential Water Heating Apartment_Electricity to Residential_Existing 01</v>
      </c>
      <c r="O36" s="83" t="str">
        <f>COMM!$D$24</f>
        <v>RSDELC</v>
      </c>
      <c r="P36" s="83" t="str">
        <f>COMM!$N$15</f>
        <v>RWH_Apt</v>
      </c>
      <c r="Q36" s="952">
        <f>E36/SUM($E$31:$E$49)</f>
        <v>0.19799788309306937</v>
      </c>
      <c r="R36" s="953">
        <f>Q36*DwellingStocks!$I$38/1000</f>
        <v>40.945741456007092</v>
      </c>
      <c r="S36" s="954">
        <f>IFERROR((R36*1000)/E36,0)</f>
        <v>1.5414577214925682</v>
      </c>
      <c r="T36" s="955">
        <f>T12</f>
        <v>3.0701960784313722</v>
      </c>
      <c r="U36" s="955">
        <f t="shared" ref="U36:U41" si="13">X36/R36/W36</f>
        <v>3.7208012181010591E-3</v>
      </c>
      <c r="V36" s="956">
        <v>20</v>
      </c>
      <c r="W36" s="956">
        <v>1</v>
      </c>
      <c r="X36" s="957">
        <f t="shared" ref="X36:X41" si="14">Y36/T36</f>
        <v>0.15235096468556222</v>
      </c>
      <c r="Y36" s="958">
        <f>IF(((D49+I49)*$B$2)&lt;=0,0,((D49+I49)*S36*$B$2))</f>
        <v>0.46774733432284965</v>
      </c>
      <c r="Z36" s="702"/>
      <c r="AA36" s="83" t="s">
        <v>311</v>
      </c>
      <c r="AB36" s="83" t="str">
        <f t="shared" ref="AB36:AB41" si="15">M36</f>
        <v>RWH_Apt_ELC_X1</v>
      </c>
      <c r="AC36" s="83" t="str">
        <f t="shared" ref="AC36:AC41" si="16">N36</f>
        <v>Residential Water Heating Apartment_Electricity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COMM!$N$15&amp;"_"&amp;RIGHT(O37,LEN(O37)-3)&amp;"_"&amp;SETUP!$B$64</f>
        <v>RWH_Apt_OILKER_X0</v>
      </c>
      <c r="N37" s="747" t="str">
        <f>COMM!$O$15&amp;"_"&amp;COMM!E10&amp;"_"&amp;SETUP!$C$64</f>
        <v>Residential Water Heating Apartment_Kerosene to Residential_Existing 00</v>
      </c>
      <c r="O37" s="747" t="str">
        <f>COMM!$D$10</f>
        <v>RSDOILKER</v>
      </c>
      <c r="P37" s="747" t="str">
        <f>COMM!$N$15</f>
        <v>RWH_Apt</v>
      </c>
      <c r="Q37" s="945">
        <f>E37/SUM($E$31:$E$49)</f>
        <v>2.8369534429553214E-2</v>
      </c>
      <c r="R37" s="946">
        <f>Q37*DwellingStocks!$I$38/1000</f>
        <v>5.8667880880007148</v>
      </c>
      <c r="S37" s="947">
        <f t="shared" ref="S37:S39" si="17">IFERROR((R37*1000)/E37,0)</f>
        <v>1.5414577214925684</v>
      </c>
      <c r="T37" s="948">
        <f t="shared" ref="T37:T41" si="18">T13</f>
        <v>0.81016216216216219</v>
      </c>
      <c r="U37" s="948">
        <f t="shared" si="13"/>
        <v>1.8330791548635653E-2</v>
      </c>
      <c r="V37" s="949">
        <v>20</v>
      </c>
      <c r="W37" s="949">
        <v>1</v>
      </c>
      <c r="X37" s="950">
        <f t="shared" si="14"/>
        <v>0.10754286950115982</v>
      </c>
      <c r="Y37" s="950">
        <f t="shared" ref="Y37:Y39" si="19">IF(((D37+I37)*$B$2)&lt;=0,0,((D37+I37)*S37*$B$2))</f>
        <v>8.712716368018289E-2</v>
      </c>
      <c r="Z37" s="702"/>
      <c r="AA37" s="747" t="s">
        <v>311</v>
      </c>
      <c r="AB37" s="747" t="str">
        <f t="shared" si="15"/>
        <v>RWH_Apt_OILKER_X0</v>
      </c>
      <c r="AC37" s="747" t="str">
        <f t="shared" si="16"/>
        <v>Residential Water Heating Apartment_Kerosene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2" t="s">
        <v>295</v>
      </c>
      <c r="M38" s="959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COMM!$N$15&amp;"_"&amp;RIGHT(O39,LEN(O39)-3)&amp;"_"&amp;SETUP!$B$64</f>
        <v>RWH_Apt_GASNAT_X0</v>
      </c>
      <c r="N39" s="747" t="str">
        <f>COMM!$O$15&amp;"_"&amp;COMM!E14&amp;"_"&amp;SETUP!$C$64</f>
        <v>Residential Water Heating Apartment_Natural Gas to Residential_Existing 00</v>
      </c>
      <c r="O39" s="747" t="str">
        <f>COMM!$D$14</f>
        <v>RSDGASNAT</v>
      </c>
      <c r="P39" s="747" t="str">
        <f>COMM!$N$15</f>
        <v>RWH_Apt</v>
      </c>
      <c r="Q39" s="945">
        <f>E39/SUM($E$31:$E$49)</f>
        <v>0.40622996765008423</v>
      </c>
      <c r="R39" s="946">
        <f>Q39*DwellingStocks!$I$38/1000</f>
        <v>84.007904363623481</v>
      </c>
      <c r="S39" s="947">
        <f t="shared" si="17"/>
        <v>1.5414577214925684</v>
      </c>
      <c r="T39" s="948">
        <f t="shared" si="18"/>
        <v>0.81026881720430111</v>
      </c>
      <c r="U39" s="948">
        <f t="shared" si="13"/>
        <v>1.5169379737380098E-2</v>
      </c>
      <c r="V39" s="949">
        <v>20</v>
      </c>
      <c r="W39" s="949">
        <v>1</v>
      </c>
      <c r="X39" s="950">
        <f t="shared" si="14"/>
        <v>1.2743478022333152</v>
      </c>
      <c r="Y39" s="950">
        <f t="shared" si="19"/>
        <v>1.0325642864224889</v>
      </c>
      <c r="Z39" s="702"/>
      <c r="AA39" s="747" t="s">
        <v>311</v>
      </c>
      <c r="AB39" s="747" t="str">
        <f t="shared" si="15"/>
        <v>RWH_Apt_GASNAT_X0</v>
      </c>
      <c r="AC39" s="747" t="str">
        <f t="shared" si="16"/>
        <v>Residential Water Heating Apartment_Natural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674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2" t="s">
        <v>295</v>
      </c>
      <c r="M40" s="959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COMM!$N$15&amp;"_"&amp;RIGHT(O41,LEN(O41)-3)&amp;"_"&amp;SETUP!$B$64</f>
        <v>RWH_Apt_PEA_X0</v>
      </c>
      <c r="N41" s="747" t="str">
        <f>COMM!$O$15&amp;"_"&amp;COMM!E7&amp;"_"&amp;SETUP!$C$64</f>
        <v>Residential Water Heating Apartment_Peat to Residential_Existing 00</v>
      </c>
      <c r="O41" s="747" t="str">
        <f>COMM!$D$7</f>
        <v>RSDPEA</v>
      </c>
      <c r="P41" s="747" t="str">
        <f>COMM!$N$15</f>
        <v>RWH_Apt</v>
      </c>
      <c r="Q41" s="945">
        <f>(E41+E42)/SUM($E$31:$E$49)</f>
        <v>9.6900669360008349E-5</v>
      </c>
      <c r="R41" s="946">
        <f>Q41*DwellingStocks!$I$38/1000</f>
        <v>2.0038950379403387E-2</v>
      </c>
      <c r="S41" s="947">
        <f>(R41*1000)/(E42+E41)</f>
        <v>1.5414577214925684</v>
      </c>
      <c r="T41" s="948">
        <f t="shared" si="18"/>
        <v>0.52500000000000002</v>
      </c>
      <c r="U41" s="948">
        <f t="shared" si="13"/>
        <v>3.1107692307692305E-2</v>
      </c>
      <c r="V41" s="949">
        <v>20</v>
      </c>
      <c r="W41" s="949">
        <v>1</v>
      </c>
      <c r="X41" s="950">
        <f t="shared" si="14"/>
        <v>6.2336550257159455E-4</v>
      </c>
      <c r="Y41" s="950">
        <f>IF(((D41+I41+D42+I42)*$B$2)&lt;=0,0,((D41+I41+D42+I42)*S41*$B$2))</f>
        <v>3.2726688885008717E-4</v>
      </c>
      <c r="Z41" s="702"/>
      <c r="AA41" s="747" t="s">
        <v>311</v>
      </c>
      <c r="AB41" s="747" t="str">
        <f t="shared" si="15"/>
        <v>RWH_Apt_PEA_X0</v>
      </c>
      <c r="AC41" s="747" t="str">
        <f t="shared" si="16"/>
        <v>Residential Water Heating Apartment_Peat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2" t="s">
        <v>295</v>
      </c>
      <c r="M42" s="959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COMM!N15&amp;"_"&amp;RIGHT(COMM!D23,LEN(COMM!D23)-3)&amp;"_"&amp;SETUP!B64</f>
        <v>RWH_Apt_SMF_X0</v>
      </c>
      <c r="N43" s="951" t="str">
        <f>COMM!O15&amp;"_"&amp;COMM!E23&amp;"_"&amp;SETUP!C64</f>
        <v>Residential Water Heating Apartment_Solid Multi-Fuel_Existing 00</v>
      </c>
      <c r="O43" s="83" t="str">
        <f>COMM!D6&amp;","&amp;COMM!D7&amp;","&amp;COMM!D16</f>
        <v>RSDCOA,RSDPEA,RSDBIOWOO</v>
      </c>
      <c r="P43" s="83" t="str">
        <f>COMM!$N$15</f>
        <v>RWH_Apt</v>
      </c>
      <c r="Q43" s="952">
        <f>E43/SUM($E$31:$E$49)</f>
        <v>2.9070200808002503E-3</v>
      </c>
      <c r="R43" s="953">
        <f>Q43*DwellingStocks!$I$38/1000</f>
        <v>0.6011685113821017</v>
      </c>
      <c r="S43" s="954">
        <f>(R43*1000)/E43</f>
        <v>1.5414577214925684</v>
      </c>
      <c r="T43" s="955">
        <f>T19</f>
        <v>0.58177777777777773</v>
      </c>
      <c r="U43" s="955">
        <f t="shared" ref="U43:U45" si="20">X43/R43/W43</f>
        <v>2.7684829288358703E-2</v>
      </c>
      <c r="V43" s="956">
        <v>20</v>
      </c>
      <c r="W43" s="956">
        <v>1</v>
      </c>
      <c r="X43" s="957">
        <f t="shared" ref="X43" si="21">Y43/T43</f>
        <v>1.664324761115021E-2</v>
      </c>
      <c r="Y43" s="958">
        <f>IF(((D43+I43)*$B$2)&lt;=0,0,((D43+I43)*S43*$B$2))</f>
        <v>9.6826716102202774E-3</v>
      </c>
      <c r="Z43" s="702"/>
      <c r="AA43" s="747" t="s">
        <v>311</v>
      </c>
      <c r="AB43" s="747" t="str">
        <f t="shared" ref="AB43:AB45" si="22">M43</f>
        <v>RWH_Apt_SMF_X0</v>
      </c>
      <c r="AC43" s="747" t="str">
        <f t="shared" ref="AC43:AC45" si="23">N43</f>
        <v>Residential Water Heating Apartment_Solid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COMM!N15&amp;"_"&amp;RIGHT(O44,LEN(O44)-3)&amp;"_"&amp;SETUP!B64</f>
        <v>RWH_Apt_BIOWOO_X0</v>
      </c>
      <c r="N44" s="747" t="str">
        <f>COMM!O15&amp;"_"&amp;COMM!E16&amp;"_"&amp;SETUP!C64</f>
        <v>Residential Water Heating Apartment_Biomass and Renewable Waste to Residential_Existing 00</v>
      </c>
      <c r="O44" s="747" t="str">
        <f>COMM!D16</f>
        <v>RSDBIOWOO</v>
      </c>
      <c r="P44" s="747" t="str">
        <f>COMM!$N$15</f>
        <v>RWH_Apt</v>
      </c>
      <c r="Q44" s="945">
        <f>(E47+E44+E45+E46)/SUM($E$31:$E$49)</f>
        <v>1.319339882824729E-3</v>
      </c>
      <c r="R44" s="946">
        <f>Q44*DwellingStocks!$I$38/1000</f>
        <v>0.27283801670418462</v>
      </c>
      <c r="S44" s="947">
        <f>(R44*1000)/(E47+E44+E45+E46)</f>
        <v>1.5414577214925684</v>
      </c>
      <c r="T44" s="948">
        <f t="shared" ref="T44:T45" si="24">T20</f>
        <v>0.6880451127819549</v>
      </c>
      <c r="U44" s="948">
        <f t="shared" si="20"/>
        <v>1.7764050015836003E-2</v>
      </c>
      <c r="V44" s="949">
        <v>20</v>
      </c>
      <c r="W44" s="949">
        <v>1</v>
      </c>
      <c r="X44" s="950">
        <f>Y44/T44</f>
        <v>4.846708174954634E-3</v>
      </c>
      <c r="Y44" s="950">
        <f>IF(((D44+I44+D45+I45+D46+I46+D47+I47)*$B$2)&lt;=0,0,((D44+I44+D45+I45+D46+I46+D47+I47)*S44*$B$2))</f>
        <v>3.3347538728578843E-3</v>
      </c>
      <c r="Z44" s="702"/>
      <c r="AA44" s="83" t="s">
        <v>311</v>
      </c>
      <c r="AB44" s="83" t="str">
        <f t="shared" si="22"/>
        <v>RWH_Apt_BIOWOO_X0</v>
      </c>
      <c r="AC44" s="83" t="str">
        <f t="shared" si="23"/>
        <v>Residential Water Heating Apartment_Biomass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COMM!N15&amp;"_"&amp;RIGHT(O45,LEN(O45)-3)&amp;"_"&amp;SETUP!B64</f>
        <v>RWH_Apt_HET_X0</v>
      </c>
      <c r="N45" s="951" t="str">
        <f>COMM!O15&amp;"_"&amp;COMM!E25&amp;"_"&amp;SETUP!C64</f>
        <v>Residential Water Heating Apartment_Heat to Residential_Existing 00</v>
      </c>
      <c r="O45" s="83" t="str">
        <f>COMM!D25</f>
        <v>RSDHET</v>
      </c>
      <c r="P45" s="83" t="str">
        <f>COMM!$N$15</f>
        <v>RWH_Apt</v>
      </c>
      <c r="Q45" s="952">
        <f>E48/SUM($E$31:$E$49)</f>
        <v>6.534832063686101E-2</v>
      </c>
      <c r="R45" s="953">
        <f>Q45*DwellingStocks!$I$38/1000</f>
        <v>13.513959844325345</v>
      </c>
      <c r="S45" s="954">
        <f>(R45*1000)/E48</f>
        <v>1.5414577214925682</v>
      </c>
      <c r="T45" s="955">
        <f t="shared" si="24"/>
        <v>0.39838442187649958</v>
      </c>
      <c r="U45" s="955">
        <f t="shared" si="20"/>
        <v>1.9297841688663006E-3</v>
      </c>
      <c r="V45" s="956">
        <v>20</v>
      </c>
      <c r="W45" s="956">
        <v>1</v>
      </c>
      <c r="X45" s="957">
        <f>Y45/T45</f>
        <v>2.6079025766273949E-2</v>
      </c>
      <c r="Y45" s="958">
        <f>IF(((D48+I48)*$B$2)&lt;=0,0,((D48+I48)*S45*$B$2))</f>
        <v>1.0389477602999384E-2</v>
      </c>
      <c r="Z45" s="702"/>
      <c r="AA45" s="747" t="s">
        <v>311</v>
      </c>
      <c r="AB45" s="747" t="str">
        <f t="shared" si="22"/>
        <v>RWH_Apt_HET_X0</v>
      </c>
      <c r="AC45" s="747" t="str">
        <f t="shared" si="23"/>
        <v>Residential Water Heating Apartment_Heat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2" t="s">
        <v>295</v>
      </c>
      <c r="M46" s="959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2" t="s">
        <v>295</v>
      </c>
      <c r="M47" s="959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659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2" t="s">
        <v>295</v>
      </c>
      <c r="M48" s="959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1258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4"/>
      <c r="N49" s="944"/>
      <c r="O49" s="944"/>
      <c r="P49" s="944"/>
      <c r="Q49" s="944"/>
      <c r="R49" s="939">
        <f>SUM(R29:R47)</f>
        <v>206.79888499999998</v>
      </c>
      <c r="S49" s="944"/>
      <c r="T49" s="944"/>
      <c r="U49" s="944"/>
      <c r="V49" s="944"/>
      <c r="W49" s="944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1252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1252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587</v>
      </c>
      <c r="H52" s="647" t="s">
        <v>476</v>
      </c>
      <c r="J52" s="702"/>
      <c r="K52" s="702"/>
      <c r="L52" s="73" t="s">
        <v>1301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1242</v>
      </c>
      <c r="V52" s="86" t="s">
        <v>304</v>
      </c>
      <c r="W52" s="86" t="s">
        <v>316</v>
      </c>
      <c r="X52" s="86" t="s">
        <v>1241</v>
      </c>
      <c r="Y52" s="91" t="s">
        <v>1240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1302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COMM!N18&amp;"_"&amp;SETUP!B64</f>
        <v>RLT_Apt_X0</v>
      </c>
      <c r="N54" s="920" t="str">
        <f>COMM!$O$18&amp;"_"&amp;SETUP!$B$64</f>
        <v>Residential Lighting Apartment_X0</v>
      </c>
      <c r="O54" s="747" t="str">
        <f>COMM!D24</f>
        <v>RSDELC</v>
      </c>
      <c r="P54" s="920" t="str">
        <f>COMM!$N$18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 t="shared" ref="U54:U55" si="25"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 t="shared" ref="AB54" si="26">M54</f>
        <v>RLT_Apt_X0</v>
      </c>
      <c r="AC54" s="747" t="str">
        <f t="shared" ref="AC54" si="27">N54</f>
        <v>Residential Lighting Apartment_X0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COMM!$N$21&amp;"_"&amp;SETUP!$B$64</f>
        <v>RPF_Apt_X0</v>
      </c>
      <c r="N55" s="925" t="str">
        <f>COMM!$O$21&amp;"_"&amp;SETUP!$B$64</f>
        <v>Residential Pumps &amp; Fans Apartment_X0</v>
      </c>
      <c r="O55" s="83" t="str">
        <f>COMM!D24</f>
        <v>RSDELC</v>
      </c>
      <c r="P55" s="148" t="str">
        <f>COMM!$N$21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si="25"/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 t="shared" ref="AB55" si="28">M55</f>
        <v>RPF_Apt_X0</v>
      </c>
      <c r="AC55" s="83" t="str">
        <f t="shared" ref="AC55" si="29">N55</f>
        <v>Residential Pumps &amp; Fans Apartment_X0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5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T4" zoomScaleNormal="100" workbookViewId="0">
      <selection activeCell="L4" sqref="L4:L55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1253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1249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669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591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591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41" t="s">
        <v>1247</v>
      </c>
      <c r="C4" s="1042"/>
      <c r="D4" s="1042"/>
      <c r="E4" s="1042"/>
      <c r="F4" s="1042"/>
      <c r="G4" s="1043"/>
      <c r="H4" s="1041" t="s">
        <v>1248</v>
      </c>
      <c r="I4" s="1042"/>
      <c r="J4" s="1043"/>
      <c r="K4" s="702"/>
      <c r="L4" s="73" t="s">
        <v>1301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1242</v>
      </c>
      <c r="V4" s="86" t="s">
        <v>304</v>
      </c>
      <c r="W4" s="86" t="s">
        <v>316</v>
      </c>
      <c r="X4" s="86" t="s">
        <v>1241</v>
      </c>
      <c r="Y4" s="91" t="s">
        <v>1240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1251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1251</v>
      </c>
      <c r="K5" s="702"/>
      <c r="L5" s="74" t="s">
        <v>1302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673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COMM!$N$10&amp;"_"&amp;RIGHT(O7,LEN(O7)-3)&amp;"_"&amp;SETUP!$B$64</f>
        <v>RSH_Att_COA_X0</v>
      </c>
      <c r="N7" s="747" t="str">
        <f>COMM!$O$10&amp;"_"&amp;COMM!E6&amp;"_"&amp;SETUP!$C$64</f>
        <v>Residential Space Heating Attached_Coal to Residential_Existing 00</v>
      </c>
      <c r="O7" s="747" t="str">
        <f>COMM!$D$6</f>
        <v>RSDCOA</v>
      </c>
      <c r="P7" s="747" t="str">
        <f>COMM!$N$10</f>
        <v>RSH_Att</v>
      </c>
      <c r="Q7" s="945">
        <f>(E7+E14+E16)/SUM($E$7:$E$25)</f>
        <v>1.6565651697171984E-2</v>
      </c>
      <c r="R7" s="946">
        <f>Q7*DwellingStocks!$J$38/1000</f>
        <v>12.695115687614317</v>
      </c>
      <c r="S7" s="947">
        <f>(R7*1000)/(E7+E14+E16)*DwellingStocks!$U$37</f>
        <v>1.292107031499923</v>
      </c>
      <c r="T7" s="948">
        <f>(G7+G14+G16)/300</f>
        <v>0.55798087905732663</v>
      </c>
      <c r="U7" s="948">
        <f>X7/R7/W7</f>
        <v>0.34726720966847063</v>
      </c>
      <c r="V7" s="949">
        <v>20</v>
      </c>
      <c r="W7" s="949">
        <v>1</v>
      </c>
      <c r="X7" s="950">
        <f>Y7/T7</f>
        <v>4.4085974012562517</v>
      </c>
      <c r="Y7" s="950">
        <f>IF(((D7+I7+D14+I14+D16+I16)*$B$2)&lt;=0,0,((D7+I7+D14+I14+D16+I16)*S7*$B$2))</f>
        <v>2.4599130533628091</v>
      </c>
      <c r="Z7" s="722"/>
      <c r="AA7" s="747" t="s">
        <v>311</v>
      </c>
      <c r="AB7" s="747" t="str">
        <f>M7</f>
        <v>RSH_Att_COA_X0</v>
      </c>
      <c r="AC7" s="747" t="str">
        <f>N7</f>
        <v>Residential Space Heating Attached_Coal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COMM!$N$10&amp;"_"&amp;RIGHT(O8,LEN(O8)-3)&amp;"_"&amp;SETUP!$B$64</f>
        <v>RSH_Att_BIODST_X0</v>
      </c>
      <c r="N8" s="83" t="str">
        <f>COMM!$O$10&amp;"_"&amp;COMM!E21&amp;"_"&amp;SETUP!$C$64</f>
        <v>Residential Space Heating Attached_Biodiesel to Residential_Existing 00</v>
      </c>
      <c r="O8" s="83" t="str">
        <f>COMM!$D$21</f>
        <v>RSDBIODST</v>
      </c>
      <c r="P8" s="83" t="str">
        <f>COMM!$N$10</f>
        <v>RSH_Att</v>
      </c>
      <c r="Q8" s="952">
        <f>E8/SUM($E$7:$E$25)</f>
        <v>2.4098998686604574E-6</v>
      </c>
      <c r="R8" s="953">
        <f>Q8*DwellingStocks!$J$38/1000</f>
        <v>1.8468309117856149E-3</v>
      </c>
      <c r="S8" s="954">
        <f>(R8*1000)/E8*DwellingStocks!$U$37</f>
        <v>1.292107031499923</v>
      </c>
      <c r="T8" s="955">
        <f>(G8)/100</f>
        <v>1</v>
      </c>
      <c r="U8" s="955">
        <f>X8/R8/W8</f>
        <v>1.5552879869479678E-2</v>
      </c>
      <c r="V8" s="956">
        <v>20</v>
      </c>
      <c r="W8" s="956">
        <v>1</v>
      </c>
      <c r="X8" s="957">
        <f>Y8/T8</f>
        <v>2.872353931024329E-5</v>
      </c>
      <c r="Y8" s="958">
        <f>IF(((D8+I8)*$B$2)&lt;=0,0,((D8+I8)*S8*$B$2))</f>
        <v>2.872353931024329E-5</v>
      </c>
      <c r="Z8" s="722"/>
      <c r="AA8" s="83" t="s">
        <v>311</v>
      </c>
      <c r="AB8" s="83" t="str">
        <f t="shared" ref="AB8:AC21" si="0">M8</f>
        <v>RSH_Att_BIODST_X0</v>
      </c>
      <c r="AC8" s="83" t="str">
        <f t="shared" si="0"/>
        <v>Residential Space Heating Attached_Biodiesel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COMM!N10&amp;"_"&amp;RIGHT(O9,LEN(O9)-3)&amp;"_"&amp;SETUP!B64</f>
        <v>RSH_Att_BIOETH_X0</v>
      </c>
      <c r="N9" s="747" t="str">
        <f>COMM!O10&amp;"_"&amp;COMM!E20&amp;"_"&amp;SETUP!C64</f>
        <v>Residential Space Heating Attached_Ethanol to Residential_Existing 00</v>
      </c>
      <c r="O9" s="747" t="str">
        <f>COMM!$D$20</f>
        <v>RSDBIOETH</v>
      </c>
      <c r="P9" s="747" t="str">
        <f>COMM!$N$10</f>
        <v>RSH_Att</v>
      </c>
      <c r="Q9" s="945">
        <f>E9/SUM($E$7:$E$25)</f>
        <v>0</v>
      </c>
      <c r="R9" s="946">
        <f>Q9*DwellingStocks!$J$38/1000</f>
        <v>0</v>
      </c>
      <c r="S9" s="947">
        <f>IFERROR((R9*1000)/E9*DwellingStocks!$U$37,0)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RSH_Att_BIOETH_X0</v>
      </c>
      <c r="AC9" s="747" t="str">
        <f t="shared" si="0"/>
        <v>Residential Space Heating Attached_Ethanol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COMM!N10&amp;"_"&amp;RIGHT(O10,LEN(O10)-3)&amp;"_"&amp;SETUP!B64</f>
        <v>RSH_Att_OILLPG_X0</v>
      </c>
      <c r="N10" s="83" t="str">
        <f>COMM!O10&amp;"_"&amp;COMM!E8&amp;"_"&amp;SETUP!C64</f>
        <v>Residential Space Heating Attached_LPG to Residential_Existing 00</v>
      </c>
      <c r="O10" s="83" t="str">
        <f>COMM!$D$8</f>
        <v>RSDOILLPG</v>
      </c>
      <c r="P10" s="83" t="str">
        <f>COMM!$N$10</f>
        <v>RSH_Att</v>
      </c>
      <c r="Q10" s="952">
        <f>(E10+E11)/SUM($E$7:$E$25)</f>
        <v>1.1165066091503898E-2</v>
      </c>
      <c r="R10" s="953">
        <f>(Q10)*DwellingStocks!$J$38/1000</f>
        <v>8.5563676143027525</v>
      </c>
      <c r="S10" s="954">
        <f>(R10*1000)/(E10+E11)*DwellingStocks!$U$37</f>
        <v>1.292107031499923</v>
      </c>
      <c r="T10" s="955">
        <f>(G10+G11)/200</f>
        <v>0.8070757743362833</v>
      </c>
      <c r="U10" s="955">
        <f t="shared" ref="U10:U21" si="1">X10/R10/W10</f>
        <v>3.2707125228181297E-2</v>
      </c>
      <c r="V10" s="956">
        <v>20</v>
      </c>
      <c r="W10" s="956">
        <v>1</v>
      </c>
      <c r="X10" s="957">
        <f t="shared" ref="X10:X20" si="2">Y10/T10</f>
        <v>0.279854187059355</v>
      </c>
      <c r="Y10" s="958">
        <f>IF(((D10+I10+D11+I11)*S10*$B$2)&lt;=0,0,((D10+I10+D11+I11)*S10*$B$2))</f>
        <v>0.22586353472217999</v>
      </c>
      <c r="Z10" s="722"/>
      <c r="AA10" s="83" t="s">
        <v>311</v>
      </c>
      <c r="AB10" s="83" t="str">
        <f t="shared" si="0"/>
        <v>RSH_Att_OILLPG_X0</v>
      </c>
      <c r="AC10" s="83" t="str">
        <f t="shared" si="0"/>
        <v>Residential Space Heating Attached_LPG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COMM!N10&amp;"_"&amp;RIGHT(O12,LEN(O12)-3)&amp;"_"&amp;SETUP!B64</f>
        <v>RSH_Att_ELC_X0</v>
      </c>
      <c r="N11" s="747" t="str">
        <f>COMM!O10&amp;"_"&amp;COMM!E24&amp;"_"&amp;SETUP!C64</f>
        <v>Residential Space Heating Attached_Electricity to Residential_Existing 00</v>
      </c>
      <c r="O11" s="747" t="str">
        <f>COMM!$D$24</f>
        <v>RSDELC</v>
      </c>
      <c r="P11" s="747" t="str">
        <f>COMM!$N$10</f>
        <v>RSH_Att</v>
      </c>
      <c r="Q11" s="945">
        <f>E25/SUM($E$7:$E$25)</f>
        <v>3.0714173826077527E-2</v>
      </c>
      <c r="R11" s="946">
        <f>(Q11)*DwellingStocks!$J$38/1000</f>
        <v>23.537859970707661</v>
      </c>
      <c r="S11" s="947">
        <f>(R11*1000)/(E25)*DwellingStocks!$U$37</f>
        <v>1.292107031499923</v>
      </c>
      <c r="T11" s="948">
        <f>(G25)/100</f>
        <v>1</v>
      </c>
      <c r="U11" s="948">
        <f t="shared" si="1"/>
        <v>2.9988398348673333E-2</v>
      </c>
      <c r="V11" s="949">
        <v>20</v>
      </c>
      <c r="W11" s="949">
        <v>1</v>
      </c>
      <c r="X11" s="950">
        <f t="shared" si="2"/>
        <v>0.70586272107687376</v>
      </c>
      <c r="Y11" s="950">
        <f>IF(((D25+I25)*S11*$B$2)&lt;=0,0,((D25+I25)*S11*$B$2))</f>
        <v>0.70586272107687376</v>
      </c>
      <c r="Z11" s="722"/>
      <c r="AA11" s="747" t="s">
        <v>311</v>
      </c>
      <c r="AB11" s="747" t="str">
        <f t="shared" si="0"/>
        <v>RSH_Att_ELC_X0</v>
      </c>
      <c r="AC11" s="747" t="str">
        <f t="shared" si="0"/>
        <v>Residential Space Heating Attached_Electricity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1257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COMM!N10&amp;"_"&amp;RIGHT(O12,LEN(O12)-3)&amp;"_"&amp;SETUP!B65</f>
        <v>RSH_Att_ELC_X1</v>
      </c>
      <c r="N12" s="83" t="str">
        <f>COMM!O10&amp;"_"&amp;COMM!E24&amp;"_"&amp;SETUP!C65</f>
        <v>Residential Space Heating Attached_Electricity to Residential_Existing 01</v>
      </c>
      <c r="O12" s="83" t="str">
        <f>COMM!$D$24</f>
        <v>RSDELC</v>
      </c>
      <c r="P12" s="83" t="str">
        <f>COMM!$N$10</f>
        <v>RSH_Att</v>
      </c>
      <c r="Q12" s="952">
        <f>E12/SUM($E$7:$E$25)</f>
        <v>5.3020207010398716E-2</v>
      </c>
      <c r="R12" s="953">
        <f>Q12*DwellingStocks!$J$38/1000</f>
        <v>40.632126890195309</v>
      </c>
      <c r="S12" s="954">
        <f>(R12*1000)/E12*DwellingStocks!$U$37</f>
        <v>1.292107031499923</v>
      </c>
      <c r="T12" s="955">
        <f>G12/100</f>
        <v>3.1157627118644071</v>
      </c>
      <c r="U12" s="955">
        <f t="shared" si="1"/>
        <v>1.6619905799124676E-3</v>
      </c>
      <c r="V12" s="956">
        <v>20</v>
      </c>
      <c r="W12" s="956">
        <v>1</v>
      </c>
      <c r="X12" s="957">
        <f t="shared" si="2"/>
        <v>6.7530212133312673E-2</v>
      </c>
      <c r="Y12" s="958">
        <f>IF(((D12+I12)*S12*$B$2)&lt;=0,0,((D12+I12)*S12*$B$2))</f>
        <v>0.210408116889269</v>
      </c>
      <c r="Z12" s="722"/>
      <c r="AA12" s="83" t="s">
        <v>311</v>
      </c>
      <c r="AB12" s="83" t="str">
        <f t="shared" si="0"/>
        <v>RSH_Att_ELC_X1</v>
      </c>
      <c r="AC12" s="83" t="str">
        <f t="shared" si="0"/>
        <v>Residential Space Heating Attached_Electricity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COMM!N10&amp;"_"&amp;RIGHT(O13,LEN(O13)-3)&amp;"_"&amp;SETUP!B64</f>
        <v>RSH_Att_OILKER_X0</v>
      </c>
      <c r="N13" s="747" t="str">
        <f>COMM!O10&amp;"_"&amp;COMM!E10&amp;"_"&amp;SETUP!C64</f>
        <v>Residential Space Heating Attached_Kerosene to Residential_Existing 00</v>
      </c>
      <c r="O13" s="747" t="str">
        <f>COMM!$D$10</f>
        <v>RSDOILKER</v>
      </c>
      <c r="P13" s="747" t="str">
        <f>COMM!$N$10</f>
        <v>RSH_Att</v>
      </c>
      <c r="Q13" s="945">
        <f>E13/SUM($E$7:$E$25)</f>
        <v>0.29959152197226208</v>
      </c>
      <c r="R13" s="946">
        <f>Q13*DwellingStocks!$J$38/1000</f>
        <v>229.5924784604523</v>
      </c>
      <c r="S13" s="947">
        <f>(R13*1000)/E13*DwellingStocks!$U$37</f>
        <v>1.292107031499923</v>
      </c>
      <c r="T13" s="948">
        <f>G13/100</f>
        <v>0.81941558441558437</v>
      </c>
      <c r="U13" s="948">
        <f t="shared" si="1"/>
        <v>3.5601883556879516E-2</v>
      </c>
      <c r="V13" s="949">
        <v>20</v>
      </c>
      <c r="W13" s="949">
        <v>1</v>
      </c>
      <c r="X13" s="950">
        <f t="shared" si="2"/>
        <v>8.1739246836843904</v>
      </c>
      <c r="Y13" s="950">
        <f>IF(((D13+I13)*$B$2)&lt;=0,0,((D13+I13)*S13*$B$2))</f>
        <v>6.6978412716502147</v>
      </c>
      <c r="Z13" s="722"/>
      <c r="AA13" s="747" t="s">
        <v>311</v>
      </c>
      <c r="AB13" s="747" t="str">
        <f t="shared" si="0"/>
        <v>RSH_Att_OILKER_X0</v>
      </c>
      <c r="AC13" s="747" t="str">
        <f t="shared" si="0"/>
        <v>Residential Space Heating Attached_Kerosene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COMM!N10&amp;"_"&amp;RIGHT(O15,LEN(O15)-3)&amp;"_"&amp;SETUP!B64</f>
        <v>RSH_Att_GASNAT_X0</v>
      </c>
      <c r="N15" s="747" t="str">
        <f>COMM!O10&amp;"_"&amp;COMM!E14&amp;"_"&amp;SETUP!C64</f>
        <v>Residential Space Heating Attached_Natural Gas to Residential_Existing 00</v>
      </c>
      <c r="O15" s="747" t="str">
        <f>COMM!$D$14</f>
        <v>RSDGASNAT</v>
      </c>
      <c r="P15" s="747" t="str">
        <f>COMM!$N$10</f>
        <v>RSH_Att</v>
      </c>
      <c r="Q15" s="945">
        <f>E15/SUM($E$7:$E$25)</f>
        <v>0.54312877299948192</v>
      </c>
      <c r="R15" s="946">
        <f>Q15*DwellingStocks!$J$38/1000</f>
        <v>416.2276699127712</v>
      </c>
      <c r="S15" s="947">
        <f>(R15*1000)/E15*DwellingStocks!$U$37</f>
        <v>1.292107031499923</v>
      </c>
      <c r="T15" s="948">
        <f>G15/100</f>
        <v>0.81729411764705884</v>
      </c>
      <c r="U15" s="948">
        <f t="shared" si="1"/>
        <v>3.3079183321616135E-2</v>
      </c>
      <c r="V15" s="949">
        <v>20</v>
      </c>
      <c r="W15" s="949">
        <v>1</v>
      </c>
      <c r="X15" s="950">
        <f t="shared" si="2"/>
        <v>13.768471396573686</v>
      </c>
      <c r="Y15" s="950">
        <f>IF(((D15+I15)*$B$2)&lt;=0,0,((D15+I15)*S15*$B$2))</f>
        <v>11.252890681411458</v>
      </c>
      <c r="Z15" s="722"/>
      <c r="AA15" s="747" t="s">
        <v>311</v>
      </c>
      <c r="AB15" s="747" t="str">
        <f t="shared" si="0"/>
        <v>RSH_Att_GASNAT_X0</v>
      </c>
      <c r="AC15" s="747" t="str">
        <f t="shared" si="0"/>
        <v>Residential Space Heating Attached_Natural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674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COMM!N10&amp;"_"&amp;RIGHT(O17,LEN(O17)-3)&amp;"_"&amp;SETUP!B64</f>
        <v>RSH_Att_PEA_X0</v>
      </c>
      <c r="N17" s="747" t="str">
        <f>COMM!O10&amp;"_"&amp;COMM!E7&amp;"_"&amp;SETUP!C64</f>
        <v>Residential Space Heating Attached_Peat to Residential_Existing 00</v>
      </c>
      <c r="O17" s="747" t="str">
        <f>COMM!D7</f>
        <v>RSDPEA</v>
      </c>
      <c r="P17" s="747" t="str">
        <f>COMM!$N$10</f>
        <v>RSH_Att</v>
      </c>
      <c r="Q17" s="945">
        <f>(E17+E18)/SUM($E$7:$E$25)</f>
        <v>1.4917280187008229E-3</v>
      </c>
      <c r="R17" s="946">
        <f>Q17*DwellingStocks!$J$38/1000</f>
        <v>1.1431883343952955</v>
      </c>
      <c r="S17" s="947">
        <f>(R17*1000)/(E17+E18)*DwellingStocks!$U$37</f>
        <v>1.2921070314999228</v>
      </c>
      <c r="T17" s="948">
        <f>(G17+G18)/200</f>
        <v>0.5509294871794872</v>
      </c>
      <c r="U17" s="948">
        <f t="shared" si="1"/>
        <v>0.14731647589278563</v>
      </c>
      <c r="V17" s="949">
        <v>20</v>
      </c>
      <c r="W17" s="949">
        <v>1</v>
      </c>
      <c r="X17" s="950">
        <f t="shared" si="2"/>
        <v>0.16841047670485831</v>
      </c>
      <c r="Y17" s="950">
        <f>IF(((D17+I17)+D18+I18*$B$2)&lt;=0,0,((D17+I17+D18+I18)*S17*$B$2))</f>
        <v>9.2782297566660565E-2</v>
      </c>
      <c r="Z17" s="722"/>
      <c r="AA17" s="747" t="s">
        <v>311</v>
      </c>
      <c r="AB17" s="747" t="str">
        <f t="shared" si="0"/>
        <v>RSH_Att_PEA_X0</v>
      </c>
      <c r="AC17" s="747" t="str">
        <f t="shared" si="0"/>
        <v>Residential Space Heating Attached_Peat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COMM!N10&amp;"_"&amp;RIGHT(COMM!D23,LEN(COMM!D23)-3)&amp;"_"&amp;SETUP!B64</f>
        <v>RSH_Att_SMF_X0</v>
      </c>
      <c r="N19" s="951" t="str">
        <f>COMM!O10&amp;"_"&amp;COMM!E23&amp;"_"&amp;SETUP!C64</f>
        <v>Residential Space Heating Attached_Solid Multi-Fuel_Existing 00</v>
      </c>
      <c r="O19" s="83" t="str">
        <f>COMM!D6&amp;","&amp;COMM!D7&amp;","&amp;COMM!D16</f>
        <v>RSDCOA,RSDPEA,RSDBIOWOO</v>
      </c>
      <c r="P19" s="83" t="str">
        <f>COMM!$N$10</f>
        <v>RSH_Att</v>
      </c>
      <c r="Q19" s="952">
        <f>E19/SUM($E$7:$E$25)</f>
        <v>4.0705618681543779E-2</v>
      </c>
      <c r="R19" s="953">
        <f>Q19*DwellingStocks!$J$38/1000</f>
        <v>31.194820930970817</v>
      </c>
      <c r="S19" s="954">
        <f>(R19*1000)/E19*DwellingStocks!$U$37</f>
        <v>1.292107031499923</v>
      </c>
      <c r="T19" s="955">
        <f>G19/100</f>
        <v>0.57113772455089817</v>
      </c>
      <c r="U19" s="955">
        <f t="shared" si="1"/>
        <v>0.1593520576629803</v>
      </c>
      <c r="V19" s="956">
        <v>20</v>
      </c>
      <c r="W19" s="956">
        <v>1</v>
      </c>
      <c r="X19" s="957">
        <f t="shared" si="2"/>
        <v>4.9709589037784063</v>
      </c>
      <c r="Y19" s="958">
        <f>IF(((D19+I19)*$B$2)&lt;=0,0,((D19+I19)*S19*$B$2))</f>
        <v>2.8391021571400263</v>
      </c>
      <c r="Z19" s="722"/>
      <c r="AA19" s="747" t="s">
        <v>311</v>
      </c>
      <c r="AB19" s="747" t="str">
        <f t="shared" si="0"/>
        <v>RSH_Att_SMF_X0</v>
      </c>
      <c r="AC19" s="747" t="str">
        <f t="shared" si="0"/>
        <v>Residential Space Heating Attached_Solid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COMM!N10&amp;"_"&amp;RIGHT(O20,LEN(O20)-3)&amp;"_"&amp;SETUP!B64</f>
        <v>RSH_Att_BIOWOO_X0</v>
      </c>
      <c r="N20" s="747" t="str">
        <f>COMM!O10&amp;"_"&amp;COMM!E16&amp;"_"&amp;SETUP!C64</f>
        <v>Residential Space Heating Attached_Biomass and Renewable Waste to Residential_Existing 00</v>
      </c>
      <c r="O20" s="747" t="str">
        <f>COMM!D16</f>
        <v>RSDBIOWOO</v>
      </c>
      <c r="P20" s="747" t="str">
        <f>COMM!$N$10</f>
        <v>RSH_Att</v>
      </c>
      <c r="Q20" s="945">
        <f>(E20+E21+E22+E23)/SUM($E$7:$E$25)</f>
        <v>1.1639816365630008E-3</v>
      </c>
      <c r="R20" s="946">
        <f>Q20*DwellingStocks!$J$38/1000</f>
        <v>0.89201933039245196</v>
      </c>
      <c r="S20" s="947">
        <f>(R20*1000)/(E20+E21+E22+E23)*DwellingStocks!$U$37</f>
        <v>1.292107031499923</v>
      </c>
      <c r="T20" s="948">
        <f>(G21+G22+G23)/300</f>
        <v>0.70400656814449913</v>
      </c>
      <c r="U20" s="948">
        <f t="shared" si="1"/>
        <v>0.12711109770661033</v>
      </c>
      <c r="V20" s="949">
        <v>20</v>
      </c>
      <c r="W20" s="949">
        <v>1</v>
      </c>
      <c r="X20" s="950">
        <f t="shared" si="2"/>
        <v>0.11338555626170008</v>
      </c>
      <c r="Y20" s="950">
        <f>IF(((D20+I20+D21+I21+D22+I22+D23+I23)*$B$2)&lt;=0,0,((D20+I20+D21+I21+D22+I22+D23+I23)*S20*$B$2))</f>
        <v>7.9824176340954497E-2</v>
      </c>
      <c r="Z20" s="722"/>
      <c r="AA20" s="83" t="s">
        <v>311</v>
      </c>
      <c r="AB20" s="83" t="str">
        <f t="shared" si="0"/>
        <v>RSH_Att_BIOWOO_X0</v>
      </c>
      <c r="AC20" s="83" t="str">
        <f t="shared" si="0"/>
        <v>Residential Space Heating Attached_Biomass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COMM!N10&amp;"_"&amp;RIGHT(O21,LEN(O21)-3)&amp;"_"&amp;SETUP!B64</f>
        <v>RSH_Att_HET_X0</v>
      </c>
      <c r="N21" s="951" t="str">
        <f>COMM!O10&amp;"_"&amp;COMM!E25&amp;"_"&amp;SETUP!C64</f>
        <v>Residential Space Heating Attached_Heat to Residential_Existing 00</v>
      </c>
      <c r="O21" s="83" t="str">
        <f>COMM!D25</f>
        <v>RSDHET</v>
      </c>
      <c r="P21" s="83" t="str">
        <f>COMM!$N$10</f>
        <v>RSH_Att</v>
      </c>
      <c r="Q21" s="952">
        <f>E24/SUM($E$7:$E$25)</f>
        <v>2.4508681664276851E-3</v>
      </c>
      <c r="R21" s="953">
        <f>Q21*DwellingStocks!$J$38/1000</f>
        <v>1.8782270372859704</v>
      </c>
      <c r="S21" s="954">
        <f>(R21*1000)/E24*DwellingStocks!$U$37</f>
        <v>1.292107031499923</v>
      </c>
      <c r="T21" s="955">
        <f>G24/100</f>
        <v>0.60949973059968388</v>
      </c>
      <c r="U21" s="955">
        <f t="shared" si="1"/>
        <v>3.8833869683419862E-2</v>
      </c>
      <c r="V21" s="956">
        <v>20</v>
      </c>
      <c r="W21" s="956">
        <v>1</v>
      </c>
      <c r="X21" s="957">
        <f>Y21/T21</f>
        <v>7.2938824001839153E-2</v>
      </c>
      <c r="Y21" s="958">
        <f>IF(((D24+I24)*$B$2)&lt;=0,0,((D24+I24)*S21*$B$2))</f>
        <v>4.4456193579378724E-2</v>
      </c>
      <c r="Z21" s="722"/>
      <c r="AA21" s="747" t="s">
        <v>311</v>
      </c>
      <c r="AB21" s="747" t="str">
        <f t="shared" si="0"/>
        <v>RSH_Att_HET_X0</v>
      </c>
      <c r="AC21" s="747" t="str">
        <f t="shared" si="0"/>
        <v>Residential Space Heating Attached_Heat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659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1258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4"/>
      <c r="N25" s="944"/>
      <c r="O25" s="944"/>
      <c r="P25" s="944"/>
      <c r="Q25" s="944"/>
      <c r="R25" s="939">
        <f>SUM(R6:R23)</f>
        <v>766.35172099999988</v>
      </c>
      <c r="S25" s="944"/>
      <c r="T25" s="944"/>
      <c r="U25" s="944"/>
      <c r="V25" s="944"/>
      <c r="W25" s="944"/>
      <c r="X25" s="933">
        <f>SUM(X6:X23)</f>
        <v>32.729963086069979</v>
      </c>
      <c r="Y25" s="933">
        <f>SUM(Y6:Y23)</f>
        <v>24.608972927279133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590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590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41" t="s">
        <v>1247</v>
      </c>
      <c r="C28" s="1042"/>
      <c r="D28" s="1042"/>
      <c r="E28" s="1042"/>
      <c r="F28" s="1042"/>
      <c r="G28" s="1043"/>
      <c r="H28" s="1041" t="s">
        <v>1248</v>
      </c>
      <c r="I28" s="1042"/>
      <c r="J28" s="1043"/>
      <c r="K28" s="702"/>
      <c r="L28" s="73" t="s">
        <v>1301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1242</v>
      </c>
      <c r="V28" s="86" t="s">
        <v>304</v>
      </c>
      <c r="W28" s="86" t="s">
        <v>316</v>
      </c>
      <c r="X28" s="86" t="s">
        <v>1241</v>
      </c>
      <c r="Y28" s="91" t="s">
        <v>1240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1244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1243</v>
      </c>
      <c r="K29" s="702"/>
      <c r="L29" s="74" t="s">
        <v>1302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673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COMM!$N$16&amp;"_"&amp;RIGHT(O31,LEN(O31)-3)&amp;"_"&amp;SETUP!$B$64</f>
        <v>RWH_Att_COA_X0</v>
      </c>
      <c r="N31" s="747" t="str">
        <f>COMM!$O$16&amp;"_"&amp;COMM!E6&amp;"_"&amp;SETUP!$C$64</f>
        <v>Residential Water Heating Attached_Coal to Residential_Existing 00</v>
      </c>
      <c r="O31" s="747" t="str">
        <f>COMM!$D$6</f>
        <v>RSDCOA</v>
      </c>
      <c r="P31" s="747" t="str">
        <f>COMM!$N$16</f>
        <v>RWH_Att</v>
      </c>
      <c r="Q31" s="945">
        <f>(E31+E38+E40)/SUM($E$31:$E$49)</f>
        <v>1.5434448447584457E-2</v>
      </c>
      <c r="R31" s="946">
        <f>Q31*DwellingStocks!$J$38/1000</f>
        <v>11.828216130492125</v>
      </c>
      <c r="S31" s="947">
        <f>IFERROR((R31*1000)/(E31+E38+E40),0)</f>
        <v>1.8580295523864474</v>
      </c>
      <c r="T31" s="948">
        <f>T7</f>
        <v>0.55798087905732663</v>
      </c>
      <c r="U31" s="948">
        <f>IFERROR(X31/R31/W31,0)</f>
        <v>3.1943107097924667E-2</v>
      </c>
      <c r="V31" s="949">
        <v>20</v>
      </c>
      <c r="W31" s="949">
        <v>1</v>
      </c>
      <c r="X31" s="950">
        <f>Y31/T31</f>
        <v>0.37782997463371004</v>
      </c>
      <c r="Y31" s="950">
        <f>IF(((D31+I31+D38+I38+D40+I40)*$B$2)&lt;=0,0,((D31+I31+D38+I38+D40+I40)*S31*$B$2))</f>
        <v>0.21082190138032494</v>
      </c>
      <c r="Z31" s="702"/>
      <c r="AA31" s="747" t="s">
        <v>311</v>
      </c>
      <c r="AB31" s="747" t="str">
        <f>M31</f>
        <v>RWH_Att_COA_X0</v>
      </c>
      <c r="AC31" s="747" t="str">
        <f>N31</f>
        <v>Residential Water Heating Attached_Coal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COMM!$N$16&amp;"_"&amp;RIGHT(O32,LEN(O32)-3)&amp;"_"&amp;SETUP!$B$64</f>
        <v>RWH_Att_BIODST_X0</v>
      </c>
      <c r="N32" s="951" t="str">
        <f>COMM!$O$16&amp;"_"&amp;COMM!E21&amp;"_"&amp;SETUP!$C$64</f>
        <v>Residential Water Heating Attached_Biodiesel to Residential_Existing 00</v>
      </c>
      <c r="O32" s="83" t="str">
        <f>COMM!$D$21</f>
        <v>RSDBIODST</v>
      </c>
      <c r="P32" s="83" t="str">
        <f>COMM!$N$16</f>
        <v>RWH_Att</v>
      </c>
      <c r="Q32" s="952">
        <f>E32/SUM($E$31:$E$49)</f>
        <v>7.2735383824620442E-6</v>
      </c>
      <c r="R32" s="953">
        <f>Q32*DwellingStocks!$J$38/1000</f>
        <v>5.574088657159343E-3</v>
      </c>
      <c r="S32" s="954">
        <f>IFERROR((R32*1000)/E32,0)</f>
        <v>1.8580295523864476</v>
      </c>
      <c r="T32" s="955">
        <f t="shared" ref="T32:T34" si="3">T8</f>
        <v>1</v>
      </c>
      <c r="U32" s="955">
        <f>X32/R32/W32</f>
        <v>1.4020800000000002E-2</v>
      </c>
      <c r="V32" s="956">
        <v>20</v>
      </c>
      <c r="W32" s="956">
        <v>1</v>
      </c>
      <c r="X32" s="957">
        <f>Y32/T32</f>
        <v>7.8153182244299725E-5</v>
      </c>
      <c r="Y32" s="958">
        <f>IF(((D32+I32)*$B$2)&lt;=0,0,((D32+I32)*S32*$B$2))</f>
        <v>7.8153182244299725E-5</v>
      </c>
      <c r="Z32" s="702"/>
      <c r="AA32" s="83" t="s">
        <v>311</v>
      </c>
      <c r="AB32" s="83" t="str">
        <f t="shared" ref="AB32:AC41" si="4">M32</f>
        <v>RWH_Att_BIODST_X0</v>
      </c>
      <c r="AC32" s="83" t="str">
        <f t="shared" si="4"/>
        <v>Residential Water Heating Attached_Biodiesel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COMM!$N$16&amp;"_"&amp;RIGHT(O33,LEN(O33)-3)&amp;"_"&amp;SETUP!$B$64</f>
        <v>RWH_Att_BIOETH_X0</v>
      </c>
      <c r="N33" s="747" t="str">
        <f>COMM!$O$16&amp;"_"&amp;COMM!E20&amp;"_"&amp;SETUP!$C$64</f>
        <v>Residential Water Heating Attached_Ethanol to Residential_Existing 00</v>
      </c>
      <c r="O33" s="747" t="str">
        <f>COMM!$D$20</f>
        <v>RSDBIOETH</v>
      </c>
      <c r="P33" s="747" t="str">
        <f>COMM!$N$16</f>
        <v>RWH_Att</v>
      </c>
      <c r="Q33" s="945">
        <f>E33/SUM($E$31:$E$49)</f>
        <v>2.4245127941540146E-6</v>
      </c>
      <c r="R33" s="946">
        <f>Q33*DwellingStocks!$J$38/1000</f>
        <v>1.8580295523864473E-3</v>
      </c>
      <c r="S33" s="947">
        <f>IFERROR((R33*1000)/E33,0)</f>
        <v>1.8580295523864474</v>
      </c>
      <c r="T33" s="964">
        <v>0.9</v>
      </c>
      <c r="U33" s="948">
        <f>IFERROR(X33/R33/W33,0)</f>
        <v>1.3083999999999998E-2</v>
      </c>
      <c r="V33" s="949">
        <v>20</v>
      </c>
      <c r="W33" s="949">
        <v>1</v>
      </c>
      <c r="X33" s="950">
        <f>IFERROR(Y33/T33,0)</f>
        <v>2.4310458663424274E-5</v>
      </c>
      <c r="Y33" s="950">
        <f>IF(((D33+I33)*$B$2)&lt;=0,0,((D33+I33)*S33*$B$2))</f>
        <v>2.1879412797081848E-5</v>
      </c>
      <c r="Z33" s="702"/>
      <c r="AA33" s="747" t="s">
        <v>311</v>
      </c>
      <c r="AB33" s="747" t="str">
        <f t="shared" si="4"/>
        <v>RWH_Att_BIOETH_X0</v>
      </c>
      <c r="AC33" s="747" t="str">
        <f t="shared" si="4"/>
        <v>Residential Water Heating Attached_Ethanol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COMM!$N$16&amp;"_"&amp;RIGHT(O34,LEN(O34)-3)&amp;"_"&amp;SETUP!$B$64</f>
        <v>RWH_Att_OILLPG_X0</v>
      </c>
      <c r="N34" s="951" t="str">
        <f>COMM!$O$16&amp;"_"&amp;COMM!E8&amp;"_"&amp;SETUP!$C$64</f>
        <v>Residential Water Heating Attached_LPG to Residential_Existing 00</v>
      </c>
      <c r="O34" s="83" t="str">
        <f>COMM!$D$8</f>
        <v>RSDOILLPG</v>
      </c>
      <c r="P34" s="83" t="str">
        <f>COMM!$N$16</f>
        <v>RWH_Att</v>
      </c>
      <c r="Q34" s="952">
        <f>(E34+E35)/SUM($E$31:$E$49)</f>
        <v>1.137096500458233E-2</v>
      </c>
      <c r="R34" s="953">
        <f>(Q34)*DwellingStocks!$J$38/1000</f>
        <v>8.7141586006924392</v>
      </c>
      <c r="S34" s="954">
        <f>IFERROR((R34*1000)/(E34+E35),0)</f>
        <v>1.8580295523864476</v>
      </c>
      <c r="T34" s="955">
        <f t="shared" si="3"/>
        <v>0.8070757743362833</v>
      </c>
      <c r="U34" s="955">
        <f t="shared" ref="U34:U41" si="5">X34/R34/W34</f>
        <v>1.7905864460113989E-2</v>
      </c>
      <c r="V34" s="956">
        <v>20</v>
      </c>
      <c r="W34" s="956">
        <v>1</v>
      </c>
      <c r="X34" s="957">
        <f t="shared" ref="X34:X41" si="6">Y34/T34</f>
        <v>0.15603454278793541</v>
      </c>
      <c r="Y34" s="958">
        <f>IF(((D34+I34+D35+I35)*$B$2)&lt;=0,0,((D34+I34+D35+I35)*S34*$B$2))</f>
        <v>0.12593169944378091</v>
      </c>
      <c r="Z34" s="702"/>
      <c r="AA34" s="83" t="s">
        <v>311</v>
      </c>
      <c r="AB34" s="83" t="str">
        <f t="shared" si="4"/>
        <v>RWH_Att_OILLPG_X0</v>
      </c>
      <c r="AC34" s="83" t="str">
        <f t="shared" si="4"/>
        <v>Residential Water Heating Attached_LPG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COMM!$N$16&amp;"_"&amp;RIGHT(O36,LEN(O36)-3)&amp;"_"&amp;SETUP!$B$64</f>
        <v>RWH_Att_ELC_X0</v>
      </c>
      <c r="N35" s="747" t="str">
        <f>COMM!$O$16&amp;"_"&amp;COMM!E24&amp;"_"&amp;SETUP!$C$64</f>
        <v>Residential Water Heating Attached_Electricity to Residential_Existing 00</v>
      </c>
      <c r="O35" s="747" t="str">
        <f>COMM!$D$24</f>
        <v>RSDELC</v>
      </c>
      <c r="P35" s="747" t="str">
        <f>COMM!$N$16</f>
        <v>RWH_Att</v>
      </c>
      <c r="Q35" s="945">
        <f>E49/SUM($E$31:$E$49)</f>
        <v>3.0900415561492919E-2</v>
      </c>
      <c r="R35" s="946">
        <f>Q35*DwellingStocks!$J$38/1000</f>
        <v>23.680586645165274</v>
      </c>
      <c r="S35" s="947">
        <f>IFERROR((R35*1000)/E49,0)</f>
        <v>1.8580295523864474</v>
      </c>
      <c r="T35" s="948">
        <f>T11</f>
        <v>1</v>
      </c>
      <c r="U35" s="948">
        <f t="shared" si="5"/>
        <v>1.2342525570812082E-2</v>
      </c>
      <c r="V35" s="949">
        <v>20</v>
      </c>
      <c r="W35" s="949">
        <v>1</v>
      </c>
      <c r="X35" s="950">
        <f t="shared" si="6"/>
        <v>0.29227824619978349</v>
      </c>
      <c r="Y35" s="950">
        <f>IF(((D49+I49)*$B$2)&lt;=0,0,((D49+I49)*S35*$B$2))</f>
        <v>0.29227824619978349</v>
      </c>
      <c r="Z35" s="702"/>
      <c r="AA35" s="747" t="s">
        <v>311</v>
      </c>
      <c r="AB35" s="747" t="str">
        <f t="shared" si="4"/>
        <v>RWH_Att_ELC_X0</v>
      </c>
      <c r="AC35" s="747" t="str">
        <f t="shared" si="4"/>
        <v>Residential Water Heating Attached_Electricity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1257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COMM!$N$16&amp;"_"&amp;RIGHT(O36,LEN(O36)-3)&amp;"_"&amp;SETUP!$B$65</f>
        <v>RWH_Att_ELC_X1</v>
      </c>
      <c r="N36" s="951" t="str">
        <f>COMM!$O$16&amp;"_"&amp;COMM!E24&amp;"_"&amp;SETUP!$C$65</f>
        <v>Residential Water Heating Attached_Electricity to Residential_Existing 01</v>
      </c>
      <c r="O36" s="83" t="str">
        <f>COMM!$D$24</f>
        <v>RSDELC</v>
      </c>
      <c r="P36" s="83" t="str">
        <f>COMM!$N$16</f>
        <v>RWH_Att</v>
      </c>
      <c r="Q36" s="952">
        <f>E36/SUM($E$31:$E$49)</f>
        <v>5.2599805069171349E-2</v>
      </c>
      <c r="R36" s="953">
        <f>Q36*DwellingStocks!$J$38/1000</f>
        <v>40.30995113902398</v>
      </c>
      <c r="S36" s="954">
        <f>IFERROR((R36*1000)/E36,0)</f>
        <v>1.8580295523864474</v>
      </c>
      <c r="T36" s="955">
        <f>T12</f>
        <v>3.1157627118644071</v>
      </c>
      <c r="U36" s="955">
        <f t="shared" si="5"/>
        <v>2.3271257162816774E-3</v>
      </c>
      <c r="V36" s="956">
        <v>20</v>
      </c>
      <c r="W36" s="956">
        <v>1</v>
      </c>
      <c r="X36" s="957">
        <f t="shared" si="6"/>
        <v>9.3806323917680595E-2</v>
      </c>
      <c r="Y36" s="958">
        <f>IF(((D49+I49)*$B$2)&lt;=0,0,((D49+I49)*S36*$B$2))</f>
        <v>0.29227824619978349</v>
      </c>
      <c r="Z36" s="702"/>
      <c r="AA36" s="83" t="s">
        <v>311</v>
      </c>
      <c r="AB36" s="83" t="str">
        <f t="shared" si="4"/>
        <v>RWH_Att_ELC_X1</v>
      </c>
      <c r="AC36" s="83" t="str">
        <f t="shared" si="4"/>
        <v>Residential Water Heating Attached_Electricity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COMM!$N$16&amp;"_"&amp;RIGHT(O37,LEN(O37)-3)&amp;"_"&amp;SETUP!$B$64</f>
        <v>RWH_Att_OILKER_X0</v>
      </c>
      <c r="N37" s="747" t="str">
        <f>COMM!$O$16&amp;"_"&amp;COMM!E10&amp;"_"&amp;SETUP!$C$64</f>
        <v>Residential Water Heating Attached_Kerosene to Residential_Existing 00</v>
      </c>
      <c r="O37" s="747" t="str">
        <f>COMM!$D$10</f>
        <v>RSDOILKER</v>
      </c>
      <c r="P37" s="747" t="str">
        <f>COMM!$N$16</f>
        <v>RWH_Att</v>
      </c>
      <c r="Q37" s="945">
        <f>E37/SUM($E$31:$E$49)</f>
        <v>0.29961159305037655</v>
      </c>
      <c r="R37" s="946">
        <f>Q37*DwellingStocks!$J$38/1000</f>
        <v>229.60785996570763</v>
      </c>
      <c r="S37" s="947">
        <f t="shared" ref="S37:S39" si="7">IFERROR((R37*1000)/E37,0)</f>
        <v>1.8580295523864476</v>
      </c>
      <c r="T37" s="948">
        <f t="shared" ref="T37:T41" si="8">T13</f>
        <v>0.81941558441558437</v>
      </c>
      <c r="U37" s="948">
        <f t="shared" si="5"/>
        <v>1.8055722857376222E-2</v>
      </c>
      <c r="V37" s="949">
        <v>20</v>
      </c>
      <c r="W37" s="949">
        <v>1</v>
      </c>
      <c r="X37" s="950">
        <f t="shared" si="6"/>
        <v>4.145735885416066</v>
      </c>
      <c r="Y37" s="950">
        <f t="shared" ref="Y37:Y39" si="9">IF(((D37+I37)*$B$2)&lt;=0,0,((D37+I37)*S37*$B$2))</f>
        <v>3.3970805933808661</v>
      </c>
      <c r="Z37" s="702"/>
      <c r="AA37" s="747" t="s">
        <v>311</v>
      </c>
      <c r="AB37" s="747" t="str">
        <f t="shared" si="4"/>
        <v>RWH_Att_OILKER_X0</v>
      </c>
      <c r="AC37" s="747" t="str">
        <f t="shared" si="4"/>
        <v>Residential Water Heating Attached_Kerosene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COMM!$N$16&amp;"_"&amp;RIGHT(O39,LEN(O39)-3)&amp;"_"&amp;SETUP!$B$64</f>
        <v>RWH_Att_GASNAT_X0</v>
      </c>
      <c r="N39" s="747" t="str">
        <f>COMM!$O$16&amp;"_"&amp;COMM!E14&amp;"_"&amp;SETUP!$C$64</f>
        <v>Residential Water Heating Attached_Natural Gas to Residential_Existing 00</v>
      </c>
      <c r="O39" s="747" t="str">
        <f>COMM!$D$14</f>
        <v>RSDGASNAT</v>
      </c>
      <c r="P39" s="747" t="str">
        <f>COMM!$N$16</f>
        <v>RWH_Att</v>
      </c>
      <c r="Q39" s="945">
        <f>E39/SUM($E$31:$E$49)</f>
        <v>0.54443889500404896</v>
      </c>
      <c r="R39" s="946">
        <f>Q39*DwellingStocks!$J$38/1000</f>
        <v>417.23168416569109</v>
      </c>
      <c r="S39" s="947">
        <f t="shared" si="7"/>
        <v>1.8580295523864474</v>
      </c>
      <c r="T39" s="948">
        <f t="shared" si="8"/>
        <v>0.81729411764705884</v>
      </c>
      <c r="U39" s="948">
        <f t="shared" si="5"/>
        <v>1.8087440885698913E-2</v>
      </c>
      <c r="V39" s="949">
        <v>20</v>
      </c>
      <c r="W39" s="949">
        <v>1</v>
      </c>
      <c r="X39" s="950">
        <f t="shared" si="6"/>
        <v>7.5466534229875375</v>
      </c>
      <c r="Y39" s="950">
        <f t="shared" si="9"/>
        <v>6.1678354505287558</v>
      </c>
      <c r="Z39" s="702"/>
      <c r="AA39" s="747" t="s">
        <v>311</v>
      </c>
      <c r="AB39" s="747" t="str">
        <f t="shared" si="4"/>
        <v>RWH_Att_GASNAT_X0</v>
      </c>
      <c r="AC39" s="747" t="str">
        <f t="shared" si="4"/>
        <v>Residential Water Heating Attached_Natural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674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COMM!$N$16&amp;"_"&amp;RIGHT(O41,LEN(O41)-3)&amp;"_"&amp;SETUP!$B$64</f>
        <v>RWH_Att_PEA_X0</v>
      </c>
      <c r="N41" s="747" t="str">
        <f>COMM!$O$16&amp;"_"&amp;COMM!E7&amp;"_"&amp;SETUP!$C$64</f>
        <v>Residential Water Heating Attached_Peat to Residential_Existing 00</v>
      </c>
      <c r="O41" s="747" t="str">
        <f>COMM!$D$7</f>
        <v>RSDPEA</v>
      </c>
      <c r="P41" s="747" t="str">
        <f>COMM!$N$16</f>
        <v>RWH_Att</v>
      </c>
      <c r="Q41" s="945">
        <f>(E41+E42)/SUM($E$31:$E$49)</f>
        <v>1.5516881882585694E-3</v>
      </c>
      <c r="R41" s="946">
        <f>Q41*DwellingStocks!$J$38/1000</f>
        <v>1.1891389135273265</v>
      </c>
      <c r="S41" s="947">
        <f>(R41*1000)/(E42+E41)</f>
        <v>1.8580295523864474</v>
      </c>
      <c r="T41" s="948">
        <f t="shared" si="8"/>
        <v>0.5509294871794872</v>
      </c>
      <c r="U41" s="948">
        <f t="shared" si="5"/>
        <v>3.5816488015591362E-2</v>
      </c>
      <c r="V41" s="949">
        <v>20</v>
      </c>
      <c r="W41" s="949">
        <v>1</v>
      </c>
      <c r="X41" s="950">
        <f t="shared" si="6"/>
        <v>4.259077964522482E-2</v>
      </c>
      <c r="Y41" s="950">
        <f>IF(((D41+I41+D42+I42)*$B$2)&lt;=0,0,((D41+I41+D42+I42)*S41*$B$2))</f>
        <v>2.3464516388518254E-2</v>
      </c>
      <c r="Z41" s="702"/>
      <c r="AA41" s="747" t="s">
        <v>311</v>
      </c>
      <c r="AB41" s="747" t="str">
        <f t="shared" si="4"/>
        <v>RWH_Att_PEA_X0</v>
      </c>
      <c r="AC41" s="747" t="str">
        <f t="shared" si="4"/>
        <v>Residential Water Heating Attached_Peat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COMM!N16&amp;"_"&amp;RIGHT(COMM!D23,LEN(COMM!D23)-3)&amp;"_"&amp;SETUP!B64</f>
        <v>RWH_Att_SMF_X0</v>
      </c>
      <c r="N43" s="951" t="str">
        <f>COMM!O16&amp;"_"&amp;COMM!E23&amp;"_"&amp;SETUP!C64</f>
        <v>Residential Water Heating Attached_Solid Multi-Fuel_Existing 00</v>
      </c>
      <c r="O43" s="83" t="str">
        <f>COMM!D6&amp;","&amp;COMM!D7&amp;","&amp;COMM!D16</f>
        <v>RSDCOA,RSDPEA,RSDBIOWOO</v>
      </c>
      <c r="P43" s="83" t="str">
        <f>COMM!$N$16</f>
        <v>RWH_Att</v>
      </c>
      <c r="Q43" s="952">
        <f>E43/SUM($E$31:$E$49)</f>
        <v>4.0440873406488963E-2</v>
      </c>
      <c r="R43" s="953">
        <f>Q43*DwellingStocks!$J$38/1000</f>
        <v>30.991932933805941</v>
      </c>
      <c r="S43" s="954">
        <f>(R43*1000)/E43</f>
        <v>1.8580295523864472</v>
      </c>
      <c r="T43" s="955">
        <f>T19</f>
        <v>0.57113772455089817</v>
      </c>
      <c r="U43" s="955">
        <f t="shared" ref="U43:U45" si="10">X43/R43/W43</f>
        <v>3.0914465249188772E-2</v>
      </c>
      <c r="V43" s="956">
        <v>20</v>
      </c>
      <c r="W43" s="956">
        <v>1</v>
      </c>
      <c r="X43" s="957">
        <f t="shared" ref="X43" si="11">Y43/T43</f>
        <v>0.95809903368733285</v>
      </c>
      <c r="Y43" s="958">
        <f>IF(((D43+I43)*$B$2)&lt;=0,0,((D43+I43)*S43*$B$2))</f>
        <v>0.54720650199459764</v>
      </c>
      <c r="Z43" s="702"/>
      <c r="AA43" s="747" t="s">
        <v>311</v>
      </c>
      <c r="AB43" s="747" t="str">
        <f t="shared" ref="AB43:AC45" si="12">M43</f>
        <v>RWH_Att_SMF_X0</v>
      </c>
      <c r="AC43" s="747" t="str">
        <f t="shared" si="12"/>
        <v>Residential Water Heating Attached_Solid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COMM!N16&amp;"_"&amp;RIGHT(O44,LEN(O44)-3)&amp;"_"&amp;SETUP!B64</f>
        <v>RWH_Att_BIOWOO_X0</v>
      </c>
      <c r="N44" s="747" t="str">
        <f>COMM!O16&amp;"_"&amp;COMM!E16&amp;"_"&amp;SETUP!C64</f>
        <v>Residential Water Heating Attached_Biomass and Renewable Waste to Residential_Existing 00</v>
      </c>
      <c r="O44" s="747" t="str">
        <f>COMM!D16</f>
        <v>RSDBIOWOO</v>
      </c>
      <c r="P44" s="747" t="str">
        <f>COMM!$N$16</f>
        <v>RWH_Att</v>
      </c>
      <c r="Q44" s="945">
        <f>(E47+E44+E45+E46)/SUM($E$31:$E$49)</f>
        <v>1.1758887051646972E-3</v>
      </c>
      <c r="R44" s="946">
        <f>Q44*DwellingStocks!$J$38/1000</f>
        <v>0.90114433290742701</v>
      </c>
      <c r="S44" s="947">
        <f>(R44*1000)/(E47+E44+E45+E46)</f>
        <v>1.8580295523864474</v>
      </c>
      <c r="T44" s="948">
        <f t="shared" ref="T44:T45" si="13">T20</f>
        <v>0.70400656814449913</v>
      </c>
      <c r="U44" s="948">
        <f t="shared" si="10"/>
        <v>1.9309227066219931E-2</v>
      </c>
      <c r="V44" s="949">
        <v>20</v>
      </c>
      <c r="W44" s="949">
        <v>1</v>
      </c>
      <c r="X44" s="950">
        <f>Y44/T44</f>
        <v>1.7400400543546794E-2</v>
      </c>
      <c r="Y44" s="950">
        <f>IF(((D44+I44+D45+I45+D46+I46+D47+I47)*$B$2)&lt;=0,0,((D44+I44+D45+I45+D46+I46+D47+I47)*S44*$B$2))</f>
        <v>1.2249996271002057E-2</v>
      </c>
      <c r="Z44" s="702"/>
      <c r="AA44" s="83" t="s">
        <v>311</v>
      </c>
      <c r="AB44" s="83" t="str">
        <f t="shared" si="12"/>
        <v>RWH_Att_BIOWOO_X0</v>
      </c>
      <c r="AC44" s="83" t="str">
        <f t="shared" si="12"/>
        <v>Residential Water Heating Attached_Biomass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COMM!N16&amp;"_"&amp;RIGHT(O45,LEN(O45)-3)&amp;"_"&amp;SETUP!B64</f>
        <v>RWH_Att_HET_X0</v>
      </c>
      <c r="N45" s="951" t="str">
        <f>COMM!O16&amp;"_"&amp;COMM!E25&amp;"_"&amp;SETUP!C64</f>
        <v>Residential Water Heating Attached_Heat to Residential_Existing 00</v>
      </c>
      <c r="O45" s="83" t="str">
        <f>COMM!D25</f>
        <v>RSDHET</v>
      </c>
      <c r="P45" s="83" t="str">
        <f>COMM!$N$16</f>
        <v>RWH_Att</v>
      </c>
      <c r="Q45" s="952">
        <f>E48/SUM($E$31:$E$49)</f>
        <v>2.465729511654633E-3</v>
      </c>
      <c r="R45" s="953">
        <f>Q45*DwellingStocks!$J$38/1000</f>
        <v>1.8896160547770171</v>
      </c>
      <c r="S45" s="954">
        <f>(R45*1000)/E48</f>
        <v>1.8580295523864474</v>
      </c>
      <c r="T45" s="955">
        <f t="shared" si="13"/>
        <v>0.60949973059968388</v>
      </c>
      <c r="U45" s="955">
        <f t="shared" si="10"/>
        <v>2.0711006137833035E-3</v>
      </c>
      <c r="V45" s="956">
        <v>20</v>
      </c>
      <c r="W45" s="956">
        <v>1</v>
      </c>
      <c r="X45" s="957">
        <f>Y45/T45</f>
        <v>3.9135849708634646E-3</v>
      </c>
      <c r="Y45" s="958">
        <f>IF(((D48+I48)*$B$2)&lt;=0,0,((D48+I48)*S45*$B$2))</f>
        <v>2.3853289854202531E-3</v>
      </c>
      <c r="Z45" s="702"/>
      <c r="AA45" s="747" t="s">
        <v>311</v>
      </c>
      <c r="AB45" s="747" t="str">
        <f t="shared" si="12"/>
        <v>RWH_Att_HET_X0</v>
      </c>
      <c r="AC45" s="747" t="str">
        <f t="shared" si="12"/>
        <v>Residential Water Heating Attached_Heat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659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1258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4"/>
      <c r="N49" s="944"/>
      <c r="O49" s="944"/>
      <c r="P49" s="944"/>
      <c r="Q49" s="944"/>
      <c r="R49" s="939">
        <f>SUM(R29:R47)</f>
        <v>766.35172099999977</v>
      </c>
      <c r="S49" s="944"/>
      <c r="T49" s="944"/>
      <c r="U49" s="944"/>
      <c r="V49" s="944"/>
      <c r="W49" s="944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1254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1254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587</v>
      </c>
      <c r="H52" s="647" t="s">
        <v>476</v>
      </c>
      <c r="J52" s="702"/>
      <c r="K52" s="702"/>
      <c r="L52" s="73" t="s">
        <v>1301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1242</v>
      </c>
      <c r="V52" s="86" t="s">
        <v>304</v>
      </c>
      <c r="W52" s="86" t="s">
        <v>316</v>
      </c>
      <c r="X52" s="86" t="s">
        <v>1241</v>
      </c>
      <c r="Y52" s="91" t="s">
        <v>1240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1302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COMM!N19&amp;"_"&amp;SETUP!B64</f>
        <v>RLT_Att_X0</v>
      </c>
      <c r="N54" s="920" t="str">
        <f>COMM!$O$19&amp;"_"&amp;SETUP!$B$64</f>
        <v>Residential Lighting Attached_X0</v>
      </c>
      <c r="O54" s="934" t="str">
        <f>COMM!D24</f>
        <v>RSDELC</v>
      </c>
      <c r="P54" s="920" t="str">
        <f>COMM!$N$19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4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 t="shared" ref="AB54:AC55" si="15">M54</f>
        <v>RLT_Att_X0</v>
      </c>
      <c r="AC54" s="747" t="str">
        <f t="shared" si="15"/>
        <v>Residential Lighting Attached_X0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COMM!$N$22&amp;"_"&amp;SETUP!$B$64</f>
        <v>RPF_Att_X0</v>
      </c>
      <c r="N55" s="925" t="str">
        <f>COMM!$O$22&amp;"_"&amp;SETUP!$B$64</f>
        <v>Residential Pumps &amp; Fans Attached_X0</v>
      </c>
      <c r="O55" s="83" t="str">
        <f>COMM!D24</f>
        <v>RSDELC</v>
      </c>
      <c r="P55" s="148" t="str">
        <f>COMM!$N$22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4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 t="shared" si="15"/>
        <v>RPF_Att_X0</v>
      </c>
      <c r="AC55" s="83" t="str">
        <f t="shared" si="15"/>
        <v>Residential Pumps &amp; Fans Attached_X0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8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8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8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N20" zoomScaleNormal="100" workbookViewId="0">
      <selection activeCell="N60" sqref="N6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1260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1249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669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1261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1261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41" t="s">
        <v>1247</v>
      </c>
      <c r="C4" s="1042"/>
      <c r="D4" s="1042"/>
      <c r="E4" s="1042"/>
      <c r="F4" s="1042"/>
      <c r="G4" s="1043"/>
      <c r="H4" s="1041" t="s">
        <v>1248</v>
      </c>
      <c r="I4" s="1042"/>
      <c r="J4" s="1043"/>
      <c r="K4" s="702"/>
      <c r="L4" s="73" t="s">
        <v>1301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1242</v>
      </c>
      <c r="V4" s="86" t="s">
        <v>304</v>
      </c>
      <c r="W4" s="86" t="s">
        <v>316</v>
      </c>
      <c r="X4" s="86" t="s">
        <v>1241</v>
      </c>
      <c r="Y4" s="91" t="s">
        <v>1240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1251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1251</v>
      </c>
      <c r="K5" s="702"/>
      <c r="L5" s="74" t="s">
        <v>1302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673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COMM!$N$11&amp;"_"&amp;RIGHT(O7,LEN(O7)-3)&amp;"_"&amp;SETUP!$B$64</f>
        <v>RSH_Det_COA_X0</v>
      </c>
      <c r="N7" s="747" t="str">
        <f>COMM!$O$11&amp;"_"&amp;COMM!E6&amp;"_"&amp;SETUP!$C$64</f>
        <v>Residential Space Heating Detached_Coal to Residential_Existing 00</v>
      </c>
      <c r="O7" s="747" t="str">
        <f>COMM!$D$6</f>
        <v>RSDCOA</v>
      </c>
      <c r="P7" s="747" t="str">
        <f>COMM!$N$11</f>
        <v>RSH_Det</v>
      </c>
      <c r="Q7" s="945">
        <f>(E7+E14+E16)/SUM($E$7:$E$25)</f>
        <v>6.0080307972788707E-3</v>
      </c>
      <c r="R7" s="946">
        <f>Q7*DwellingStocks!$K$38/1000</f>
        <v>4.3523961222963861</v>
      </c>
      <c r="S7" s="947">
        <f>(R7*1000)/(E7+E14+E16)*DwellingStocks!$V$37</f>
        <v>1.9457216031108409</v>
      </c>
      <c r="T7" s="948">
        <f>(G7+G14+G16)/300</f>
        <v>0.61986329460013678</v>
      </c>
      <c r="U7" s="948">
        <f>X7/R7/W7</f>
        <v>0.74278329643989238</v>
      </c>
      <c r="V7" s="949">
        <v>20</v>
      </c>
      <c r="W7" s="949">
        <v>1</v>
      </c>
      <c r="X7" s="950">
        <f>Y7/T7</f>
        <v>3.2328871391315146</v>
      </c>
      <c r="Y7" s="950">
        <f>IF(((D7+I7+D14+I14+D16+I16)*$B$2)&lt;=0,0,((D7+I7+D14+I14+D16+I16)*S7*$B$2))</f>
        <v>2.0039480731324715</v>
      </c>
      <c r="Z7" s="722"/>
      <c r="AA7" s="747" t="s">
        <v>311</v>
      </c>
      <c r="AB7" s="747" t="str">
        <f>M7</f>
        <v>RSH_Det_COA_X0</v>
      </c>
      <c r="AC7" s="747" t="str">
        <f>N7</f>
        <v>Residential Space Heating Detached_Coal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COMM!$N$11&amp;"_"&amp;RIGHT(O8,LEN(O8)-3)&amp;"_"&amp;SETUP!$B$64</f>
        <v>RSH_Det_BIODST_X0</v>
      </c>
      <c r="N8" s="83" t="str">
        <f>COMM!$O$11&amp;"_"&amp;COMM!E21&amp;"_"&amp;SETUP!$C$64</f>
        <v>Residential Space Heating Detached_Biodiesel to Residential_Existing 00</v>
      </c>
      <c r="O8" s="83" t="str">
        <f>COMM!$D$21</f>
        <v>RSDBIODST</v>
      </c>
      <c r="P8" s="83" t="str">
        <f>COMM!$N$11</f>
        <v>RSH_Det</v>
      </c>
      <c r="Q8" s="952">
        <f>E8/SUM($E$7:$E$25)</f>
        <v>0</v>
      </c>
      <c r="R8" s="953">
        <f>Q8*DwellingStocks!$K$38/1000</f>
        <v>0</v>
      </c>
      <c r="S8" s="954">
        <f>IFERROR((R8*1000)/E8*DwellingStocks!$V$37,0)</f>
        <v>0</v>
      </c>
      <c r="T8" s="963">
        <v>0.9</v>
      </c>
      <c r="U8" s="955">
        <f>IFERROR(X8/R8/W8,0)</f>
        <v>0</v>
      </c>
      <c r="V8" s="956">
        <v>20</v>
      </c>
      <c r="W8" s="956">
        <v>1</v>
      </c>
      <c r="X8" s="957">
        <f>IFERROR(Y8/T8,0)</f>
        <v>0</v>
      </c>
      <c r="Y8" s="958">
        <f>IF(((D8+I8)*$B$2)&lt;=0,0,((D8+I8)*S8*$B$2))</f>
        <v>0</v>
      </c>
      <c r="Z8" s="722"/>
      <c r="AA8" s="83" t="s">
        <v>311</v>
      </c>
      <c r="AB8" s="83" t="str">
        <f t="shared" ref="AB8:AC21" si="0">M8</f>
        <v>RSH_Det_BIODST_X0</v>
      </c>
      <c r="AC8" s="83" t="str">
        <f t="shared" si="0"/>
        <v>Residential Space Heating Detached_Biodiesel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COMM!$N$11&amp;"_"&amp;RIGHT(O9,LEN(O9)-3)&amp;"_"&amp;SETUP!B64</f>
        <v>RSH_Det_BIOETH_X0</v>
      </c>
      <c r="N9" s="747" t="str">
        <f>COMM!$O$11&amp;"_"&amp;COMM!E20&amp;"_"&amp;SETUP!C64</f>
        <v>Residential Space Heating Detached_Ethanol to Residential_Existing 00</v>
      </c>
      <c r="O9" s="747" t="str">
        <f>COMM!$D$20</f>
        <v>RSDBIOETH</v>
      </c>
      <c r="P9" s="747" t="str">
        <f>COMM!$N$11</f>
        <v>RSH_Det</v>
      </c>
      <c r="Q9" s="945">
        <f>E9/SUM($E$7:$E$25)</f>
        <v>0</v>
      </c>
      <c r="R9" s="946">
        <f>Q9*DwellingStocks!$K$38/1000</f>
        <v>0</v>
      </c>
      <c r="S9" s="947">
        <f>IFERROR((R9*1000)/E9*DwellingStocks!$V$37,0)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RSH_Det_BIOETH_X0</v>
      </c>
      <c r="AC9" s="747" t="str">
        <f t="shared" si="0"/>
        <v>Residential Space Heating Detached_Ethanol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COMM!$N$11&amp;"_"&amp;RIGHT(O10,LEN(O10)-3)&amp;"_"&amp;SETUP!B64</f>
        <v>RSH_Det_OILLPG_X0</v>
      </c>
      <c r="N10" s="83" t="str">
        <f>COMM!$O$11&amp;"_"&amp;COMM!E8&amp;"_"&amp;SETUP!C64</f>
        <v>Residential Space Heating Detached_LPG to Residential_Existing 00</v>
      </c>
      <c r="O10" s="83" t="str">
        <f>COMM!$D$8</f>
        <v>RSDOILLPG</v>
      </c>
      <c r="P10" s="83" t="str">
        <f>COMM!$N$11</f>
        <v>RSH_Det</v>
      </c>
      <c r="Q10" s="952">
        <f>(E10+E11)/SUM($E$7:$E$25)</f>
        <v>2.2058324983614461E-2</v>
      </c>
      <c r="R10" s="953">
        <f>(Q10)*DwellingStocks!$K$38/1000</f>
        <v>15.979706390073751</v>
      </c>
      <c r="S10" s="954">
        <f>(R10*1000)/(E10+E11)*DwellingStocks!$V$37</f>
        <v>1.9457216031108406</v>
      </c>
      <c r="T10" s="955">
        <f>(G10+G11)/200</f>
        <v>0.82661774762699336</v>
      </c>
      <c r="U10" s="955">
        <f t="shared" ref="U10:U21" si="1">X10/R10/W10</f>
        <v>7.5449648624003274E-2</v>
      </c>
      <c r="V10" s="956">
        <v>20</v>
      </c>
      <c r="W10" s="956">
        <v>1</v>
      </c>
      <c r="X10" s="957">
        <f t="shared" ref="X10:X20" si="2">Y10/T10</f>
        <v>1.2056632322458043</v>
      </c>
      <c r="Y10" s="958">
        <f>IF(((D10+I10+D11+I11)*S10*$B$2)&lt;=0,0,((D10+I10+D11+I11)*S10*$B$2))</f>
        <v>0.99662262543570734</v>
      </c>
      <c r="Z10" s="722"/>
      <c r="AA10" s="83" t="s">
        <v>311</v>
      </c>
      <c r="AB10" s="83" t="str">
        <f t="shared" si="0"/>
        <v>RSH_Det_OILLPG_X0</v>
      </c>
      <c r="AC10" s="83" t="str">
        <f t="shared" si="0"/>
        <v>Residential Space Heating Detached_LPG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COMM!$N$11&amp;"_"&amp;RIGHT(O12,LEN(O12)-3)&amp;"_"&amp;SETUP!B64</f>
        <v>RSH_Det_ELC_X0</v>
      </c>
      <c r="N11" s="747" t="str">
        <f>COMM!$O$11&amp;"_"&amp;COMM!E24&amp;"_"&amp;SETUP!C64</f>
        <v>Residential Space Heating Detached_Electricity to Residential_Existing 00</v>
      </c>
      <c r="O11" s="747" t="str">
        <f>COMM!$D$24</f>
        <v>RSDELC</v>
      </c>
      <c r="P11" s="747" t="str">
        <f>COMM!$N$11</f>
        <v>RSH_Det</v>
      </c>
      <c r="Q11" s="945">
        <f>E25/SUM($E$7:$E$25)</f>
        <v>2.3727013161165898E-2</v>
      </c>
      <c r="R11" s="946">
        <f>(Q11)*DwellingStocks!$K$38/1000</f>
        <v>17.188553714322843</v>
      </c>
      <c r="S11" s="947">
        <f>(R11*1000)/(E25)*DwellingStocks!$V$37</f>
        <v>1.9457216031108406</v>
      </c>
      <c r="T11" s="948">
        <f>(G25)/100</f>
        <v>0.99952095808383234</v>
      </c>
      <c r="U11" s="948">
        <f t="shared" si="1"/>
        <v>4.9360166451170341E-2</v>
      </c>
      <c r="V11" s="949">
        <v>20</v>
      </c>
      <c r="W11" s="949">
        <v>1</v>
      </c>
      <c r="X11" s="950">
        <f t="shared" si="2"/>
        <v>0.84842987239385781</v>
      </c>
      <c r="Y11" s="950">
        <f>IF(((D25+I25)*S11*$B$2)&lt;=0,0,((D25+I25)*S11*$B$2))</f>
        <v>0.84802343892205234</v>
      </c>
      <c r="Z11" s="722"/>
      <c r="AA11" s="747" t="s">
        <v>311</v>
      </c>
      <c r="AB11" s="747" t="str">
        <f t="shared" si="0"/>
        <v>RSH_Det_ELC_X0</v>
      </c>
      <c r="AC11" s="747" t="str">
        <f t="shared" si="0"/>
        <v>Residential Space Heating Detached_Electricity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1257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COMM!$N$11&amp;"_"&amp;RIGHT(O12,LEN(O12)-3)&amp;"_"&amp;SETUP!B65</f>
        <v>RSH_Det_ELC_X1</v>
      </c>
      <c r="N12" s="83" t="str">
        <f>COMM!$O$11&amp;"_"&amp;COMM!E24&amp;"_"&amp;SETUP!C65</f>
        <v>Residential Space Heating Detached_Electricity to Residential_Existing 01</v>
      </c>
      <c r="O12" s="83" t="str">
        <f>COMM!$D$24</f>
        <v>RSDELC</v>
      </c>
      <c r="P12" s="83" t="str">
        <f>COMM!$N$11</f>
        <v>RSH_Det</v>
      </c>
      <c r="Q12" s="952">
        <f>E12/SUM($E$7:$E$25)</f>
        <v>4.3679702272881371E-2</v>
      </c>
      <c r="R12" s="953">
        <f>Q12*DwellingStocks!$K$38/1000</f>
        <v>31.642874880344134</v>
      </c>
      <c r="S12" s="954">
        <f>(R12*1000)/E12*DwellingStocks!$V$37</f>
        <v>1.9457216031108406</v>
      </c>
      <c r="T12" s="955">
        <f>G12/100</f>
        <v>3.0897837837837834</v>
      </c>
      <c r="U12" s="955">
        <f t="shared" si="1"/>
        <v>3.168673704804783E-3</v>
      </c>
      <c r="V12" s="956">
        <v>20</v>
      </c>
      <c r="W12" s="956">
        <v>1</v>
      </c>
      <c r="X12" s="957">
        <f t="shared" si="2"/>
        <v>0.10026594557777425</v>
      </c>
      <c r="Y12" s="958">
        <f>IF(((D12+I12)*S12*$B$2)&lt;=0,0,((D12+I12)*S12*$B$2))</f>
        <v>0.30980009271195424</v>
      </c>
      <c r="Z12" s="722"/>
      <c r="AA12" s="83" t="s">
        <v>311</v>
      </c>
      <c r="AB12" s="83" t="str">
        <f t="shared" si="0"/>
        <v>RSH_Det_ELC_X1</v>
      </c>
      <c r="AC12" s="83" t="str">
        <f t="shared" si="0"/>
        <v>Residential Space Heating Detached_Electricity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COMM!$N$11&amp;"_"&amp;RIGHT(O13,LEN(O13)-3)&amp;"_"&amp;SETUP!B64</f>
        <v>RSH_Det_OILKER_X0</v>
      </c>
      <c r="N13" s="747" t="str">
        <f>COMM!$O$11&amp;"_"&amp;COMM!E10&amp;"_"&amp;SETUP!C64</f>
        <v>Residential Space Heating Detached_Kerosene to Residential_Existing 00</v>
      </c>
      <c r="O13" s="747" t="str">
        <f>COMM!$D$10</f>
        <v>RSDOILKER</v>
      </c>
      <c r="P13" s="747" t="str">
        <f>COMM!$N$11</f>
        <v>RSH_Det</v>
      </c>
      <c r="Q13" s="945">
        <f>E13/SUM($E$7:$E$25)</f>
        <v>0.69522898319258097</v>
      </c>
      <c r="R13" s="946">
        <f>Q13*DwellingStocks!$K$38/1000</f>
        <v>503.64454388714694</v>
      </c>
      <c r="S13" s="947">
        <f>(R13*1000)/E13*DwellingStocks!$V$37</f>
        <v>1.9457216031108406</v>
      </c>
      <c r="T13" s="948">
        <f>G13/100</f>
        <v>0.82280373831775711</v>
      </c>
      <c r="U13" s="948">
        <f t="shared" si="1"/>
        <v>6.1266557932511269E-2</v>
      </c>
      <c r="V13" s="949">
        <v>20</v>
      </c>
      <c r="W13" s="949">
        <v>1</v>
      </c>
      <c r="X13" s="950">
        <f t="shared" si="2"/>
        <v>30.856567625455103</v>
      </c>
      <c r="Y13" s="950">
        <f>IF(((D13+I13)*$B$2)&lt;=0,0,((D13+I13)*S13*$B$2))</f>
        <v>25.388899193879137</v>
      </c>
      <c r="Z13" s="722"/>
      <c r="AA13" s="747" t="s">
        <v>311</v>
      </c>
      <c r="AB13" s="747" t="str">
        <f t="shared" si="0"/>
        <v>RSH_Det_OILKER_X0</v>
      </c>
      <c r="AC13" s="747" t="str">
        <f t="shared" si="0"/>
        <v>Residential Space Heating Detached_Kerosene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COMM!$N$11&amp;"_"&amp;RIGHT(O15,LEN(O15)-3)&amp;"_"&amp;SETUP!B64</f>
        <v>RSH_Det_GASNAT_X0</v>
      </c>
      <c r="N15" s="747" t="str">
        <f>COMM!$O$11&amp;"_"&amp;COMM!E14&amp;"_"&amp;SETUP!C64</f>
        <v>Residential Space Heating Detached_Natural Gas to Residential_Existing 00</v>
      </c>
      <c r="O15" s="747" t="str">
        <f>COMM!$D$14</f>
        <v>RSDGASNAT</v>
      </c>
      <c r="P15" s="747" t="str">
        <f>COMM!$N$11</f>
        <v>RSH_Det</v>
      </c>
      <c r="Q15" s="945">
        <f>E15/SUM($E$7:$E$25)</f>
        <v>0.15689058980405157</v>
      </c>
      <c r="R15" s="946">
        <f>Q15*DwellingStocks!$K$38/1000</f>
        <v>113.65620745439924</v>
      </c>
      <c r="S15" s="947">
        <f>(R15*1000)/E15*DwellingStocks!$V$37</f>
        <v>1.9457216031108406</v>
      </c>
      <c r="T15" s="948">
        <f>G15/100</f>
        <v>0.82728758169934635</v>
      </c>
      <c r="U15" s="948">
        <f t="shared" si="1"/>
        <v>5.4120944584218275E-2</v>
      </c>
      <c r="V15" s="949">
        <v>20</v>
      </c>
      <c r="W15" s="949">
        <v>1</v>
      </c>
      <c r="X15" s="950">
        <f t="shared" si="2"/>
        <v>6.1511813052919573</v>
      </c>
      <c r="Y15" s="950">
        <f>IF(((D15+I15)*$B$2)&lt;=0,0,((D15+I15)*S15*$B$2))</f>
        <v>5.0887959066492119</v>
      </c>
      <c r="Z15" s="722"/>
      <c r="AA15" s="747" t="s">
        <v>311</v>
      </c>
      <c r="AB15" s="747" t="str">
        <f t="shared" si="0"/>
        <v>RSH_Det_GASNAT_X0</v>
      </c>
      <c r="AC15" s="747" t="str">
        <f t="shared" si="0"/>
        <v>Residential Space Heating Detached_Natural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674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COMM!$N$11&amp;"_"&amp;RIGHT(O17,LEN(O17)-3)&amp;"_"&amp;SETUP!B64</f>
        <v>RSH_Det_PEA_X0</v>
      </c>
      <c r="N17" s="747" t="str">
        <f>COMM!$O$11&amp;"_"&amp;COMM!E7&amp;"_"&amp;SETUP!C64</f>
        <v>Residential Space Heating Detached_Peat to Residential_Existing 00</v>
      </c>
      <c r="O17" s="747" t="str">
        <f>COMM!D7</f>
        <v>RSDPEA</v>
      </c>
      <c r="P17" s="747" t="str">
        <f>COMM!$N$11</f>
        <v>RSH_Det</v>
      </c>
      <c r="Q17" s="945">
        <f>(E17+E18)/SUM($E$7:$E$25)</f>
        <v>2.90419545122383E-3</v>
      </c>
      <c r="R17" s="946">
        <f>Q17*DwellingStocks!$K$38/1000</f>
        <v>2.1038855236931115</v>
      </c>
      <c r="S17" s="947">
        <f>(R17*1000)/(E17+E18)*DwellingStocks!$V$37</f>
        <v>1.9457216031108406</v>
      </c>
      <c r="T17" s="948">
        <f>(G17+G18)/200</f>
        <v>0.5457894736842106</v>
      </c>
      <c r="U17" s="948">
        <f t="shared" si="1"/>
        <v>0.29469883978286854</v>
      </c>
      <c r="V17" s="949">
        <v>20</v>
      </c>
      <c r="W17" s="949">
        <v>1</v>
      </c>
      <c r="X17" s="950">
        <f t="shared" si="2"/>
        <v>0.62001262286833281</v>
      </c>
      <c r="Y17" s="950">
        <f>IF(((D17+I17)+D18+I18*$B$2)&lt;=0,0,((D17+I17+D18+I18)*S17*$B$2))</f>
        <v>0.3383963631128743</v>
      </c>
      <c r="Z17" s="722"/>
      <c r="AA17" s="747" t="s">
        <v>311</v>
      </c>
      <c r="AB17" s="747" t="str">
        <f t="shared" si="0"/>
        <v>RSH_Det_PEA_X0</v>
      </c>
      <c r="AC17" s="747" t="str">
        <f t="shared" si="0"/>
        <v>Residential Space Heating Detached_Peat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COMM!$N$11&amp;"_"&amp;RIGHT(COMM!D23,LEN(COMM!D23)-3)&amp;"_"&amp;SETUP!B64</f>
        <v>RSH_Det_SMF_X0</v>
      </c>
      <c r="N19" s="951" t="str">
        <f>COMM!$O$11&amp;"_"&amp;COMM!E23&amp;"_"&amp;SETUP!C64</f>
        <v>Residential Space Heating Detached_Solid Multi-Fuel_Existing 00</v>
      </c>
      <c r="O19" s="83" t="str">
        <f>COMM!D6&amp;","&amp;COMM!D7&amp;","&amp;COMM!D16</f>
        <v>RSDCOA,RSDPEA,RSDBIOWOO</v>
      </c>
      <c r="P19" s="83" t="str">
        <f>COMM!$N$11</f>
        <v>RSH_Det</v>
      </c>
      <c r="Q19" s="952">
        <f>E19/SUM($E$7:$E$25)</f>
        <v>4.3826607101153388E-2</v>
      </c>
      <c r="R19" s="953">
        <f>Q19*DwellingStocks!$K$38/1000</f>
        <v>31.749297105278025</v>
      </c>
      <c r="S19" s="954">
        <f>(R19*1000)/E19*DwellingStocks!$V$37</f>
        <v>1.9457216031108406</v>
      </c>
      <c r="T19" s="955">
        <f>G19/100</f>
        <v>0.61474226804123711</v>
      </c>
      <c r="U19" s="955">
        <f t="shared" si="1"/>
        <v>0.36965845077432147</v>
      </c>
      <c r="V19" s="956">
        <v>20</v>
      </c>
      <c r="W19" s="956">
        <v>1</v>
      </c>
      <c r="X19" s="957">
        <f t="shared" si="2"/>
        <v>11.736395981110723</v>
      </c>
      <c r="Y19" s="958">
        <f>IF(((D19+I19)*$B$2)&lt;=0,0,((D19+I19)*S19*$B$2))</f>
        <v>7.2148586840580657</v>
      </c>
      <c r="Z19" s="722"/>
      <c r="AA19" s="747" t="s">
        <v>311</v>
      </c>
      <c r="AB19" s="747" t="str">
        <f t="shared" si="0"/>
        <v>RSH_Det_SMF_X0</v>
      </c>
      <c r="AC19" s="747" t="str">
        <f t="shared" si="0"/>
        <v>Residential Space Heating Detached_Solid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COMM!$N$11&amp;"_"&amp;RIGHT(O20,LEN(O20)-3)&amp;"_"&amp;SETUP!B64</f>
        <v>RSH_Det_BIOWOO_X0</v>
      </c>
      <c r="N20" s="747" t="str">
        <f>COMM!$O$11&amp;"_"&amp;COMM!E16&amp;"_"&amp;SETUP!C64</f>
        <v>Residential Space Heating Detached_Biomass and Renewable Waste to Residential_Existing 00</v>
      </c>
      <c r="O20" s="747" t="str">
        <f>COMM!D16</f>
        <v>RSDBIOWOO</v>
      </c>
      <c r="P20" s="747" t="str">
        <f>COMM!$N$11</f>
        <v>RSH_Det</v>
      </c>
      <c r="Q20" s="945">
        <f>(E20+E21+E22+E23)/SUM($E$7:$E$25)</f>
        <v>4.9608630470321458E-3</v>
      </c>
      <c r="R20" s="946">
        <f>Q20*DwellingStocks!$K$38/1000</f>
        <v>3.5937966727676112</v>
      </c>
      <c r="S20" s="947">
        <f>(R20*1000)/(E20+E21+E22+E23)*DwellingStocks!$V$37</f>
        <v>1.9457216031108406</v>
      </c>
      <c r="T20" s="948">
        <f>(G21+G22+G23)/300</f>
        <v>0.72928609692169366</v>
      </c>
      <c r="U20" s="948">
        <f t="shared" si="1"/>
        <v>0.15204678487667089</v>
      </c>
      <c r="V20" s="949">
        <v>20</v>
      </c>
      <c r="W20" s="949">
        <v>1</v>
      </c>
      <c r="X20" s="950">
        <f t="shared" si="2"/>
        <v>0.54642522959479256</v>
      </c>
      <c r="Y20" s="950">
        <f>IF(((D20+I20+D21+I21+D22+I22+D23+I23)*$B$2)&lt;=0,0,((D20+I20+D21+I21+D22+I22+D23+I23)*S20*$B$2))</f>
        <v>0.39850032295072663</v>
      </c>
      <c r="Z20" s="722"/>
      <c r="AA20" s="83" t="s">
        <v>311</v>
      </c>
      <c r="AB20" s="83" t="str">
        <f t="shared" si="0"/>
        <v>RSH_Det_BIOWOO_X0</v>
      </c>
      <c r="AC20" s="83" t="str">
        <f t="shared" si="0"/>
        <v>Residential Space Heating Detached_Biomass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COMM!$N$11&amp;"_"&amp;RIGHT(O21,LEN(O21)-3)&amp;"_"&amp;SETUP!B64</f>
        <v>RSH_Det_HET_X0</v>
      </c>
      <c r="N21" s="951" t="str">
        <f>COMM!$O$11&amp;"_"&amp;COMM!E25&amp;"_"&amp;SETUP!C64</f>
        <v>Residential Space Heating Detached_Heat to Residential_Existing 00</v>
      </c>
      <c r="O21" s="83" t="str">
        <f>COMM!D25</f>
        <v>RSDHET</v>
      </c>
      <c r="P21" s="83" t="str">
        <f>COMM!$N$11</f>
        <v>RSH_Det</v>
      </c>
      <c r="Q21" s="952">
        <f>E24/SUM($E$7:$E$25)</f>
        <v>7.156901890175457E-4</v>
      </c>
      <c r="R21" s="953">
        <f>Q21*DwellingStocks!$K$38/1000</f>
        <v>0.51846724967793933</v>
      </c>
      <c r="S21" s="954">
        <f>(R21*1000)/E24*DwellingStocks!$V$37</f>
        <v>1.9457216031108402</v>
      </c>
      <c r="T21" s="955">
        <f>G24/100</f>
        <v>0.65865731206453049</v>
      </c>
      <c r="U21" s="955">
        <f t="shared" si="1"/>
        <v>0.4379522891155736</v>
      </c>
      <c r="V21" s="956">
        <v>20</v>
      </c>
      <c r="W21" s="956">
        <v>1</v>
      </c>
      <c r="X21" s="957">
        <f>Y21/T21</f>
        <v>0.22706391882790916</v>
      </c>
      <c r="Y21" s="958">
        <f>IF(((D24+I24)*$B$2)&lt;=0,0,((D24+I24)*S21*$B$2))</f>
        <v>0.14955731044202938</v>
      </c>
      <c r="Z21" s="722"/>
      <c r="AA21" s="747" t="s">
        <v>311</v>
      </c>
      <c r="AB21" s="747" t="str">
        <f t="shared" si="0"/>
        <v>RSH_Det_HET_X0</v>
      </c>
      <c r="AC21" s="747" t="str">
        <f t="shared" si="0"/>
        <v>Residential Space Heating Detached_Heat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2" t="s">
        <v>295</v>
      </c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2" t="s">
        <v>295</v>
      </c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659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2" t="s">
        <v>295</v>
      </c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1258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4"/>
      <c r="N25" s="944"/>
      <c r="O25" s="944"/>
      <c r="P25" s="944"/>
      <c r="Q25" s="944"/>
      <c r="R25" s="939">
        <f>SUM(R6:R23)</f>
        <v>724.42972899999995</v>
      </c>
      <c r="S25" s="944"/>
      <c r="T25" s="944"/>
      <c r="U25" s="944"/>
      <c r="V25" s="944"/>
      <c r="W25" s="944"/>
      <c r="X25" s="933">
        <f>SUM(X6:X23)</f>
        <v>55.524892872497773</v>
      </c>
      <c r="Y25" s="933">
        <f>SUM(Y6:Y23)</f>
        <v>42.737402011294222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1262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1262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41" t="s">
        <v>1247</v>
      </c>
      <c r="C28" s="1042"/>
      <c r="D28" s="1042"/>
      <c r="E28" s="1042"/>
      <c r="F28" s="1042"/>
      <c r="G28" s="1043"/>
      <c r="H28" s="1041" t="s">
        <v>1248</v>
      </c>
      <c r="I28" s="1042"/>
      <c r="J28" s="1043"/>
      <c r="K28" s="702"/>
      <c r="L28" s="73" t="s">
        <v>1301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1242</v>
      </c>
      <c r="V28" s="86" t="s">
        <v>304</v>
      </c>
      <c r="W28" s="86" t="s">
        <v>316</v>
      </c>
      <c r="X28" s="86" t="s">
        <v>1241</v>
      </c>
      <c r="Y28" s="91" t="s">
        <v>1240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1244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1243</v>
      </c>
      <c r="K29" s="702"/>
      <c r="L29" s="74" t="s">
        <v>1302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673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COMM!$N$17&amp;"_"&amp;RIGHT(O31,LEN(O31)-3)&amp;"_"&amp;SETUP!$B$64</f>
        <v>RWH_Det_COA_X0</v>
      </c>
      <c r="N31" s="747" t="str">
        <f>COMM!$O$17&amp;"_"&amp;COMM!E6&amp;"_"&amp;SETUP!$C$64</f>
        <v>Residential Water Heating Detached_Coal to Residential_Existing 00</v>
      </c>
      <c r="O31" s="747" t="str">
        <f>COMM!$D$6</f>
        <v>RSDCOA</v>
      </c>
      <c r="P31" s="747" t="str">
        <f>COMM!$N$17</f>
        <v>RWH_Det</v>
      </c>
      <c r="Q31" s="945">
        <f>(E31+E38+E40)/SUM($E$31:$E$49)</f>
        <v>5.7036318322774577E-3</v>
      </c>
      <c r="R31" s="946">
        <f>Q31*DwellingStocks!$K$38/1000</f>
        <v>4.1318804625725312</v>
      </c>
      <c r="S31" s="947">
        <f>IFERROR((R31*1000)/(E31+E38+E40),0)</f>
        <v>2.7564245914426495</v>
      </c>
      <c r="T31" s="948">
        <f>T7</f>
        <v>0.61986329460013678</v>
      </c>
      <c r="U31" s="948">
        <f>IFERROR(X31/R31/W31,0)</f>
        <v>3.1036082934204994E-2</v>
      </c>
      <c r="V31" s="949">
        <v>20</v>
      </c>
      <c r="W31" s="949">
        <v>1</v>
      </c>
      <c r="X31" s="950">
        <f>Y31/T31</f>
        <v>0.12823738471062238</v>
      </c>
      <c r="Y31" s="950">
        <f>IF(((D31+I31+D38+I38+D40+I40)*$B$2)&lt;=0,0,((D31+I31+D38+I38+D40+I40)*S31*$B$2))</f>
        <v>7.9489647777631595E-2</v>
      </c>
      <c r="Z31" s="702"/>
      <c r="AA31" s="747" t="s">
        <v>311</v>
      </c>
      <c r="AB31" s="747" t="str">
        <f>M31</f>
        <v>RWH_Det_COA_X0</v>
      </c>
      <c r="AC31" s="747" t="str">
        <f>N31</f>
        <v>Residential Water Heating Detached_Coal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COMM!$N$17&amp;"_"&amp;RIGHT(O32,LEN(O32)-3)&amp;"_"&amp;SETUP!$B$64</f>
        <v>RWH_Det_BIODST_X0</v>
      </c>
      <c r="N32" s="951" t="str">
        <f>COMM!$O$17&amp;"_"&amp;COMM!E21&amp;"_"&amp;SETUP!$C$64</f>
        <v>Residential Water Heating Detached_Biodiesel to Residential_Existing 00</v>
      </c>
      <c r="O32" s="83" t="str">
        <f>COMM!$D$21</f>
        <v>RSDBIODST</v>
      </c>
      <c r="P32" s="83" t="str">
        <f>COMM!$N$17</f>
        <v>RWH_Det</v>
      </c>
      <c r="Q32" s="952">
        <f>E32/SUM($E$31:$E$49)</f>
        <v>7.6099157201833988E-6</v>
      </c>
      <c r="R32" s="953">
        <f>Q32*DwellingStocks!$K$38/1000</f>
        <v>5.5128491828852991E-3</v>
      </c>
      <c r="S32" s="954">
        <f>IFERROR((R32*1000)/E32,0)</f>
        <v>2.7564245914426495</v>
      </c>
      <c r="T32" s="963">
        <v>0.9</v>
      </c>
      <c r="U32" s="955">
        <f>X32/R32/W32</f>
        <v>1.3184000000000001E-2</v>
      </c>
      <c r="V32" s="956">
        <v>20</v>
      </c>
      <c r="W32" s="956">
        <v>1</v>
      </c>
      <c r="X32" s="957">
        <f>Y32/T32</f>
        <v>7.2681403627159789E-5</v>
      </c>
      <c r="Y32" s="958">
        <f>IF(((D32+I32)*$B$2)&lt;=0,0,((D32+I32)*S32*$B$2))</f>
        <v>6.5413263264443806E-5</v>
      </c>
      <c r="Z32" s="702"/>
      <c r="AA32" s="83" t="s">
        <v>311</v>
      </c>
      <c r="AB32" s="83" t="str">
        <f t="shared" ref="AB32:AC41" si="3">M32</f>
        <v>RWH_Det_BIODST_X0</v>
      </c>
      <c r="AC32" s="83" t="str">
        <f t="shared" si="3"/>
        <v>Residential Water Heating Detached_Biodiesel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COMM!$N$17&amp;"_"&amp;RIGHT(O33,LEN(O33)-3)&amp;"_"&amp;SETUP!$B$64</f>
        <v>RWH_Det_BIOETH_X0</v>
      </c>
      <c r="N33" s="747" t="str">
        <f>COMM!$O$17&amp;"_"&amp;COMM!E20&amp;"_"&amp;SETUP!$C$64</f>
        <v>Residential Water Heating Detached_Ethanol to Residential_Existing 00</v>
      </c>
      <c r="O33" s="747" t="str">
        <f>COMM!$D$20</f>
        <v>RSDBIOETH</v>
      </c>
      <c r="P33" s="747" t="str">
        <f>COMM!$N$17</f>
        <v>RWH_Det</v>
      </c>
      <c r="Q33" s="945">
        <f>E33/SUM($E$31:$E$49)</f>
        <v>7.6099157201833988E-6</v>
      </c>
      <c r="R33" s="946">
        <f>Q33*DwellingStocks!$K$38/1000</f>
        <v>5.5128491828852991E-3</v>
      </c>
      <c r="S33" s="947">
        <f>IFERROR((R33*1000)/E33,0)</f>
        <v>2.7564245914426495</v>
      </c>
      <c r="T33" s="964">
        <v>0.9</v>
      </c>
      <c r="U33" s="948">
        <f>IFERROR(X33/R33/W33,0)</f>
        <v>1.4933999999999999E-2</v>
      </c>
      <c r="V33" s="949">
        <v>20</v>
      </c>
      <c r="W33" s="949">
        <v>1</v>
      </c>
      <c r="X33" s="950">
        <f>IFERROR(Y33/T33,0)</f>
        <v>8.2328889697209055E-5</v>
      </c>
      <c r="Y33" s="950">
        <f>IF(((D33+I33)*$B$2)&lt;=0,0,((D33+I33)*S33*$B$2))</f>
        <v>7.4096000727488155E-5</v>
      </c>
      <c r="Z33" s="702"/>
      <c r="AA33" s="747" t="s">
        <v>311</v>
      </c>
      <c r="AB33" s="747" t="str">
        <f t="shared" si="3"/>
        <v>RWH_Det_BIOETH_X0</v>
      </c>
      <c r="AC33" s="747" t="str">
        <f t="shared" si="3"/>
        <v>Residential Water Heating Detached_Ethanol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COMM!$N$17&amp;"_"&amp;RIGHT(O34,LEN(O34)-3)&amp;"_"&amp;SETUP!$B$64</f>
        <v>RWH_Det_OILLPG_X0</v>
      </c>
      <c r="N34" s="951" t="str">
        <f>COMM!$O$17&amp;"_"&amp;COMM!E8&amp;"_"&amp;SETUP!$C$64</f>
        <v>Residential Water Heating Detached_LPG to Residential_Existing 00</v>
      </c>
      <c r="O34" s="83" t="str">
        <f>COMM!$D$8</f>
        <v>RSDOILLPG</v>
      </c>
      <c r="P34" s="83" t="str">
        <f>COMM!$N$17</f>
        <v>RWH_Det</v>
      </c>
      <c r="Q34" s="952">
        <f>(E34+E35)/SUM($E$31:$E$49)</f>
        <v>2.2201929113635065E-2</v>
      </c>
      <c r="R34" s="953">
        <f>(Q34)*DwellingStocks!$K$38/1000</f>
        <v>16.083737491067858</v>
      </c>
      <c r="S34" s="954">
        <f>IFERROR((R34*1000)/(E34+E35),0)</f>
        <v>2.7564245914426491</v>
      </c>
      <c r="T34" s="955">
        <f t="shared" ref="T34" si="4">T10</f>
        <v>0.82661774762699336</v>
      </c>
      <c r="U34" s="955">
        <f t="shared" ref="U34:U41" si="5">X34/R34/W34</f>
        <v>2.0707296779284987E-2</v>
      </c>
      <c r="V34" s="956">
        <v>20</v>
      </c>
      <c r="W34" s="956">
        <v>1</v>
      </c>
      <c r="X34" s="957">
        <f t="shared" ref="X34:X41" si="6">Y34/T34</f>
        <v>0.33305072554765464</v>
      </c>
      <c r="Y34" s="958">
        <f>IF(((D34+I34+D35+I35)*$B$2)&lt;=0,0,((D34+I34+D35+I35)*S34*$B$2))</f>
        <v>0.27530564059773821</v>
      </c>
      <c r="Z34" s="702"/>
      <c r="AA34" s="83" t="s">
        <v>311</v>
      </c>
      <c r="AB34" s="83" t="str">
        <f t="shared" si="3"/>
        <v>RWH_Det_OILLPG_X0</v>
      </c>
      <c r="AC34" s="83" t="str">
        <f t="shared" si="3"/>
        <v>Residential Water Heating Detached_LPG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COMM!$N$17&amp;"_"&amp;RIGHT(O36,LEN(O36)-3)&amp;"_"&amp;SETUP!$B$64</f>
        <v>RWH_Det_ELC_X0</v>
      </c>
      <c r="N35" s="747" t="str">
        <f>COMM!$O$17&amp;"_"&amp;COMM!E24&amp;"_"&amp;SETUP!$C$64</f>
        <v>Residential Water Heating Detached_Electricity to Residential_Existing 00</v>
      </c>
      <c r="O35" s="747" t="str">
        <f>COMM!$D$24</f>
        <v>RSDELC</v>
      </c>
      <c r="P35" s="747" t="str">
        <f>COMM!$N$17</f>
        <v>RWH_Det</v>
      </c>
      <c r="Q35" s="945">
        <f>E49/SUM($E$31:$E$49)</f>
        <v>2.3967429560717617E-2</v>
      </c>
      <c r="R35" s="946">
        <f>Q35*DwellingStocks!$K$38/1000</f>
        <v>17.362718501497248</v>
      </c>
      <c r="S35" s="947">
        <f>IFERROR((R35*1000)/E49,0)</f>
        <v>2.7564245914426495</v>
      </c>
      <c r="T35" s="948">
        <f>T11</f>
        <v>0.99952095808383234</v>
      </c>
      <c r="U35" s="948">
        <f t="shared" si="5"/>
        <v>1.2922501771018165E-2</v>
      </c>
      <c r="V35" s="949">
        <v>20</v>
      </c>
      <c r="W35" s="949">
        <v>1</v>
      </c>
      <c r="X35" s="950">
        <f t="shared" si="6"/>
        <v>0.22436976058528807</v>
      </c>
      <c r="Y35" s="950">
        <f>IF(((D49+I49)*$B$2)&lt;=0,0,((D49+I49)*S35*$B$2))</f>
        <v>0.22426227806524721</v>
      </c>
      <c r="Z35" s="702"/>
      <c r="AA35" s="747" t="s">
        <v>311</v>
      </c>
      <c r="AB35" s="747" t="str">
        <f t="shared" si="3"/>
        <v>RWH_Det_ELC_X0</v>
      </c>
      <c r="AC35" s="747" t="str">
        <f t="shared" si="3"/>
        <v>Residential Water Heating Detached_Electricity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1257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COMM!$N$17&amp;"_"&amp;RIGHT(O36,LEN(O36)-3)&amp;"_"&amp;SETUP!$B$65</f>
        <v>RWH_Det_ELC_X1</v>
      </c>
      <c r="N36" s="951" t="str">
        <f>COMM!$O$17&amp;"_"&amp;COMM!E24&amp;"_"&amp;SETUP!$C$65</f>
        <v>Residential Water Heating Detached_Electricity to Residential_Existing 01</v>
      </c>
      <c r="O36" s="83" t="str">
        <f>COMM!$D$24</f>
        <v>RSDELC</v>
      </c>
      <c r="P36" s="83" t="str">
        <f>COMM!$N$17</f>
        <v>RWH_Det</v>
      </c>
      <c r="Q36" s="952">
        <f>E36/SUM($E$31:$E$49)</f>
        <v>4.3852139337556835E-2</v>
      </c>
      <c r="R36" s="953">
        <f>Q36*DwellingStocks!$K$38/1000</f>
        <v>31.767793416376534</v>
      </c>
      <c r="S36" s="954">
        <f>IFERROR((R36*1000)/E36,0)</f>
        <v>2.7564245914426495</v>
      </c>
      <c r="T36" s="955">
        <f>T12</f>
        <v>3.0897837837837834</v>
      </c>
      <c r="U36" s="955">
        <f t="shared" si="5"/>
        <v>2.2847626471653821E-3</v>
      </c>
      <c r="V36" s="956">
        <v>20</v>
      </c>
      <c r="W36" s="956">
        <v>1</v>
      </c>
      <c r="X36" s="957">
        <f t="shared" si="6"/>
        <v>7.2581867780603451E-2</v>
      </c>
      <c r="Y36" s="958">
        <f>IF(((D49+I49)*$B$2)&lt;=0,0,((D49+I49)*S36*$B$2))</f>
        <v>0.22426227806524721</v>
      </c>
      <c r="Z36" s="702"/>
      <c r="AA36" s="83" t="s">
        <v>311</v>
      </c>
      <c r="AB36" s="83" t="str">
        <f t="shared" si="3"/>
        <v>RWH_Det_ELC_X1</v>
      </c>
      <c r="AC36" s="83" t="str">
        <f t="shared" si="3"/>
        <v>Residential Water Heating Detached_Electricity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COMM!$N$17&amp;"_"&amp;RIGHT(O37,LEN(O37)-3)&amp;"_"&amp;SETUP!$B$64</f>
        <v>RWH_Det_OILKER_X0</v>
      </c>
      <c r="N37" s="747" t="str">
        <f>COMM!$O$17&amp;"_"&amp;COMM!E10&amp;"_"&amp;SETUP!$C$64</f>
        <v>Residential Water Heating Detached_Kerosene to Residential_Existing 00</v>
      </c>
      <c r="O37" s="747" t="str">
        <f>COMM!$D$10</f>
        <v>RSDOILKER</v>
      </c>
      <c r="P37" s="747" t="str">
        <f>COMM!$N$17</f>
        <v>RWH_Det</v>
      </c>
      <c r="Q37" s="945">
        <f>E37/SUM($E$31:$E$49)</f>
        <v>0.69691988661225579</v>
      </c>
      <c r="R37" s="946">
        <f>Q37*DwellingStocks!$K$38/1000</f>
        <v>504.86948459322718</v>
      </c>
      <c r="S37" s="947">
        <f t="shared" ref="S37:S39" si="7">IFERROR((R37*1000)/E37,0)</f>
        <v>2.7564245914426495</v>
      </c>
      <c r="T37" s="948">
        <f t="shared" ref="T37:T41" si="8">T13</f>
        <v>0.82280373831775711</v>
      </c>
      <c r="U37" s="948">
        <f t="shared" si="5"/>
        <v>2.1335197056494098E-2</v>
      </c>
      <c r="V37" s="949">
        <v>20</v>
      </c>
      <c r="W37" s="949">
        <v>1</v>
      </c>
      <c r="X37" s="950">
        <f t="shared" si="6"/>
        <v>10.771489941607113</v>
      </c>
      <c r="Y37" s="950">
        <f t="shared" ref="Y37:Y39" si="9">IF(((D37+I37)*$B$2)&lt;=0,0,((D37+I37)*S37*$B$2))</f>
        <v>8.8628221912064511</v>
      </c>
      <c r="Z37" s="702"/>
      <c r="AA37" s="747" t="s">
        <v>311</v>
      </c>
      <c r="AB37" s="747" t="str">
        <f t="shared" si="3"/>
        <v>RWH_Det_OILKER_X0</v>
      </c>
      <c r="AC37" s="747" t="str">
        <f t="shared" si="3"/>
        <v>Residential Water Heating Detached_Kerosene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COMM!$N$17&amp;"_"&amp;RIGHT(O39,LEN(O39)-3)&amp;"_"&amp;SETUP!$B$64</f>
        <v>RWH_Det_GASNAT_X0</v>
      </c>
      <c r="N39" s="747" t="str">
        <f>COMM!$O$17&amp;"_"&amp;COMM!E14&amp;"_"&amp;SETUP!$C$64</f>
        <v>Residential Water Heating Detached_Natural Gas to Residential_Existing 00</v>
      </c>
      <c r="O39" s="747" t="str">
        <f>COMM!$D$14</f>
        <v>RSDGASNAT</v>
      </c>
      <c r="P39" s="747" t="str">
        <f>COMM!$N$17</f>
        <v>RWH_Det</v>
      </c>
      <c r="Q39" s="945">
        <f>E39/SUM($E$31:$E$49)</f>
        <v>0.1580579495082092</v>
      </c>
      <c r="R39" s="946">
        <f>Q39*DwellingStocks!$K$38/1000</f>
        <v>114.50187752852766</v>
      </c>
      <c r="S39" s="947">
        <f t="shared" si="7"/>
        <v>2.7564245914426495</v>
      </c>
      <c r="T39" s="948">
        <f t="shared" si="8"/>
        <v>0.82728758169934635</v>
      </c>
      <c r="U39" s="948">
        <f t="shared" si="5"/>
        <v>2.0654538313485044E-2</v>
      </c>
      <c r="V39" s="949">
        <v>20</v>
      </c>
      <c r="W39" s="949">
        <v>1</v>
      </c>
      <c r="X39" s="950">
        <f t="shared" si="6"/>
        <v>2.3649834163789465</v>
      </c>
      <c r="Y39" s="950">
        <f t="shared" si="9"/>
        <v>1.956521411295197</v>
      </c>
      <c r="Z39" s="702"/>
      <c r="AA39" s="747" t="s">
        <v>311</v>
      </c>
      <c r="AB39" s="747" t="str">
        <f t="shared" si="3"/>
        <v>RWH_Det_GASNAT_X0</v>
      </c>
      <c r="AC39" s="747" t="str">
        <f t="shared" si="3"/>
        <v>Residential Water Heating Detached_Natural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674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COMM!$N$17&amp;"_"&amp;RIGHT(O41,LEN(O41)-3)&amp;"_"&amp;SETUP!$B$64</f>
        <v>RWH_Det_PEA_X0</v>
      </c>
      <c r="N41" s="747" t="str">
        <f>COMM!$O$17&amp;"_"&amp;COMM!E7&amp;"_"&amp;SETUP!$C$64</f>
        <v>Residential Water Heating Detached_Peat to Residential_Existing 00</v>
      </c>
      <c r="O41" s="747" t="str">
        <f>COMM!$D$7</f>
        <v>RSDPEA</v>
      </c>
      <c r="P41" s="747" t="str">
        <f>COMM!$N$17</f>
        <v>RWH_Det</v>
      </c>
      <c r="Q41" s="945">
        <f>(E41+E42)/SUM($E$31:$E$49)</f>
        <v>3.0135266251926258E-3</v>
      </c>
      <c r="R41" s="946">
        <f>Q41*DwellingStocks!$K$38/1000</f>
        <v>2.1830882764225783</v>
      </c>
      <c r="S41" s="947">
        <f>(R41*1000)/(E42+E41)</f>
        <v>2.7564245914426495</v>
      </c>
      <c r="T41" s="948">
        <f t="shared" si="8"/>
        <v>0.5457894736842106</v>
      </c>
      <c r="U41" s="948">
        <f t="shared" si="5"/>
        <v>4.0892573858157262E-2</v>
      </c>
      <c r="V41" s="949">
        <v>20</v>
      </c>
      <c r="W41" s="949">
        <v>1</v>
      </c>
      <c r="X41" s="950">
        <f t="shared" si="6"/>
        <v>8.9272098582487525E-2</v>
      </c>
      <c r="Y41" s="950">
        <f>IF(((D41+I41+D42+I42)*$B$2)&lt;=0,0,((D41+I41+D42+I42)*S41*$B$2))</f>
        <v>4.8723771700020832E-2</v>
      </c>
      <c r="Z41" s="702"/>
      <c r="AA41" s="747" t="s">
        <v>311</v>
      </c>
      <c r="AB41" s="747" t="str">
        <f t="shared" si="3"/>
        <v>RWH_Det_PEA_X0</v>
      </c>
      <c r="AC41" s="747" t="str">
        <f t="shared" si="3"/>
        <v>Residential Water Heating Detached_Peat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COMM!$N$17&amp;"_"&amp;RIGHT(COMM!D23,LEN(COMM!D23)-3)&amp;"_"&amp;SETUP!B64</f>
        <v>RWH_Det_SMF_X0</v>
      </c>
      <c r="N43" s="951" t="str">
        <f>COMM!$O$17&amp;"_"&amp;COMM!E23&amp;"_"&amp;SETUP!C64</f>
        <v>Residential Water Heating Detached_Solid Multi-Fuel_Existing 00</v>
      </c>
      <c r="O43" s="83" t="str">
        <f>COMM!D6&amp;","&amp;COMM!D7&amp;","&amp;COMM!D16</f>
        <v>RSDCOA,RSDPEA,RSDBIOWOO</v>
      </c>
      <c r="P43" s="83" t="str">
        <f>COMM!$N$17</f>
        <v>RWH_Det</v>
      </c>
      <c r="Q43" s="952">
        <f>E43/SUM($E$31:$E$49)</f>
        <v>4.0694024313680723E-2</v>
      </c>
      <c r="R43" s="953">
        <f>Q43*DwellingStocks!$K$38/1000</f>
        <v>29.479961005479133</v>
      </c>
      <c r="S43" s="954">
        <f>(R43*1000)/E43</f>
        <v>2.7564245914426491</v>
      </c>
      <c r="T43" s="955">
        <f>T19</f>
        <v>0.61474226804123711</v>
      </c>
      <c r="U43" s="955">
        <f t="shared" ref="U43:U45" si="10">X43/R43/W43</f>
        <v>3.1497118830262072E-2</v>
      </c>
      <c r="V43" s="956">
        <v>20</v>
      </c>
      <c r="W43" s="956">
        <v>1</v>
      </c>
      <c r="X43" s="957">
        <f t="shared" ref="X43" si="11">Y43/T43</f>
        <v>0.92853383490106833</v>
      </c>
      <c r="Y43" s="958">
        <f>IF(((D43+I43)*$B$2)&lt;=0,0,((D43+I43)*S43*$B$2))</f>
        <v>0.57080899562011034</v>
      </c>
      <c r="Z43" s="702"/>
      <c r="AA43" s="747" t="s">
        <v>311</v>
      </c>
      <c r="AB43" s="747" t="str">
        <f t="shared" ref="AB43:AC45" si="12">M43</f>
        <v>RWH_Det_SMF_X0</v>
      </c>
      <c r="AC43" s="747" t="str">
        <f t="shared" si="12"/>
        <v>Residential Water Heating Detached_Solid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COMM!$N$17&amp;"_"&amp;RIGHT(O44,LEN(O44)-3)&amp;"_"&amp;SETUP!B64</f>
        <v>RWH_Det_BIOWOO_X0</v>
      </c>
      <c r="N44" s="747" t="str">
        <f>COMM!$O$17&amp;"_"&amp;COMM!E16&amp;"_"&amp;SETUP!C64</f>
        <v>Residential Water Heating Detached_Biomass and Renewable Waste to Residential_Existing 00</v>
      </c>
      <c r="O44" s="747" t="str">
        <f>COMM!D16</f>
        <v>RSDBIOWOO</v>
      </c>
      <c r="P44" s="747" t="str">
        <f>COMM!$N$17</f>
        <v>RWH_Det</v>
      </c>
      <c r="Q44" s="945">
        <f>(E47+E44+E45+E46)/SUM($E$31:$E$49)</f>
        <v>4.8513212716169169E-3</v>
      </c>
      <c r="R44" s="946">
        <f>Q44*DwellingStocks!$K$38/1000</f>
        <v>3.5144413540893784</v>
      </c>
      <c r="S44" s="947">
        <f>(R44*1000)/(E47+E44+E45+E46)</f>
        <v>2.7564245914426495</v>
      </c>
      <c r="T44" s="948">
        <f t="shared" ref="T44:T45" si="13">T20</f>
        <v>0.72928609692169366</v>
      </c>
      <c r="U44" s="948">
        <f t="shared" si="10"/>
        <v>2.5158064716952151E-2</v>
      </c>
      <c r="V44" s="949">
        <v>20</v>
      </c>
      <c r="W44" s="949">
        <v>1</v>
      </c>
      <c r="X44" s="950">
        <f>Y44/T44</f>
        <v>8.8416543030113537E-2</v>
      </c>
      <c r="Y44" s="950">
        <f>IF(((D44+I44+D45+I45+D46+I46+D47+I47)*$B$2)&lt;=0,0,((D44+I44+D45+I45+D46+I46+D47+I47)*S44*$B$2))</f>
        <v>6.4480955569740483E-2</v>
      </c>
      <c r="Z44" s="702"/>
      <c r="AA44" s="83" t="s">
        <v>311</v>
      </c>
      <c r="AB44" s="83" t="str">
        <f t="shared" si="12"/>
        <v>RWH_Det_BIOWOO_X0</v>
      </c>
      <c r="AC44" s="83" t="str">
        <f t="shared" si="12"/>
        <v>Residential Water Heating Detached_Biomass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COMM!$N$17&amp;"_"&amp;RIGHT(O45,LEN(O45)-3)&amp;"_"&amp;SETUP!B64</f>
        <v>RWH_Det_HET_X0</v>
      </c>
      <c r="N45" s="951" t="str">
        <f>COMM!$O$17&amp;"_"&amp;COMM!E25&amp;"_"&amp;SETUP!C64</f>
        <v>Residential Water Heating Detached_Heat to Residential_Existing 00</v>
      </c>
      <c r="O45" s="83" t="str">
        <f>COMM!D25</f>
        <v>RSDHET</v>
      </c>
      <c r="P45" s="83" t="str">
        <f>COMM!$N$17</f>
        <v>RWH_Det</v>
      </c>
      <c r="Q45" s="952">
        <f>E48/SUM($E$31:$E$49)</f>
        <v>7.2294199341742292E-4</v>
      </c>
      <c r="R45" s="953">
        <f>Q45*DwellingStocks!$K$38/1000</f>
        <v>0.52372067237410336</v>
      </c>
      <c r="S45" s="954">
        <f>(R45*1000)/E48</f>
        <v>2.7564245914426495</v>
      </c>
      <c r="T45" s="955">
        <f t="shared" si="13"/>
        <v>0.65865731206453049</v>
      </c>
      <c r="U45" s="955">
        <f t="shared" si="10"/>
        <v>2.9677201882381521E-3</v>
      </c>
      <c r="V45" s="956">
        <v>20</v>
      </c>
      <c r="W45" s="956">
        <v>1</v>
      </c>
      <c r="X45" s="957">
        <f>Y45/T45</f>
        <v>1.5542564124022857E-3</v>
      </c>
      <c r="Y45" s="958">
        <f>IF(((D48+I48)*$B$2)&lt;=0,0,((D48+I48)*S45*$B$2))</f>
        <v>1.0237223508519498E-3</v>
      </c>
      <c r="Z45" s="702"/>
      <c r="AA45" s="747" t="s">
        <v>311</v>
      </c>
      <c r="AB45" s="747" t="str">
        <f t="shared" si="12"/>
        <v>RWH_Det_HET_X0</v>
      </c>
      <c r="AC45" s="747" t="str">
        <f t="shared" si="12"/>
        <v>Residential Water Heating Detached_Heat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659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1258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4"/>
      <c r="N49" s="944"/>
      <c r="O49" s="944"/>
      <c r="P49" s="944"/>
      <c r="Q49" s="944"/>
      <c r="R49" s="939">
        <f>SUM(R29:R47)</f>
        <v>724.42972900000007</v>
      </c>
      <c r="S49" s="944"/>
      <c r="T49" s="944"/>
      <c r="U49" s="944"/>
      <c r="V49" s="944"/>
      <c r="W49" s="944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1263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1263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587</v>
      </c>
      <c r="H52" s="647" t="s">
        <v>476</v>
      </c>
      <c r="J52" s="702"/>
      <c r="K52" s="702"/>
      <c r="L52" s="73" t="s">
        <v>1301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1242</v>
      </c>
      <c r="V52" s="86" t="s">
        <v>304</v>
      </c>
      <c r="W52" s="86" t="s">
        <v>316</v>
      </c>
      <c r="X52" s="86" t="s">
        <v>1241</v>
      </c>
      <c r="Y52" s="91" t="s">
        <v>1240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1302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COMM!N20&amp;"_"&amp;SETUP!B64</f>
        <v>RLT_Det_X0</v>
      </c>
      <c r="N54" s="920" t="str">
        <f>COMM!$O$20&amp;"_"&amp;SETUP!$B$64</f>
        <v>Residential Lighting Detached_X0</v>
      </c>
      <c r="O54" s="934" t="str">
        <f>COMM!D24</f>
        <v>RSDELC</v>
      </c>
      <c r="P54" s="920" t="str">
        <f>COMM!$N$20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4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 t="shared" ref="AB54:AC55" si="15">M54</f>
        <v>RLT_Det_X0</v>
      </c>
      <c r="AC54" s="747" t="str">
        <f t="shared" si="15"/>
        <v>Residential Lighting Detached_X0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COMM!$N$23&amp;"_"&amp;SETUP!$B$64</f>
        <v>RPF_Det_X0</v>
      </c>
      <c r="N55" s="925" t="str">
        <f>COMM!$O$23&amp;"_"&amp;SETUP!$B$64</f>
        <v>Residential Pumps &amp; Fans Detached_X0</v>
      </c>
      <c r="O55" s="83" t="str">
        <f>COMM!D24</f>
        <v>RSDELC</v>
      </c>
      <c r="P55" s="148" t="str">
        <f>COMM!$N$23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4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 t="shared" si="15"/>
        <v>RPF_Det_X0</v>
      </c>
      <c r="AC55" s="83" t="str">
        <f t="shared" si="15"/>
        <v>Residential Pumps &amp; Fans Detached_X0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8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8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8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26" t="s">
        <v>500</v>
      </c>
      <c r="B1" s="1026"/>
      <c r="C1" s="1026"/>
      <c r="D1" s="1026"/>
      <c r="E1" s="1026"/>
      <c r="F1" s="1026"/>
      <c r="G1" s="1026"/>
      <c r="H1" s="1026"/>
      <c r="I1" s="1026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671</v>
      </c>
      <c r="AD6" t="s">
        <v>496</v>
      </c>
      <c r="AE6" t="s">
        <v>672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659</v>
      </c>
      <c r="AE7" t="s">
        <v>659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659</v>
      </c>
      <c r="AD9" t="s">
        <v>164</v>
      </c>
      <c r="AE9" t="s">
        <v>659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659</v>
      </c>
      <c r="AD10" t="s">
        <v>491</v>
      </c>
      <c r="AE10" t="s">
        <v>659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659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659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659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659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659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674</v>
      </c>
      <c r="AD16" t="s">
        <v>164</v>
      </c>
      <c r="AE16" t="s">
        <v>659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674</v>
      </c>
      <c r="AD17" t="s">
        <v>493</v>
      </c>
      <c r="AE17" t="s">
        <v>659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659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659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659</v>
      </c>
      <c r="AD20" t="s">
        <v>164</v>
      </c>
      <c r="AE20" t="s">
        <v>659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659</v>
      </c>
      <c r="AD21" t="s">
        <v>493</v>
      </c>
      <c r="AE21" t="s">
        <v>659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659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659</v>
      </c>
      <c r="AD24" t="s">
        <v>492</v>
      </c>
      <c r="AE24" t="s">
        <v>659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659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659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659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674</v>
      </c>
      <c r="AD29" t="s">
        <v>493</v>
      </c>
      <c r="AE29" t="s">
        <v>659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659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659</v>
      </c>
      <c r="AD32" t="s">
        <v>493</v>
      </c>
      <c r="AE32" t="s">
        <v>659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659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659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659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659</v>
      </c>
      <c r="AE36" t="s">
        <v>659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659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659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659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659</v>
      </c>
      <c r="AD40" t="s">
        <v>491</v>
      </c>
      <c r="AE40" t="s">
        <v>659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659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674</v>
      </c>
      <c r="AD43" t="s">
        <v>164</v>
      </c>
      <c r="AE43" t="s">
        <v>659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659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659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659</v>
      </c>
      <c r="AD46" t="s">
        <v>164</v>
      </c>
      <c r="AE46" t="s">
        <v>659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659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659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674</v>
      </c>
      <c r="AD49" t="s">
        <v>164</v>
      </c>
      <c r="AE49" t="s">
        <v>659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674</v>
      </c>
      <c r="AD50" t="s">
        <v>492</v>
      </c>
      <c r="AE50" t="s">
        <v>659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659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659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659</v>
      </c>
      <c r="AD53" t="s">
        <v>492</v>
      </c>
      <c r="AE53" t="s">
        <v>659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659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659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659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674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674</v>
      </c>
      <c r="AD60" t="s">
        <v>493</v>
      </c>
      <c r="AE60" t="s">
        <v>659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649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659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659</v>
      </c>
      <c r="AD64" t="s">
        <v>493</v>
      </c>
      <c r="AE64" t="s">
        <v>659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659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659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659</v>
      </c>
      <c r="AE68" t="s">
        <v>659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659</v>
      </c>
      <c r="AD69" t="s">
        <v>512</v>
      </c>
      <c r="AE69" t="s">
        <v>659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659</v>
      </c>
      <c r="AD70" t="s">
        <v>493</v>
      </c>
      <c r="AE70" t="s">
        <v>659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659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659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659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659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659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659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659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659</v>
      </c>
      <c r="AD80" t="s">
        <v>491</v>
      </c>
      <c r="AE80" t="s">
        <v>659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659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659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675</v>
      </c>
      <c r="AD84" t="s">
        <v>164</v>
      </c>
      <c r="AE84" t="s">
        <v>659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659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674</v>
      </c>
      <c r="AD86" t="s">
        <v>164</v>
      </c>
      <c r="AE86" t="s">
        <v>659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659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659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659</v>
      </c>
      <c r="AD89" t="s">
        <v>164</v>
      </c>
      <c r="AE89" t="s">
        <v>659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659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659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649</v>
      </c>
      <c r="E93" s="604" t="s">
        <v>649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675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675</v>
      </c>
      <c r="AD94" t="s">
        <v>492</v>
      </c>
      <c r="AE94" t="s">
        <v>659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659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674</v>
      </c>
      <c r="AD96" t="s">
        <v>492</v>
      </c>
      <c r="AE96" t="s">
        <v>659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659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659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659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659</v>
      </c>
      <c r="AD101" t="s">
        <v>492</v>
      </c>
      <c r="AE101" t="s">
        <v>659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659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673</v>
      </c>
      <c r="AD103" t="s">
        <v>493</v>
      </c>
      <c r="AE103" t="s">
        <v>659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659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659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659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659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674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674</v>
      </c>
      <c r="AD112" t="s">
        <v>493</v>
      </c>
      <c r="AE112" t="s">
        <v>659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659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659</v>
      </c>
      <c r="AD115" t="s">
        <v>491</v>
      </c>
      <c r="AE115" t="s">
        <v>659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659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659</v>
      </c>
      <c r="AD117" t="s">
        <v>493</v>
      </c>
      <c r="AE117" t="s">
        <v>659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659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659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659</v>
      </c>
      <c r="AE121" t="s">
        <v>659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659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659</v>
      </c>
      <c r="AD123" t="s">
        <v>512</v>
      </c>
      <c r="AE123" t="s">
        <v>659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659</v>
      </c>
      <c r="AD124" t="s">
        <v>493</v>
      </c>
      <c r="AE124" t="s">
        <v>659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659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659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649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659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659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659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649</v>
      </c>
      <c r="E133" t="s">
        <v>649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674</v>
      </c>
      <c r="AD133" t="s">
        <v>491</v>
      </c>
      <c r="AE133" t="s">
        <v>659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659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659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659</v>
      </c>
      <c r="AD137" t="s">
        <v>512</v>
      </c>
      <c r="AE137" t="s">
        <v>659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659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659</v>
      </c>
      <c r="AD139" t="s">
        <v>491</v>
      </c>
      <c r="AE139" t="s">
        <v>659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659</v>
      </c>
      <c r="AD140" t="s">
        <v>493</v>
      </c>
      <c r="AE140" t="s">
        <v>659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649</v>
      </c>
      <c r="E141" t="s">
        <v>649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659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659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659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675</v>
      </c>
      <c r="AD145" t="s">
        <v>164</v>
      </c>
      <c r="AE145" t="s">
        <v>659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675</v>
      </c>
      <c r="AD146" t="s">
        <v>492</v>
      </c>
      <c r="AE146" t="s">
        <v>659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659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674</v>
      </c>
      <c r="AD148" t="s">
        <v>164</v>
      </c>
      <c r="AE148" t="s">
        <v>659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649</v>
      </c>
      <c r="E149" t="s">
        <v>649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659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659</v>
      </c>
      <c r="AD150" t="s">
        <v>512</v>
      </c>
      <c r="AE150" t="s">
        <v>659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659</v>
      </c>
      <c r="AD151" t="s">
        <v>491</v>
      </c>
      <c r="AE151" t="s">
        <v>659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659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659</v>
      </c>
      <c r="AD153" t="s">
        <v>164</v>
      </c>
      <c r="AE153" t="s">
        <v>659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649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659</v>
      </c>
      <c r="AD154" t="s">
        <v>492</v>
      </c>
      <c r="AE154" t="s">
        <v>659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659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659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649</v>
      </c>
      <c r="E157" t="s">
        <v>649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659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675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675</v>
      </c>
      <c r="AD160" t="s">
        <v>492</v>
      </c>
      <c r="AE160" t="s">
        <v>659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675</v>
      </c>
      <c r="AD161" t="s">
        <v>513</v>
      </c>
      <c r="AE161" t="s">
        <v>659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659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674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674</v>
      </c>
      <c r="AD165" t="s">
        <v>492</v>
      </c>
      <c r="AE165" t="s">
        <v>659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659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659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659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659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659</v>
      </c>
      <c r="AD171" t="s">
        <v>492</v>
      </c>
      <c r="AE171" t="s">
        <v>659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659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659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659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659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659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674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674</v>
      </c>
      <c r="AD183" t="s">
        <v>493</v>
      </c>
      <c r="AE183" t="s">
        <v>659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659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659</v>
      </c>
      <c r="AD186" t="s">
        <v>491</v>
      </c>
      <c r="AE186" t="s">
        <v>659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659</v>
      </c>
      <c r="AD187" t="s">
        <v>164</v>
      </c>
      <c r="AE187" t="s">
        <v>659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659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659</v>
      </c>
      <c r="AD189" t="s">
        <v>493</v>
      </c>
      <c r="AE189" t="s">
        <v>659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659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659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659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659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659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659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659</v>
      </c>
      <c r="AD196" t="s">
        <v>493</v>
      </c>
      <c r="AE196" t="s">
        <v>659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659</v>
      </c>
      <c r="AD197" t="s">
        <v>494</v>
      </c>
      <c r="AE197" t="s">
        <v>659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649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659</v>
      </c>
      <c r="AE198" t="s">
        <v>659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659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673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649</v>
      </c>
      <c r="E202" t="s">
        <v>649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659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659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674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659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659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659</v>
      </c>
      <c r="AD210" t="s">
        <v>512</v>
      </c>
      <c r="AE210" t="s">
        <v>659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659</v>
      </c>
      <c r="AD211" t="s">
        <v>493</v>
      </c>
      <c r="AE211" t="s">
        <v>659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659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649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659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649</v>
      </c>
      <c r="E217" t="s">
        <v>649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659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659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659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674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674</v>
      </c>
      <c r="AD222" t="s">
        <v>491</v>
      </c>
      <c r="AE222" t="s">
        <v>659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674</v>
      </c>
      <c r="AD223" t="s">
        <v>164</v>
      </c>
      <c r="AE223" t="s">
        <v>659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659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659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659</v>
      </c>
      <c r="AD227" t="s">
        <v>512</v>
      </c>
      <c r="AE227" t="s">
        <v>659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659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659</v>
      </c>
      <c r="AD229" t="s">
        <v>491</v>
      </c>
      <c r="AE229" t="s">
        <v>659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659</v>
      </c>
      <c r="AD230" t="s">
        <v>164</v>
      </c>
      <c r="AE230" t="s">
        <v>659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659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659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659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659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659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659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659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659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659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659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659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674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674</v>
      </c>
      <c r="AD245" t="s">
        <v>164</v>
      </c>
      <c r="AE245" t="s">
        <v>659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674</v>
      </c>
      <c r="AD246" t="s">
        <v>674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659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659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659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659</v>
      </c>
      <c r="AD251" t="s">
        <v>512</v>
      </c>
      <c r="AE251" t="s">
        <v>659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659</v>
      </c>
      <c r="AD252" t="s">
        <v>491</v>
      </c>
      <c r="AE252" t="s">
        <v>659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659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659</v>
      </c>
      <c r="AD254" t="s">
        <v>164</v>
      </c>
      <c r="AE254" t="s">
        <v>659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659</v>
      </c>
      <c r="AD255" t="s">
        <v>492</v>
      </c>
      <c r="AE255" t="s">
        <v>659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659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659</v>
      </c>
      <c r="AD257" t="s">
        <v>493</v>
      </c>
      <c r="AE257" t="s">
        <v>659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659</v>
      </c>
      <c r="AD258" t="s">
        <v>513</v>
      </c>
      <c r="AE258" t="s">
        <v>659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659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659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659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673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659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659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659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659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675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675</v>
      </c>
      <c r="AD271" t="s">
        <v>492</v>
      </c>
      <c r="AE271" t="s">
        <v>659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675</v>
      </c>
      <c r="AD272" t="s">
        <v>674</v>
      </c>
      <c r="AE272" t="s">
        <v>659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659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659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659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674</v>
      </c>
      <c r="AD277" t="s">
        <v>164</v>
      </c>
      <c r="AE277" t="s">
        <v>659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674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674</v>
      </c>
      <c r="AD279" t="s">
        <v>492</v>
      </c>
      <c r="AE279" t="s">
        <v>659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659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659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659</v>
      </c>
      <c r="AD288" t="s">
        <v>164</v>
      </c>
      <c r="AE288" t="s">
        <v>659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659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659</v>
      </c>
      <c r="AD290" t="s">
        <v>492</v>
      </c>
      <c r="AE290" t="s">
        <v>659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659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649</v>
      </c>
      <c r="E292" t="s">
        <v>649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659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659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673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673</v>
      </c>
      <c r="AD297" t="s">
        <v>493</v>
      </c>
      <c r="AE297" t="s">
        <v>659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659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659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659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659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675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659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659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659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674</v>
      </c>
      <c r="AE314" t="s">
        <v>659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674</v>
      </c>
      <c r="AD315" t="s">
        <v>491</v>
      </c>
      <c r="AE315" t="s">
        <v>659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674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674</v>
      </c>
      <c r="AD317" t="s">
        <v>493</v>
      </c>
      <c r="AE317" t="s">
        <v>659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659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659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649</v>
      </c>
      <c r="E321" t="s">
        <v>649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659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659</v>
      </c>
      <c r="AD323" t="s">
        <v>512</v>
      </c>
      <c r="AE323" t="s">
        <v>659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659</v>
      </c>
      <c r="AD324" t="s">
        <v>491</v>
      </c>
      <c r="AE324" t="s">
        <v>659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659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659</v>
      </c>
      <c r="AD326" t="s">
        <v>164</v>
      </c>
      <c r="AE326" t="s">
        <v>659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659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659</v>
      </c>
      <c r="AD328" t="s">
        <v>493</v>
      </c>
      <c r="AE328" t="s">
        <v>659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659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659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659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659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674</v>
      </c>
      <c r="AC334" t="s">
        <v>659</v>
      </c>
      <c r="AD334" t="s">
        <v>674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659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659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675</v>
      </c>
      <c r="AD338" t="s">
        <v>513</v>
      </c>
      <c r="AE338" t="s">
        <v>659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659</v>
      </c>
      <c r="AD339" t="s">
        <v>164</v>
      </c>
      <c r="AE339" t="s">
        <v>659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659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659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659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649</v>
      </c>
      <c r="E343" t="s">
        <v>649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674</v>
      </c>
      <c r="AD343" t="s">
        <v>494</v>
      </c>
      <c r="AE343" t="s">
        <v>659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659</v>
      </c>
      <c r="AD344" t="s">
        <v>164</v>
      </c>
      <c r="AE344" t="s">
        <v>659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659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659</v>
      </c>
      <c r="AD346" t="s">
        <v>494</v>
      </c>
      <c r="AE346" t="s">
        <v>659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659</v>
      </c>
      <c r="AE347" t="s">
        <v>659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659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659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649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649</v>
      </c>
      <c r="E354" t="s">
        <v>649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674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659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659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659</v>
      </c>
      <c r="AD359" t="s">
        <v>512</v>
      </c>
      <c r="AE359" t="s">
        <v>659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659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659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659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674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674</v>
      </c>
      <c r="AD367" t="s">
        <v>491</v>
      </c>
      <c r="AE367" t="s">
        <v>659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674</v>
      </c>
      <c r="AD368" t="s">
        <v>492</v>
      </c>
      <c r="AE368" t="s">
        <v>659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659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659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659</v>
      </c>
      <c r="AD372" t="s">
        <v>491</v>
      </c>
      <c r="AE372" t="s">
        <v>659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673</v>
      </c>
      <c r="AD373" t="s">
        <v>164</v>
      </c>
      <c r="AE373" t="s">
        <v>659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659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659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659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659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659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659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659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675</v>
      </c>
      <c r="AD383" t="s">
        <v>164</v>
      </c>
      <c r="AE383" t="s">
        <v>659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659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649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659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659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674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674</v>
      </c>
      <c r="AD390" t="s">
        <v>164</v>
      </c>
      <c r="AE390" t="s">
        <v>659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674</v>
      </c>
      <c r="AD391" t="s">
        <v>674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659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649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659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659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659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659</v>
      </c>
      <c r="AD398" t="s">
        <v>490</v>
      </c>
      <c r="AE398" t="s">
        <v>659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659</v>
      </c>
      <c r="AD399" t="s">
        <v>512</v>
      </c>
      <c r="AE399" t="s">
        <v>659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659</v>
      </c>
      <c r="AD400" t="s">
        <v>491</v>
      </c>
      <c r="AE400" t="s">
        <v>659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659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659</v>
      </c>
      <c r="AD402" t="s">
        <v>164</v>
      </c>
      <c r="AE402" t="s">
        <v>659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659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659</v>
      </c>
      <c r="AD404" t="s">
        <v>492</v>
      </c>
      <c r="AE404" t="s">
        <v>659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659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659</v>
      </c>
      <c r="AD406" t="s">
        <v>493</v>
      </c>
      <c r="AE406" t="s">
        <v>659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659</v>
      </c>
      <c r="AD407" t="s">
        <v>513</v>
      </c>
      <c r="AE407" t="s">
        <v>659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659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659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673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659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659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659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675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649</v>
      </c>
      <c r="E420" t="s">
        <v>649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675</v>
      </c>
      <c r="AD420" t="s">
        <v>492</v>
      </c>
      <c r="AE420" t="s">
        <v>659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659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659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674</v>
      </c>
      <c r="AD425" t="s">
        <v>164</v>
      </c>
      <c r="AE425" t="s">
        <v>659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674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674</v>
      </c>
      <c r="AD427" t="s">
        <v>492</v>
      </c>
      <c r="AE427" t="s">
        <v>659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659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659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659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659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659</v>
      </c>
      <c r="AD438" t="s">
        <v>164</v>
      </c>
      <c r="AE438" t="s">
        <v>659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659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659</v>
      </c>
      <c r="AD440" t="s">
        <v>492</v>
      </c>
      <c r="AE440" t="s">
        <v>659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659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659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659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659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659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659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659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659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659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675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659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659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659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659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649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659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674</v>
      </c>
      <c r="AD462" t="s">
        <v>164</v>
      </c>
      <c r="AE462" t="s">
        <v>659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674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674</v>
      </c>
      <c r="AD464" t="s">
        <v>493</v>
      </c>
      <c r="AE464" t="s">
        <v>659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674</v>
      </c>
      <c r="AD465" t="s">
        <v>674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659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659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659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659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659</v>
      </c>
      <c r="AD472" t="s">
        <v>164</v>
      </c>
      <c r="AE472" t="s">
        <v>659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659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659</v>
      </c>
      <c r="AD474" t="s">
        <v>493</v>
      </c>
      <c r="AE474" t="s">
        <v>659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649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659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659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674</v>
      </c>
      <c r="AC478" t="s">
        <v>164</v>
      </c>
      <c r="AD478" t="s">
        <v>164</v>
      </c>
      <c r="AE478" t="s">
        <v>659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674</v>
      </c>
      <c r="AC479" t="s">
        <v>164</v>
      </c>
      <c r="AD479" t="s">
        <v>674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674</v>
      </c>
      <c r="AC480" t="s">
        <v>164</v>
      </c>
      <c r="AD480" t="s">
        <v>674</v>
      </c>
      <c r="AE480" t="s">
        <v>659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674</v>
      </c>
      <c r="AC481" t="s">
        <v>674</v>
      </c>
      <c r="AD481" t="s">
        <v>674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674</v>
      </c>
      <c r="AC482" t="s">
        <v>659</v>
      </c>
      <c r="AD482" t="s">
        <v>674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659</v>
      </c>
      <c r="AD484" t="s">
        <v>164</v>
      </c>
      <c r="AE484" t="s">
        <v>659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659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659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675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659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659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659</v>
      </c>
      <c r="AD493" t="s">
        <v>513</v>
      </c>
      <c r="AE493" t="s">
        <v>659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675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659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659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659</v>
      </c>
      <c r="AE499" t="s">
        <v>659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673</v>
      </c>
      <c r="AC500" t="s">
        <v>164</v>
      </c>
      <c r="AD500" t="s">
        <v>164</v>
      </c>
      <c r="AE500" t="s">
        <v>659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674</v>
      </c>
      <c r="AD504" t="s">
        <v>512</v>
      </c>
      <c r="AE504" t="s">
        <v>659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659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659</v>
      </c>
      <c r="AD507" t="s">
        <v>512</v>
      </c>
      <c r="AE507" t="s">
        <v>659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659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659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674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674</v>
      </c>
      <c r="AD511" t="s">
        <v>491</v>
      </c>
      <c r="AE511" t="s">
        <v>659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659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659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659</v>
      </c>
      <c r="AD515" t="s">
        <v>491</v>
      </c>
      <c r="AE515" t="s">
        <v>659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673</v>
      </c>
      <c r="AD516" t="s">
        <v>164</v>
      </c>
      <c r="AE516" t="s">
        <v>659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659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659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659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649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659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659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675</v>
      </c>
      <c r="AD524" t="s">
        <v>164</v>
      </c>
      <c r="AE524" t="s">
        <v>659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659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659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659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674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674</v>
      </c>
      <c r="AD532" t="s">
        <v>164</v>
      </c>
      <c r="AE532" t="s">
        <v>659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674</v>
      </c>
      <c r="AD533" t="s">
        <v>493</v>
      </c>
      <c r="AE533" t="s">
        <v>659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674</v>
      </c>
      <c r="AD534" t="s">
        <v>674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659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659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659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659</v>
      </c>
      <c r="AD541" t="s">
        <v>491</v>
      </c>
      <c r="AE541" t="s">
        <v>659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659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659</v>
      </c>
      <c r="AD543" t="s">
        <v>164</v>
      </c>
      <c r="AE543" t="s">
        <v>659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659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659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659</v>
      </c>
      <c r="AD546" t="s">
        <v>493</v>
      </c>
      <c r="AE546" t="s">
        <v>659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659</v>
      </c>
      <c r="AD547" t="s">
        <v>513</v>
      </c>
      <c r="AE547" t="s">
        <v>659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659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659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659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659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659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659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675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675</v>
      </c>
      <c r="AD558" t="s">
        <v>492</v>
      </c>
      <c r="AE558" t="s">
        <v>659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659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659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659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674</v>
      </c>
      <c r="AD564" t="s">
        <v>164</v>
      </c>
      <c r="AE564" t="s">
        <v>659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674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674</v>
      </c>
      <c r="AD566" t="s">
        <v>492</v>
      </c>
      <c r="AE566" t="s">
        <v>659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659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659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659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659</v>
      </c>
      <c r="AD574" t="s">
        <v>164</v>
      </c>
      <c r="AE574" t="s">
        <v>659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659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659</v>
      </c>
      <c r="AD576" t="s">
        <v>492</v>
      </c>
      <c r="AE576" t="s">
        <v>659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659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659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659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659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659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659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659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659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675</v>
      </c>
      <c r="AD589" t="s">
        <v>493</v>
      </c>
      <c r="AE589" t="s">
        <v>659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659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659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659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659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674</v>
      </c>
      <c r="AD596" t="s">
        <v>164</v>
      </c>
      <c r="AE596" t="s">
        <v>659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674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674</v>
      </c>
      <c r="AD598" t="s">
        <v>493</v>
      </c>
      <c r="AE598" t="s">
        <v>659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649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659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659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659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659</v>
      </c>
      <c r="AD604" t="s">
        <v>164</v>
      </c>
      <c r="AE604" t="s">
        <v>659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659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649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659</v>
      </c>
      <c r="AD606" t="s">
        <v>493</v>
      </c>
      <c r="AE606" t="s">
        <v>659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659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674</v>
      </c>
      <c r="AC609" t="s">
        <v>164</v>
      </c>
      <c r="AD609" t="s">
        <v>164</v>
      </c>
      <c r="AE609" t="s">
        <v>659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674</v>
      </c>
      <c r="AC610" t="s">
        <v>164</v>
      </c>
      <c r="AD610" t="s">
        <v>674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674</v>
      </c>
      <c r="AC611" t="s">
        <v>164</v>
      </c>
      <c r="AD611" t="s">
        <v>674</v>
      </c>
      <c r="AE611" t="s">
        <v>659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674</v>
      </c>
      <c r="AC612" t="s">
        <v>674</v>
      </c>
      <c r="AD612" t="s">
        <v>674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649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674</v>
      </c>
      <c r="AC613" t="s">
        <v>659</v>
      </c>
      <c r="AD613" t="s">
        <v>164</v>
      </c>
      <c r="AE613" t="s">
        <v>659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674</v>
      </c>
      <c r="AC614" t="s">
        <v>659</v>
      </c>
      <c r="AD614" t="s">
        <v>674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659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659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659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675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659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659</v>
      </c>
      <c r="AD623" t="s">
        <v>164</v>
      </c>
      <c r="AE623" t="s">
        <v>659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659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659</v>
      </c>
      <c r="AD625" t="s">
        <v>513</v>
      </c>
      <c r="AE625" t="s">
        <v>659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659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674</v>
      </c>
      <c r="AD627" t="s">
        <v>164</v>
      </c>
      <c r="AE627" t="s">
        <v>659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659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659</v>
      </c>
      <c r="AE629" t="s">
        <v>659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659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659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674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649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659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659</v>
      </c>
      <c r="AD638" t="s">
        <v>491</v>
      </c>
      <c r="AE638" t="s">
        <v>659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659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659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659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675</v>
      </c>
      <c r="AD644" t="s">
        <v>164</v>
      </c>
      <c r="AE644" t="s">
        <v>659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659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659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649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649</v>
      </c>
      <c r="E649" t="s">
        <v>649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674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674</v>
      </c>
      <c r="AD650" t="s">
        <v>164</v>
      </c>
      <c r="AE650" t="s">
        <v>659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659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659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659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659</v>
      </c>
      <c r="AD657" t="s">
        <v>164</v>
      </c>
      <c r="AE657" t="s">
        <v>659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659</v>
      </c>
      <c r="AD658" t="s">
        <v>492</v>
      </c>
      <c r="AE658" t="s">
        <v>659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659</v>
      </c>
      <c r="AD659" t="s">
        <v>493</v>
      </c>
      <c r="AE659" t="s">
        <v>659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659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659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659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659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659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675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659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659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674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674</v>
      </c>
      <c r="AD674" t="s">
        <v>164</v>
      </c>
      <c r="AE674" t="s">
        <v>659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674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674</v>
      </c>
      <c r="AD676" t="s">
        <v>492</v>
      </c>
      <c r="AE676" t="s">
        <v>659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659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659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659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659</v>
      </c>
      <c r="AD683" t="s">
        <v>164</v>
      </c>
      <c r="AE683" t="s">
        <v>659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659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659</v>
      </c>
      <c r="AD685" t="s">
        <v>492</v>
      </c>
      <c r="AE685" t="s">
        <v>659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659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659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649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659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659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659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659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659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659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659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659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674</v>
      </c>
      <c r="AD704" t="s">
        <v>164</v>
      </c>
      <c r="AE704" t="s">
        <v>659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674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674</v>
      </c>
      <c r="AD706" t="s">
        <v>493</v>
      </c>
      <c r="AE706" t="s">
        <v>659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659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659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659</v>
      </c>
      <c r="AD710" t="s">
        <v>164</v>
      </c>
      <c r="AE710" t="s">
        <v>659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659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659</v>
      </c>
      <c r="AD712" t="s">
        <v>493</v>
      </c>
      <c r="AE712" t="s">
        <v>659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674</v>
      </c>
      <c r="AC713" t="s">
        <v>164</v>
      </c>
      <c r="AD713" t="s">
        <v>164</v>
      </c>
      <c r="AE713" t="s">
        <v>659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674</v>
      </c>
      <c r="AC714" t="s">
        <v>164</v>
      </c>
      <c r="AD714" t="s">
        <v>674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674</v>
      </c>
      <c r="AC715" t="s">
        <v>164</v>
      </c>
      <c r="AD715" t="s">
        <v>674</v>
      </c>
      <c r="AE715" t="s">
        <v>659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674</v>
      </c>
      <c r="AC716" t="s">
        <v>674</v>
      </c>
      <c r="AD716" t="s">
        <v>164</v>
      </c>
      <c r="AE716" t="s">
        <v>659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674</v>
      </c>
      <c r="AC717" t="s">
        <v>674</v>
      </c>
      <c r="AD717" t="s">
        <v>674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674</v>
      </c>
      <c r="AC718" t="s">
        <v>659</v>
      </c>
      <c r="AD718" t="s">
        <v>674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659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649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659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675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659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659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659</v>
      </c>
      <c r="AD727" t="s">
        <v>164</v>
      </c>
      <c r="AE727" t="s">
        <v>659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659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659</v>
      </c>
      <c r="AD729" t="s">
        <v>513</v>
      </c>
      <c r="AE729" t="s">
        <v>659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649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659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659</v>
      </c>
      <c r="AE731" t="s">
        <v>659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659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659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659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649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675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674</v>
      </c>
      <c r="AD738" t="s">
        <v>491</v>
      </c>
      <c r="AE738" t="s">
        <v>659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659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659</v>
      </c>
      <c r="AD742" t="s">
        <v>491</v>
      </c>
      <c r="AE742" t="s">
        <v>659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659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659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675</v>
      </c>
      <c r="AD746" t="s">
        <v>164</v>
      </c>
      <c r="AE746" t="s">
        <v>659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675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659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659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674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674</v>
      </c>
      <c r="AD753" t="s">
        <v>164</v>
      </c>
      <c r="AE753" t="s">
        <v>659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674</v>
      </c>
      <c r="AD754" t="s">
        <v>674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674</v>
      </c>
      <c r="AD755" t="s">
        <v>674</v>
      </c>
      <c r="AE755" t="s">
        <v>659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659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659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659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659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659</v>
      </c>
      <c r="AD763" t="s">
        <v>164</v>
      </c>
      <c r="AE763" t="s">
        <v>659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659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659</v>
      </c>
      <c r="AD765" t="s">
        <v>493</v>
      </c>
      <c r="AE765" t="s">
        <v>659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659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659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659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659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675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675</v>
      </c>
      <c r="AD774" t="s">
        <v>492</v>
      </c>
      <c r="AE774" t="s">
        <v>659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675</v>
      </c>
      <c r="AD775" t="s">
        <v>513</v>
      </c>
      <c r="AE775" t="s">
        <v>659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659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649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649</v>
      </c>
      <c r="E779" t="s">
        <v>649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674</v>
      </c>
      <c r="AD779" t="s">
        <v>164</v>
      </c>
      <c r="AE779" t="s">
        <v>659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674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674</v>
      </c>
      <c r="AD781" t="s">
        <v>492</v>
      </c>
      <c r="AE781" t="s">
        <v>659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659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659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659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659</v>
      </c>
      <c r="AD788" t="s">
        <v>164</v>
      </c>
      <c r="AE788" t="s">
        <v>659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659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659</v>
      </c>
      <c r="AD790" t="s">
        <v>492</v>
      </c>
      <c r="AE790" t="s">
        <v>659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659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649</v>
      </c>
      <c r="E795" t="s">
        <v>649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659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659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659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659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659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659</v>
      </c>
      <c r="AD802" t="s">
        <v>164</v>
      </c>
      <c r="AE802" t="s">
        <v>659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659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659</v>
      </c>
      <c r="AD804" t="s">
        <v>514</v>
      </c>
      <c r="AE804" t="s">
        <v>659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659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659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659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659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659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659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674</v>
      </c>
      <c r="AD814" t="s">
        <v>164</v>
      </c>
      <c r="AE814" t="s">
        <v>659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674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674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674</v>
      </c>
      <c r="AD817" t="s">
        <v>493</v>
      </c>
      <c r="AE817" t="s">
        <v>659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659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659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659</v>
      </c>
      <c r="AD821" t="s">
        <v>164</v>
      </c>
      <c r="AE821" t="s">
        <v>659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659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659</v>
      </c>
      <c r="AD823" t="s">
        <v>493</v>
      </c>
      <c r="AE823" t="s">
        <v>659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659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674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674</v>
      </c>
      <c r="AC827" t="s">
        <v>164</v>
      </c>
      <c r="AD827" t="s">
        <v>164</v>
      </c>
      <c r="AE827" t="s">
        <v>659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674</v>
      </c>
      <c r="AC828" t="s">
        <v>164</v>
      </c>
      <c r="AD828" t="s">
        <v>674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674</v>
      </c>
      <c r="AC829" t="s">
        <v>164</v>
      </c>
      <c r="AD829" t="s">
        <v>674</v>
      </c>
      <c r="AE829" t="s">
        <v>659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674</v>
      </c>
      <c r="AC830" t="s">
        <v>493</v>
      </c>
      <c r="AD830" t="s">
        <v>164</v>
      </c>
      <c r="AE830" t="s">
        <v>659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674</v>
      </c>
      <c r="AC831" t="s">
        <v>674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674</v>
      </c>
      <c r="AC832" t="s">
        <v>674</v>
      </c>
      <c r="AD832" t="s">
        <v>164</v>
      </c>
      <c r="AE832" t="s">
        <v>659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674</v>
      </c>
      <c r="AC833" t="s">
        <v>674</v>
      </c>
      <c r="AD833" t="s">
        <v>674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674</v>
      </c>
      <c r="AC834" t="s">
        <v>674</v>
      </c>
      <c r="AD834" t="s">
        <v>674</v>
      </c>
      <c r="AE834" t="s">
        <v>659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674</v>
      </c>
      <c r="AC835" t="s">
        <v>659</v>
      </c>
      <c r="AD835" t="s">
        <v>164</v>
      </c>
      <c r="AE835" t="s">
        <v>659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674</v>
      </c>
      <c r="AC836" t="s">
        <v>659</v>
      </c>
      <c r="AD836" t="s">
        <v>674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674</v>
      </c>
      <c r="AC837" t="s">
        <v>659</v>
      </c>
      <c r="AD837" t="s">
        <v>674</v>
      </c>
      <c r="AE837" t="s">
        <v>659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659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659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659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659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675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659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659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659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659</v>
      </c>
      <c r="AD852" t="s">
        <v>164</v>
      </c>
      <c r="AE852" t="s">
        <v>659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659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659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659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659</v>
      </c>
      <c r="AD857" t="s">
        <v>164</v>
      </c>
      <c r="AE857" t="s">
        <v>659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649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649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649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649</v>
      </c>
      <c r="E912" t="s">
        <v>649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649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649</v>
      </c>
      <c r="E923" t="s">
        <v>649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649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649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649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649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649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649</v>
      </c>
      <c r="E1141" t="s">
        <v>649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649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649</v>
      </c>
      <c r="E1157" t="s">
        <v>649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649</v>
      </c>
      <c r="E1189" t="s">
        <v>649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649</v>
      </c>
      <c r="E1196" t="s">
        <v>649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649</v>
      </c>
      <c r="E1200" t="s">
        <v>649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649</v>
      </c>
      <c r="E1205" t="s">
        <v>649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649</v>
      </c>
      <c r="E1240" t="s">
        <v>649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649</v>
      </c>
      <c r="E1250" t="s">
        <v>649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649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649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649</v>
      </c>
      <c r="E1309" t="s">
        <v>649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649</v>
      </c>
      <c r="E1323" t="s">
        <v>649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649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649</v>
      </c>
      <c r="E1360" t="s">
        <v>649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649</v>
      </c>
      <c r="E1382" t="s">
        <v>649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649</v>
      </c>
      <c r="E1408" t="s">
        <v>649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649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649</v>
      </c>
      <c r="E1447" t="s">
        <v>649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649</v>
      </c>
      <c r="E1453" t="s">
        <v>649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649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649</v>
      </c>
      <c r="E1466" t="s">
        <v>649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649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649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649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649</v>
      </c>
      <c r="E1524" t="s">
        <v>649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649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649</v>
      </c>
      <c r="E1531" t="s">
        <v>649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649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649</v>
      </c>
      <c r="E1562" t="s">
        <v>649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649</v>
      </c>
      <c r="E1655" t="s">
        <v>649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649</v>
      </c>
      <c r="E1661" t="s">
        <v>649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649</v>
      </c>
      <c r="E1906" t="s">
        <v>649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649</v>
      </c>
      <c r="E1914" t="s">
        <v>649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649</v>
      </c>
      <c r="E1919" t="s">
        <v>649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649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649</v>
      </c>
      <c r="E1929" t="s">
        <v>649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649</v>
      </c>
      <c r="E1980" t="s">
        <v>649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649</v>
      </c>
      <c r="E2006" t="s">
        <v>649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649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649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649</v>
      </c>
      <c r="E2017" t="s">
        <v>649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649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649</v>
      </c>
      <c r="E2105" t="s">
        <v>649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649</v>
      </c>
      <c r="E2115" t="s">
        <v>649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649</v>
      </c>
      <c r="E2122" t="s">
        <v>649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649</v>
      </c>
      <c r="E2160" t="s">
        <v>649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648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649</v>
      </c>
      <c r="E2170" t="s">
        <v>649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649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649</v>
      </c>
      <c r="E2180" t="s">
        <v>649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649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649</v>
      </c>
      <c r="E2191" t="s">
        <v>649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649</v>
      </c>
      <c r="E2251" t="s">
        <v>649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5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26" t="s">
        <v>567</v>
      </c>
      <c r="B1" s="1026"/>
      <c r="C1" s="1026"/>
      <c r="D1" s="1026"/>
      <c r="E1" s="1026"/>
      <c r="F1" s="1026"/>
      <c r="G1" s="1026"/>
      <c r="H1" s="1026"/>
      <c r="I1" s="1026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671</v>
      </c>
      <c r="AD6" t="s">
        <v>496</v>
      </c>
      <c r="AE6" t="s">
        <v>672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659</v>
      </c>
      <c r="AE7" t="s">
        <v>659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659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659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659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659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659</v>
      </c>
      <c r="AD12" t="s">
        <v>491</v>
      </c>
      <c r="AE12" t="s">
        <v>659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659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673</v>
      </c>
      <c r="AD14" t="s">
        <v>164</v>
      </c>
      <c r="AE14" t="s">
        <v>659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659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659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659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659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659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659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674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674</v>
      </c>
      <c r="AD24" t="s">
        <v>164</v>
      </c>
      <c r="AE24" t="s">
        <v>659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674</v>
      </c>
      <c r="AD25" t="s">
        <v>493</v>
      </c>
      <c r="AE25" t="s">
        <v>659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659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659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659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659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659</v>
      </c>
      <c r="AD32" t="s">
        <v>164</v>
      </c>
      <c r="AE32" t="s">
        <v>659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659</v>
      </c>
      <c r="AD33" t="s">
        <v>493</v>
      </c>
      <c r="AE33" t="s">
        <v>659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659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659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659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659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659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659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674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674</v>
      </c>
      <c r="AD44" t="s">
        <v>492</v>
      </c>
      <c r="AE44" t="s">
        <v>659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649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659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649</v>
      </c>
      <c r="E47" t="s">
        <v>649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659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659</v>
      </c>
      <c r="AD48" t="s">
        <v>492</v>
      </c>
      <c r="AE48" t="s">
        <v>659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659</v>
      </c>
      <c r="AD49" t="s">
        <v>493</v>
      </c>
      <c r="AE49" t="s">
        <v>659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659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659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659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673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673</v>
      </c>
      <c r="AD55" t="s">
        <v>493</v>
      </c>
      <c r="AE55" t="s">
        <v>659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649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659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649</v>
      </c>
      <c r="E59" t="s">
        <v>649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659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673</v>
      </c>
      <c r="AE60" t="s">
        <v>659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659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674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674</v>
      </c>
      <c r="AD64" t="s">
        <v>493</v>
      </c>
      <c r="AE64" t="s">
        <v>659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659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659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659</v>
      </c>
      <c r="AD68" t="s">
        <v>491</v>
      </c>
      <c r="AE68" t="s">
        <v>659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649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659</v>
      </c>
      <c r="AD69" t="s">
        <v>164</v>
      </c>
      <c r="AE69" t="s">
        <v>659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649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659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649</v>
      </c>
      <c r="E71" t="s">
        <v>649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659</v>
      </c>
      <c r="AD71" t="s">
        <v>493</v>
      </c>
      <c r="AE71" t="s">
        <v>659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659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649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659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659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659</v>
      </c>
      <c r="AD78" t="s">
        <v>516</v>
      </c>
      <c r="AE78" t="s">
        <v>659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659</v>
      </c>
      <c r="AE79" t="s">
        <v>659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659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659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659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649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659</v>
      </c>
      <c r="AD84" t="s">
        <v>491</v>
      </c>
      <c r="AE84" t="s">
        <v>659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649</v>
      </c>
      <c r="E85" t="s">
        <v>649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659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659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673</v>
      </c>
      <c r="AD88" t="s">
        <v>164</v>
      </c>
      <c r="AE88" t="s">
        <v>659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659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659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659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675</v>
      </c>
      <c r="AD93" t="s">
        <v>164</v>
      </c>
      <c r="AE93" t="s">
        <v>659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659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659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674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674</v>
      </c>
      <c r="AD98" t="s">
        <v>164</v>
      </c>
      <c r="AE98" t="s">
        <v>659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674</v>
      </c>
      <c r="AD99" t="s">
        <v>493</v>
      </c>
      <c r="AE99" t="s">
        <v>659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659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659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659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659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659</v>
      </c>
      <c r="AD105" t="s">
        <v>164</v>
      </c>
      <c r="AE105" t="s">
        <v>659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659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659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659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659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659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659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674</v>
      </c>
      <c r="AD117" t="s">
        <v>164</v>
      </c>
      <c r="AE117" t="s">
        <v>659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674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674</v>
      </c>
      <c r="AD119" t="s">
        <v>492</v>
      </c>
      <c r="AE119" t="s">
        <v>659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659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659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659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659</v>
      </c>
      <c r="AD124" t="s">
        <v>492</v>
      </c>
      <c r="AE124" t="s">
        <v>659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659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659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659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673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659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659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659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674</v>
      </c>
      <c r="AD136" t="s">
        <v>164</v>
      </c>
      <c r="AE136" t="s">
        <v>659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674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674</v>
      </c>
      <c r="AD138" t="s">
        <v>493</v>
      </c>
      <c r="AE138" t="s">
        <v>659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659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649</v>
      </c>
      <c r="E141" t="s">
        <v>649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659</v>
      </c>
      <c r="AD141" t="s">
        <v>164</v>
      </c>
      <c r="AE141" t="s">
        <v>659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659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659</v>
      </c>
      <c r="AD143" t="s">
        <v>493</v>
      </c>
      <c r="AE143" t="s">
        <v>659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659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659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659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674</v>
      </c>
      <c r="AD149" t="s">
        <v>513</v>
      </c>
      <c r="AE149" t="s">
        <v>659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659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659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659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659</v>
      </c>
      <c r="AD153" t="s">
        <v>516</v>
      </c>
      <c r="AE153" t="s">
        <v>659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659</v>
      </c>
      <c r="AE154" t="s">
        <v>659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659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659</v>
      </c>
      <c r="AD158" t="s">
        <v>512</v>
      </c>
      <c r="AE158" t="s">
        <v>659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673</v>
      </c>
      <c r="AD159" t="s">
        <v>491</v>
      </c>
      <c r="AE159" t="s">
        <v>659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659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659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659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659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659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674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674</v>
      </c>
      <c r="AD167" t="s">
        <v>491</v>
      </c>
      <c r="AE167" t="s">
        <v>659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659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659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659</v>
      </c>
      <c r="AD171" t="s">
        <v>491</v>
      </c>
      <c r="AE171" t="s">
        <v>659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659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659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649</v>
      </c>
      <c r="E176" t="s">
        <v>649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659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659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659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675</v>
      </c>
      <c r="AD180" t="s">
        <v>164</v>
      </c>
      <c r="AE180" t="s">
        <v>659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659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659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674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674</v>
      </c>
      <c r="AD184" t="s">
        <v>164</v>
      </c>
      <c r="AE184" t="s">
        <v>659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659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659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659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659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659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659</v>
      </c>
      <c r="AD191" t="s">
        <v>164</v>
      </c>
      <c r="AE191" t="s">
        <v>659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659</v>
      </c>
      <c r="AD192" t="s">
        <v>493</v>
      </c>
      <c r="AE192" t="s">
        <v>659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648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659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659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659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649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659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659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675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675</v>
      </c>
      <c r="AD205" t="s">
        <v>492</v>
      </c>
      <c r="AE205" t="s">
        <v>659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659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649</v>
      </c>
      <c r="E208" t="s">
        <v>649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659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674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674</v>
      </c>
      <c r="AD210" t="s">
        <v>492</v>
      </c>
      <c r="AE210" t="s">
        <v>659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649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674</v>
      </c>
      <c r="AD211" t="s">
        <v>493</v>
      </c>
      <c r="AE211" t="s">
        <v>659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659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659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659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659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659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659</v>
      </c>
      <c r="AD219" t="s">
        <v>492</v>
      </c>
      <c r="AE219" t="s">
        <v>659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659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649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659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648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659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673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673</v>
      </c>
      <c r="AD226" t="s">
        <v>493</v>
      </c>
      <c r="AE226" t="s">
        <v>659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659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659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659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659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659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649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649</v>
      </c>
      <c r="E235" t="s">
        <v>649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659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674</v>
      </c>
      <c r="AD236" t="s">
        <v>164</v>
      </c>
      <c r="AE236" t="s">
        <v>659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674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674</v>
      </c>
      <c r="AD238" t="s">
        <v>493</v>
      </c>
      <c r="AE238" t="s">
        <v>659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649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659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659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659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659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659</v>
      </c>
      <c r="AD245" t="s">
        <v>164</v>
      </c>
      <c r="AE245" t="s">
        <v>659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659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659</v>
      </c>
      <c r="AD247" t="s">
        <v>493</v>
      </c>
      <c r="AE247" t="s">
        <v>659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659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649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659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648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659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674</v>
      </c>
      <c r="AC252" t="s">
        <v>659</v>
      </c>
      <c r="AD252" t="s">
        <v>674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659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659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659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659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659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649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649</v>
      </c>
      <c r="E260" t="s">
        <v>649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659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649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659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659</v>
      </c>
      <c r="AE262" t="s">
        <v>659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659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659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659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659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674</v>
      </c>
      <c r="AD269" t="s">
        <v>512</v>
      </c>
      <c r="AE269" t="s">
        <v>659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649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659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659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659</v>
      </c>
      <c r="AD273" t="s">
        <v>512</v>
      </c>
      <c r="AE273" t="s">
        <v>659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659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673</v>
      </c>
      <c r="AD275" t="s">
        <v>517</v>
      </c>
      <c r="AE275" t="s">
        <v>659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659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659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649</v>
      </c>
      <c r="E279" t="s">
        <v>649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659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675</v>
      </c>
      <c r="AD281" t="s">
        <v>491</v>
      </c>
      <c r="AE281" t="s">
        <v>659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659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674</v>
      </c>
      <c r="AD284" t="s">
        <v>491</v>
      </c>
      <c r="AE284" t="s">
        <v>659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659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659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649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659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659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659</v>
      </c>
      <c r="AD290" t="s">
        <v>491</v>
      </c>
      <c r="AE290" t="s">
        <v>659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659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659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649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659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649</v>
      </c>
      <c r="E296" t="s">
        <v>649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659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659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675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675</v>
      </c>
      <c r="AD301" t="s">
        <v>164</v>
      </c>
      <c r="AE301" t="s">
        <v>659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659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659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674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674</v>
      </c>
      <c r="AD306" t="s">
        <v>164</v>
      </c>
      <c r="AE306" t="s">
        <v>659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674</v>
      </c>
      <c r="AD307" t="s">
        <v>493</v>
      </c>
      <c r="AE307" t="s">
        <v>659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659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659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659</v>
      </c>
      <c r="AD311" t="s">
        <v>164</v>
      </c>
      <c r="AE311" t="s">
        <v>659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659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659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659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673</v>
      </c>
      <c r="AD316" t="s">
        <v>492</v>
      </c>
      <c r="AE316" t="s">
        <v>659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659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659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659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659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659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675</v>
      </c>
      <c r="AD324" t="s">
        <v>512</v>
      </c>
      <c r="AE324" t="s">
        <v>659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675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675</v>
      </c>
      <c r="AD326" t="s">
        <v>492</v>
      </c>
      <c r="AE326" t="s">
        <v>659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675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659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659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659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674</v>
      </c>
      <c r="AD333" t="s">
        <v>512</v>
      </c>
      <c r="AE333" t="s">
        <v>659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674</v>
      </c>
      <c r="AD334" t="s">
        <v>164</v>
      </c>
      <c r="AE334" t="s">
        <v>659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674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674</v>
      </c>
      <c r="AD336" t="s">
        <v>492</v>
      </c>
      <c r="AE336" t="s">
        <v>659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674</v>
      </c>
      <c r="AD337" t="s">
        <v>493</v>
      </c>
      <c r="AE337" t="s">
        <v>659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659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659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659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659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659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659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659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674</v>
      </c>
      <c r="AE348" t="s">
        <v>659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659</v>
      </c>
      <c r="AD349" t="s">
        <v>512</v>
      </c>
      <c r="AE349" t="s">
        <v>659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659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659</v>
      </c>
      <c r="AD351" t="s">
        <v>492</v>
      </c>
      <c r="AE351" t="s">
        <v>659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659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659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659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659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659</v>
      </c>
      <c r="AD358" t="s">
        <v>492</v>
      </c>
      <c r="AE358" t="s">
        <v>659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673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673</v>
      </c>
      <c r="AD360" t="s">
        <v>493</v>
      </c>
      <c r="AE360" t="s">
        <v>659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649</v>
      </c>
      <c r="E361" t="s">
        <v>649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659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659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659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659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648</v>
      </c>
      <c r="E368" t="s">
        <v>648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659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675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675</v>
      </c>
      <c r="AD370" t="s">
        <v>493</v>
      </c>
      <c r="AE370" t="s">
        <v>659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659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659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659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649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659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659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659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659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659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674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674</v>
      </c>
      <c r="AD383" t="s">
        <v>491</v>
      </c>
      <c r="AE383" t="s">
        <v>659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674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674</v>
      </c>
      <c r="AD385" t="s">
        <v>164</v>
      </c>
      <c r="AE385" t="s">
        <v>659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674</v>
      </c>
      <c r="AD386" t="s">
        <v>492</v>
      </c>
      <c r="AE386" t="s">
        <v>659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674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674</v>
      </c>
      <c r="AD388" t="s">
        <v>493</v>
      </c>
      <c r="AE388" t="s">
        <v>659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659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659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659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649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649</v>
      </c>
      <c r="E395" t="s">
        <v>649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659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659</v>
      </c>
      <c r="AD396" t="s">
        <v>490</v>
      </c>
      <c r="AE396" t="s">
        <v>659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659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659</v>
      </c>
      <c r="AD398" t="s">
        <v>491</v>
      </c>
      <c r="AE398" t="s">
        <v>659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659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659</v>
      </c>
      <c r="AD400" t="s">
        <v>164</v>
      </c>
      <c r="AE400" t="s">
        <v>659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659</v>
      </c>
      <c r="AD401" t="s">
        <v>492</v>
      </c>
      <c r="AE401" t="s">
        <v>659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659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648</v>
      </c>
      <c r="E403" t="s">
        <v>649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659</v>
      </c>
      <c r="AD403" t="s">
        <v>493</v>
      </c>
      <c r="AE403" t="s">
        <v>659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659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659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659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649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659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659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659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674</v>
      </c>
      <c r="AC412" t="s">
        <v>513</v>
      </c>
      <c r="AD412" t="s">
        <v>493</v>
      </c>
      <c r="AE412" t="s">
        <v>659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675</v>
      </c>
      <c r="AD414" t="s">
        <v>513</v>
      </c>
      <c r="AE414" t="s">
        <v>659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659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659</v>
      </c>
      <c r="AD416" t="s">
        <v>513</v>
      </c>
      <c r="AE416" t="s">
        <v>659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659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659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649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674</v>
      </c>
      <c r="AD419" t="s">
        <v>494</v>
      </c>
      <c r="AE419" t="s">
        <v>659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659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649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659</v>
      </c>
      <c r="AD421" t="s">
        <v>494</v>
      </c>
      <c r="AE421" t="s">
        <v>659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649</v>
      </c>
      <c r="E422" t="s">
        <v>649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659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659</v>
      </c>
      <c r="AE423" t="s">
        <v>659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659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659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648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659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675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659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649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659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674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674</v>
      </c>
      <c r="AD438" t="s">
        <v>512</v>
      </c>
      <c r="AE438" t="s">
        <v>659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674</v>
      </c>
      <c r="AD439" t="s">
        <v>491</v>
      </c>
      <c r="AE439" t="s">
        <v>659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674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674</v>
      </c>
      <c r="AD441" t="s">
        <v>492</v>
      </c>
      <c r="AE441" t="s">
        <v>659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674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659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649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659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649</v>
      </c>
      <c r="E446" t="s">
        <v>649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659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659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659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659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659</v>
      </c>
      <c r="AD451" t="s">
        <v>512</v>
      </c>
      <c r="AE451" t="s">
        <v>659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659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673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659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659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659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649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659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659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659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659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675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675</v>
      </c>
      <c r="AD471" t="s">
        <v>491</v>
      </c>
      <c r="AE471" t="s">
        <v>659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659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649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649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659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649</v>
      </c>
      <c r="E475" t="s">
        <v>649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659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674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674</v>
      </c>
      <c r="AD477" t="s">
        <v>491</v>
      </c>
      <c r="AE477" t="s">
        <v>659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674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674</v>
      </c>
      <c r="AD479" t="s">
        <v>493</v>
      </c>
      <c r="AE479" t="s">
        <v>659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659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659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659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659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659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659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659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659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659</v>
      </c>
      <c r="AD494" t="s">
        <v>512</v>
      </c>
      <c r="AE494" t="s">
        <v>659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659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659</v>
      </c>
      <c r="AD496" t="s">
        <v>491</v>
      </c>
      <c r="AE496" t="s">
        <v>659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659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659</v>
      </c>
      <c r="AD498" t="s">
        <v>513</v>
      </c>
      <c r="AE498" t="s">
        <v>659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659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659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659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659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659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674</v>
      </c>
      <c r="AE506" t="s">
        <v>659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659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675</v>
      </c>
      <c r="AD509" t="s">
        <v>164</v>
      </c>
      <c r="AE509" t="s">
        <v>659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659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649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659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674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674</v>
      </c>
      <c r="AD516" t="s">
        <v>164</v>
      </c>
      <c r="AE516" t="s">
        <v>659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674</v>
      </c>
      <c r="AD517" t="s">
        <v>492</v>
      </c>
      <c r="AE517" t="s">
        <v>659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674</v>
      </c>
      <c r="AD518" t="s">
        <v>674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659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659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659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649</v>
      </c>
      <c r="E523" t="s">
        <v>649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659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659</v>
      </c>
      <c r="AD525" t="s">
        <v>164</v>
      </c>
      <c r="AE525" t="s">
        <v>659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659</v>
      </c>
      <c r="AD526" t="s">
        <v>493</v>
      </c>
      <c r="AE526" t="s">
        <v>659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659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659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659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673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649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673</v>
      </c>
      <c r="AD533" t="s">
        <v>492</v>
      </c>
      <c r="AE533" t="s">
        <v>659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673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659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659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659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649</v>
      </c>
      <c r="E541" t="s">
        <v>649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659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659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659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659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659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659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675</v>
      </c>
      <c r="AD550" t="s">
        <v>164</v>
      </c>
      <c r="AE550" t="s">
        <v>659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675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675</v>
      </c>
      <c r="AD552" t="s">
        <v>492</v>
      </c>
      <c r="AE552" t="s">
        <v>659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675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675</v>
      </c>
      <c r="AD554" t="s">
        <v>514</v>
      </c>
      <c r="AE554" t="s">
        <v>659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649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675</v>
      </c>
      <c r="AD555" t="s">
        <v>493</v>
      </c>
      <c r="AE555" t="s">
        <v>659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649</v>
      </c>
      <c r="E556" t="s">
        <v>649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675</v>
      </c>
      <c r="AD556" t="s">
        <v>674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675</v>
      </c>
      <c r="AD557" t="s">
        <v>674</v>
      </c>
      <c r="AE557" t="s">
        <v>659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675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675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675</v>
      </c>
      <c r="AD560" t="s">
        <v>513</v>
      </c>
      <c r="AE560" t="s">
        <v>659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659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649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659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659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659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659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659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649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659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649</v>
      </c>
      <c r="E576" t="s">
        <v>649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674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674</v>
      </c>
      <c r="AD577" t="s">
        <v>512</v>
      </c>
      <c r="AE577" t="s">
        <v>659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674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674</v>
      </c>
      <c r="AD579" t="s">
        <v>164</v>
      </c>
      <c r="AE579" t="s">
        <v>659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674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674</v>
      </c>
      <c r="AD581" t="s">
        <v>492</v>
      </c>
      <c r="AE581" t="s">
        <v>659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674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674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674</v>
      </c>
      <c r="AD584" t="s">
        <v>493</v>
      </c>
      <c r="AE584" t="s">
        <v>659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674</v>
      </c>
      <c r="AD585" t="s">
        <v>674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674</v>
      </c>
      <c r="AD586" t="s">
        <v>674</v>
      </c>
      <c r="AE586" t="s">
        <v>659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673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659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659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659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673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673</v>
      </c>
      <c r="AE594" t="s">
        <v>659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659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659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659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659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659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659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674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659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659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659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659</v>
      </c>
      <c r="AD611" t="s">
        <v>164</v>
      </c>
      <c r="AE611" t="s">
        <v>659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659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659</v>
      </c>
      <c r="AD613" t="s">
        <v>492</v>
      </c>
      <c r="AE613" t="s">
        <v>659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659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659</v>
      </c>
      <c r="AD615" t="s">
        <v>493</v>
      </c>
      <c r="AE615" t="s">
        <v>659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659</v>
      </c>
      <c r="AD616" t="s">
        <v>513</v>
      </c>
      <c r="AE616" t="s">
        <v>659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659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659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659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659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659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649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659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659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659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649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659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675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675</v>
      </c>
      <c r="AD634" t="s">
        <v>514</v>
      </c>
      <c r="AE634" t="s">
        <v>659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659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659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649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674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674</v>
      </c>
      <c r="AD640" t="s">
        <v>492</v>
      </c>
      <c r="AE640" t="s">
        <v>659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649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659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649</v>
      </c>
      <c r="E643" t="s">
        <v>649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659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659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673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673</v>
      </c>
      <c r="AD647" t="s">
        <v>493</v>
      </c>
      <c r="AE647" t="s">
        <v>659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673</v>
      </c>
      <c r="AD648" t="s">
        <v>674</v>
      </c>
      <c r="AE648" t="s">
        <v>659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648</v>
      </c>
      <c r="E649" t="s">
        <v>648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659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659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659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659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649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659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659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675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675</v>
      </c>
      <c r="AD661" t="s">
        <v>493</v>
      </c>
      <c r="AE661" t="s">
        <v>659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649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659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659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659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659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659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649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659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659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649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649</v>
      </c>
      <c r="E675" t="s">
        <v>649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659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659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674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674</v>
      </c>
      <c r="AE679" t="s">
        <v>659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659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659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648</v>
      </c>
      <c r="E683" t="s">
        <v>648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659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674</v>
      </c>
      <c r="AD684" t="s">
        <v>512</v>
      </c>
      <c r="AE684" t="s">
        <v>659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674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674</v>
      </c>
      <c r="AD686" t="s">
        <v>491</v>
      </c>
      <c r="AE686" t="s">
        <v>659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674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674</v>
      </c>
      <c r="AD688" t="s">
        <v>164</v>
      </c>
      <c r="AE688" t="s">
        <v>659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674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674</v>
      </c>
      <c r="AD690" t="s">
        <v>492</v>
      </c>
      <c r="AE690" t="s">
        <v>659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674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649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674</v>
      </c>
      <c r="AD692" t="s">
        <v>493</v>
      </c>
      <c r="AE692" t="s">
        <v>659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674</v>
      </c>
      <c r="AD693" t="s">
        <v>674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674</v>
      </c>
      <c r="AD694" t="s">
        <v>674</v>
      </c>
      <c r="AE694" t="s">
        <v>659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674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674</v>
      </c>
      <c r="AD696" t="s">
        <v>513</v>
      </c>
      <c r="AE696" t="s">
        <v>659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659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649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659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659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659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659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659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649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659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674</v>
      </c>
      <c r="AE711" t="s">
        <v>659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649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649</v>
      </c>
      <c r="E714" t="s">
        <v>649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659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659</v>
      </c>
      <c r="AD715" t="s">
        <v>164</v>
      </c>
      <c r="AE715" t="s">
        <v>659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659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659</v>
      </c>
      <c r="AD717" t="s">
        <v>493</v>
      </c>
      <c r="AE717" t="s">
        <v>659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659</v>
      </c>
      <c r="AD718" t="s">
        <v>674</v>
      </c>
      <c r="AE718" t="s">
        <v>659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659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659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649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659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659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659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674</v>
      </c>
      <c r="AC727" t="s">
        <v>673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674</v>
      </c>
      <c r="AC728" t="s">
        <v>164</v>
      </c>
      <c r="AD728" t="s">
        <v>674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674</v>
      </c>
      <c r="AC729" t="s">
        <v>164</v>
      </c>
      <c r="AD729" t="s">
        <v>674</v>
      </c>
      <c r="AE729" t="s">
        <v>659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674</v>
      </c>
      <c r="AC730" t="s">
        <v>674</v>
      </c>
      <c r="AD730" t="s">
        <v>674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674</v>
      </c>
      <c r="AC731" t="s">
        <v>674</v>
      </c>
      <c r="AD731" t="s">
        <v>674</v>
      </c>
      <c r="AE731" t="s">
        <v>659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674</v>
      </c>
      <c r="AC732" t="s">
        <v>659</v>
      </c>
      <c r="AD732" t="s">
        <v>674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674</v>
      </c>
      <c r="AC733" t="s">
        <v>520</v>
      </c>
      <c r="AD733" t="s">
        <v>674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659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649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659</v>
      </c>
      <c r="AD737" t="s">
        <v>515</v>
      </c>
      <c r="AE737" t="s">
        <v>659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649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659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649</v>
      </c>
      <c r="E739" t="s">
        <v>649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675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675</v>
      </c>
      <c r="AD741" t="s">
        <v>518</v>
      </c>
      <c r="AE741" t="s">
        <v>659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659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659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648</v>
      </c>
      <c r="E745" t="s">
        <v>648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659</v>
      </c>
      <c r="AD745" t="s">
        <v>518</v>
      </c>
      <c r="AE745" t="s">
        <v>659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648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659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648</v>
      </c>
      <c r="E747" t="s">
        <v>649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659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659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659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675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675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675</v>
      </c>
      <c r="AD755" t="s">
        <v>513</v>
      </c>
      <c r="AE755" t="s">
        <v>659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659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649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659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659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659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659</v>
      </c>
      <c r="AD761" t="s">
        <v>674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659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659</v>
      </c>
      <c r="AD763" t="s">
        <v>513</v>
      </c>
      <c r="AE763" t="s">
        <v>659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659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659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659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659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649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659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659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649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675</v>
      </c>
      <c r="AD773" t="s">
        <v>494</v>
      </c>
      <c r="AE773" t="s">
        <v>659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649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659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649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659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649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659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649</v>
      </c>
      <c r="E777" t="s">
        <v>649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674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674</v>
      </c>
      <c r="AD778" t="s">
        <v>494</v>
      </c>
      <c r="AE778" t="s">
        <v>659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659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648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659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659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659</v>
      </c>
      <c r="AD785" t="s">
        <v>494</v>
      </c>
      <c r="AE785" t="s">
        <v>659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659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659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659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675</v>
      </c>
      <c r="AD792" t="s">
        <v>516</v>
      </c>
      <c r="AE792" t="s">
        <v>659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674</v>
      </c>
      <c r="AD793" t="s">
        <v>494</v>
      </c>
      <c r="AE793" t="s">
        <v>659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674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674</v>
      </c>
      <c r="AD795" t="s">
        <v>516</v>
      </c>
      <c r="AE795" t="s">
        <v>659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659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659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659</v>
      </c>
      <c r="AD799" t="s">
        <v>516</v>
      </c>
      <c r="AE799" t="s">
        <v>659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659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659</v>
      </c>
      <c r="AE802" t="s">
        <v>659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673</v>
      </c>
      <c r="AC803" t="s">
        <v>673</v>
      </c>
      <c r="AD803" t="s">
        <v>673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673</v>
      </c>
      <c r="AC804" t="s">
        <v>514</v>
      </c>
      <c r="AD804" t="s">
        <v>673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673</v>
      </c>
      <c r="AC805" t="s">
        <v>659</v>
      </c>
      <c r="AD805" t="s">
        <v>673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659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659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659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675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675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659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674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674</v>
      </c>
      <c r="AD818" t="s">
        <v>512</v>
      </c>
      <c r="AE818" t="s">
        <v>659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674</v>
      </c>
      <c r="AD819" t="s">
        <v>491</v>
      </c>
      <c r="AE819" t="s">
        <v>659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674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659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659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659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659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659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659</v>
      </c>
      <c r="AD828" t="s">
        <v>512</v>
      </c>
      <c r="AE828" t="s">
        <v>659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649</v>
      </c>
      <c r="E832" t="s">
        <v>649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659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659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659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674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674</v>
      </c>
      <c r="AD839" t="s">
        <v>491</v>
      </c>
      <c r="AE839" t="s">
        <v>659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674</v>
      </c>
      <c r="AD840" t="s">
        <v>493</v>
      </c>
      <c r="AE840" t="s">
        <v>659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659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673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659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659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649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659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659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659</v>
      </c>
      <c r="AD851" t="s">
        <v>491</v>
      </c>
      <c r="AE851" t="s">
        <v>659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659</v>
      </c>
      <c r="AD852" t="s">
        <v>164</v>
      </c>
      <c r="AE852" t="s">
        <v>659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659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649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673</v>
      </c>
      <c r="AD856" t="s">
        <v>164</v>
      </c>
      <c r="AE856" t="s">
        <v>659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659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659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659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649</v>
      </c>
      <c r="E861" t="s">
        <v>649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659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674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674</v>
      </c>
      <c r="AE865" t="s">
        <v>659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649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675</v>
      </c>
      <c r="AD867" t="s">
        <v>164</v>
      </c>
      <c r="AE867" t="s">
        <v>659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675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675</v>
      </c>
      <c r="AD869" t="s">
        <v>492</v>
      </c>
      <c r="AE869" t="s">
        <v>659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648</v>
      </c>
      <c r="E870" t="s">
        <v>648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659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659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659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649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674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674</v>
      </c>
      <c r="AD878" t="s">
        <v>164</v>
      </c>
      <c r="AE878" t="s">
        <v>659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674</v>
      </c>
      <c r="AD879" t="s">
        <v>674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674</v>
      </c>
      <c r="AD880" t="s">
        <v>674</v>
      </c>
      <c r="AE880" t="s">
        <v>659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659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659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649</v>
      </c>
      <c r="E887" t="s">
        <v>649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648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659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659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659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659</v>
      </c>
      <c r="AD893" t="s">
        <v>491</v>
      </c>
      <c r="AE893" t="s">
        <v>659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659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659</v>
      </c>
      <c r="AD895" t="s">
        <v>164</v>
      </c>
      <c r="AE895" t="s">
        <v>659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659</v>
      </c>
      <c r="AD896" t="s">
        <v>513</v>
      </c>
      <c r="AE896" t="s">
        <v>659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659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659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659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659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649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673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673</v>
      </c>
      <c r="AD903" t="s">
        <v>492</v>
      </c>
      <c r="AE903" t="s">
        <v>659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659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659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659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649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649</v>
      </c>
      <c r="E912" t="s">
        <v>649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659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649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659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659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675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675</v>
      </c>
      <c r="AD918" t="s">
        <v>164</v>
      </c>
      <c r="AE918" t="s">
        <v>659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675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675</v>
      </c>
      <c r="AD920" t="s">
        <v>492</v>
      </c>
      <c r="AE920" t="s">
        <v>659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675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675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649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675</v>
      </c>
      <c r="AD923" t="s">
        <v>674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675</v>
      </c>
      <c r="AD924" t="s">
        <v>513</v>
      </c>
      <c r="AE924" t="s">
        <v>659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673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649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659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659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659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659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659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649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649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659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649</v>
      </c>
      <c r="E937" t="s">
        <v>649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659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659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659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674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674</v>
      </c>
      <c r="AD942" t="s">
        <v>512</v>
      </c>
      <c r="AE942" t="s">
        <v>659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674</v>
      </c>
      <c r="AD943" t="s">
        <v>164</v>
      </c>
      <c r="AE943" t="s">
        <v>659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674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674</v>
      </c>
      <c r="AD945" t="s">
        <v>492</v>
      </c>
      <c r="AE945" t="s">
        <v>659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674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674</v>
      </c>
      <c r="AD947" t="s">
        <v>514</v>
      </c>
      <c r="AE947" t="s">
        <v>659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674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674</v>
      </c>
      <c r="AD949" t="s">
        <v>674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674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659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659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659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659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659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659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659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674</v>
      </c>
      <c r="AE969" t="s">
        <v>659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659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659</v>
      </c>
      <c r="AD972" t="s">
        <v>164</v>
      </c>
      <c r="AE972" t="s">
        <v>659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649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659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659</v>
      </c>
      <c r="AD974" t="s">
        <v>492</v>
      </c>
      <c r="AE974" t="s">
        <v>659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659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659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659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649</v>
      </c>
      <c r="E980" t="s">
        <v>649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659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659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659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659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659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675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675</v>
      </c>
      <c r="AD992" t="s">
        <v>514</v>
      </c>
      <c r="AE992" t="s">
        <v>659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649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675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659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649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674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674</v>
      </c>
      <c r="AD999" t="s">
        <v>492</v>
      </c>
      <c r="AE999" t="s">
        <v>659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659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649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659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649</v>
      </c>
      <c r="E1005" t="s">
        <v>649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659</v>
      </c>
      <c r="AD1006" t="s">
        <v>164</v>
      </c>
      <c r="AE1006" t="s">
        <v>659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659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659</v>
      </c>
      <c r="AD1008" t="s">
        <v>514</v>
      </c>
      <c r="AE1008" t="s">
        <v>659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673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673</v>
      </c>
      <c r="AD1011" t="s">
        <v>493</v>
      </c>
      <c r="AE1011" t="s">
        <v>659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659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659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649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659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659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659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659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675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675</v>
      </c>
      <c r="AD1026" t="s">
        <v>493</v>
      </c>
      <c r="AE1026" t="s">
        <v>659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649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659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649</v>
      </c>
      <c r="E1028" t="s">
        <v>649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659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659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659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659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659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659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659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649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659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674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674</v>
      </c>
      <c r="AE1045" t="s">
        <v>659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659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659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649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674</v>
      </c>
      <c r="AD1049" t="s">
        <v>491</v>
      </c>
      <c r="AE1049" t="s">
        <v>659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649</v>
      </c>
      <c r="E1050" t="s">
        <v>649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674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674</v>
      </c>
      <c r="AD1051" t="s">
        <v>164</v>
      </c>
      <c r="AE1051" t="s">
        <v>659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674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674</v>
      </c>
      <c r="AD1053" t="s">
        <v>492</v>
      </c>
      <c r="AE1053" t="s">
        <v>659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674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674</v>
      </c>
      <c r="AD1055" t="s">
        <v>493</v>
      </c>
      <c r="AE1055" t="s">
        <v>659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674</v>
      </c>
      <c r="AD1056" t="s">
        <v>674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674</v>
      </c>
      <c r="AD1057" t="s">
        <v>520</v>
      </c>
      <c r="AE1057" t="s">
        <v>659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659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649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659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659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659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659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649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659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649</v>
      </c>
      <c r="E1068" t="s">
        <v>649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649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659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659</v>
      </c>
      <c r="AD1070" t="s">
        <v>512</v>
      </c>
      <c r="AE1070" t="s">
        <v>659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659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659</v>
      </c>
      <c r="AD1072" t="s">
        <v>491</v>
      </c>
      <c r="AE1072" t="s">
        <v>659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659</v>
      </c>
      <c r="AD1073" t="s">
        <v>164</v>
      </c>
      <c r="AE1073" t="s">
        <v>659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659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659</v>
      </c>
      <c r="AD1075" t="s">
        <v>493</v>
      </c>
      <c r="AE1075" t="s">
        <v>659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659</v>
      </c>
      <c r="AD1076" t="s">
        <v>674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659</v>
      </c>
      <c r="AD1077" t="s">
        <v>513</v>
      </c>
      <c r="AE1077" t="s">
        <v>659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659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659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659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659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674</v>
      </c>
      <c r="AC1085" t="s">
        <v>491</v>
      </c>
      <c r="AD1085" t="s">
        <v>674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674</v>
      </c>
      <c r="AC1086" t="s">
        <v>164</v>
      </c>
      <c r="AD1086" t="s">
        <v>164</v>
      </c>
      <c r="AE1086" t="s">
        <v>659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674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674</v>
      </c>
      <c r="AC1088" t="s">
        <v>164</v>
      </c>
      <c r="AD1088" t="s">
        <v>674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674</v>
      </c>
      <c r="AC1089" t="s">
        <v>164</v>
      </c>
      <c r="AD1089" t="s">
        <v>674</v>
      </c>
      <c r="AE1089" t="s">
        <v>659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674</v>
      </c>
      <c r="AC1090" t="s">
        <v>675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674</v>
      </c>
      <c r="AC1091" t="s">
        <v>675</v>
      </c>
      <c r="AD1091" t="s">
        <v>674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674</v>
      </c>
      <c r="AC1092" t="s">
        <v>675</v>
      </c>
      <c r="AD1092" t="s">
        <v>674</v>
      </c>
      <c r="AE1092" t="s">
        <v>659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674</v>
      </c>
      <c r="AC1093" t="s">
        <v>514</v>
      </c>
      <c r="AD1093" t="s">
        <v>674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674</v>
      </c>
      <c r="AC1094" t="s">
        <v>493</v>
      </c>
      <c r="AD1094" t="s">
        <v>674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674</v>
      </c>
      <c r="AC1095" t="s">
        <v>674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674</v>
      </c>
      <c r="AC1096" t="s">
        <v>674</v>
      </c>
      <c r="AD1096" t="s">
        <v>164</v>
      </c>
      <c r="AE1096" t="s">
        <v>659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674</v>
      </c>
      <c r="AC1097" t="s">
        <v>674</v>
      </c>
      <c r="AD1097" t="s">
        <v>674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674</v>
      </c>
      <c r="AC1098" t="s">
        <v>674</v>
      </c>
      <c r="AD1098" t="s">
        <v>674</v>
      </c>
      <c r="AE1098" t="s">
        <v>659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674</v>
      </c>
      <c r="AC1099" t="s">
        <v>674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674</v>
      </c>
      <c r="AC1100" t="s">
        <v>515</v>
      </c>
      <c r="AD1100" t="s">
        <v>164</v>
      </c>
      <c r="AE1100" t="s">
        <v>659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674</v>
      </c>
      <c r="AC1101" t="s">
        <v>513</v>
      </c>
      <c r="AD1101" t="s">
        <v>674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674</v>
      </c>
      <c r="AC1102" t="s">
        <v>659</v>
      </c>
      <c r="AD1102" t="s">
        <v>164</v>
      </c>
      <c r="AE1102" t="s">
        <v>659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674</v>
      </c>
      <c r="AC1103" t="s">
        <v>659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674</v>
      </c>
      <c r="AC1104" t="s">
        <v>659</v>
      </c>
      <c r="AD1104" t="s">
        <v>674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674</v>
      </c>
      <c r="AC1105" t="s">
        <v>659</v>
      </c>
      <c r="AD1105" t="s">
        <v>674</v>
      </c>
      <c r="AE1105" t="s">
        <v>659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674</v>
      </c>
      <c r="AC1106" t="s">
        <v>659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659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659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659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659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649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659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659</v>
      </c>
      <c r="AD1115" t="s">
        <v>515</v>
      </c>
      <c r="AE1115" t="s">
        <v>659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659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659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659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659</v>
      </c>
      <c r="AD1124" t="s">
        <v>518</v>
      </c>
      <c r="AE1124" t="s">
        <v>659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659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659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674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659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675</v>
      </c>
      <c r="AD1133" t="s">
        <v>492</v>
      </c>
      <c r="AE1133" t="s">
        <v>659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675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649</v>
      </c>
      <c r="E1135" t="s">
        <v>649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675</v>
      </c>
      <c r="AD1135" t="s">
        <v>513</v>
      </c>
      <c r="AE1135" t="s">
        <v>659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659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659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674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674</v>
      </c>
      <c r="AD1142" t="s">
        <v>513</v>
      </c>
      <c r="AE1142" t="s">
        <v>659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649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659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648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659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659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659</v>
      </c>
      <c r="AD1149" t="s">
        <v>164</v>
      </c>
      <c r="AE1149" t="s">
        <v>659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659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659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659</v>
      </c>
      <c r="AD1152" t="s">
        <v>513</v>
      </c>
      <c r="AE1152" t="s">
        <v>659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659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649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649</v>
      </c>
      <c r="E1155" t="s">
        <v>649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659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659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649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659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659</v>
      </c>
      <c r="AD1164" t="s">
        <v>520</v>
      </c>
      <c r="AE1164" t="s">
        <v>659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659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659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649</v>
      </c>
      <c r="E1170" t="s">
        <v>649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675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675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659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674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674</v>
      </c>
      <c r="AD1174" t="s">
        <v>494</v>
      </c>
      <c r="AE1174" t="s">
        <v>659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659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648</v>
      </c>
      <c r="E1177" t="s">
        <v>648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659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659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649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659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659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674</v>
      </c>
      <c r="AD1182" t="s">
        <v>516</v>
      </c>
      <c r="AE1182" t="s">
        <v>659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659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659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659</v>
      </c>
      <c r="AE1186" t="s">
        <v>659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673</v>
      </c>
      <c r="AC1187" t="s">
        <v>673</v>
      </c>
      <c r="AD1187" t="s">
        <v>673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649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673</v>
      </c>
      <c r="AC1188" t="s">
        <v>164</v>
      </c>
      <c r="AD1188" t="s">
        <v>673</v>
      </c>
      <c r="AE1188" t="s">
        <v>659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649</v>
      </c>
      <c r="E1189" t="s">
        <v>649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673</v>
      </c>
      <c r="AC1189" t="s">
        <v>674</v>
      </c>
      <c r="AD1189" t="s">
        <v>673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673</v>
      </c>
      <c r="AC1190" t="s">
        <v>674</v>
      </c>
      <c r="AD1190" t="s">
        <v>674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673</v>
      </c>
      <c r="AC1191" t="s">
        <v>659</v>
      </c>
      <c r="AD1191" t="s">
        <v>673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659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659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659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674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674</v>
      </c>
      <c r="AD1198" t="s">
        <v>512</v>
      </c>
      <c r="AE1198" t="s">
        <v>659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674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659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659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659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659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659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659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659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659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674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674</v>
      </c>
      <c r="AD1215" t="s">
        <v>491</v>
      </c>
      <c r="AE1215" t="s">
        <v>659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659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659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659</v>
      </c>
      <c r="AD1220" t="s">
        <v>491</v>
      </c>
      <c r="AE1220" t="s">
        <v>659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659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673</v>
      </c>
      <c r="AD1222" t="s">
        <v>164</v>
      </c>
      <c r="AE1222" t="s">
        <v>659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659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659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659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649</v>
      </c>
      <c r="E1228" t="s">
        <v>649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659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675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675</v>
      </c>
      <c r="AD1231" t="s">
        <v>164</v>
      </c>
      <c r="AE1231" t="s">
        <v>659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675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659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659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649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659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659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674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674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674</v>
      </c>
      <c r="AD1244" t="s">
        <v>164</v>
      </c>
      <c r="AE1244" t="s">
        <v>659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674</v>
      </c>
      <c r="AD1245" t="s">
        <v>493</v>
      </c>
      <c r="AE1245" t="s">
        <v>659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649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674</v>
      </c>
      <c r="AD1246" t="s">
        <v>674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649</v>
      </c>
      <c r="E1247" t="s">
        <v>649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674</v>
      </c>
      <c r="AD1247" t="s">
        <v>674</v>
      </c>
      <c r="AE1247" t="s">
        <v>659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674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659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659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659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659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659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659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649</v>
      </c>
      <c r="E1261" t="s">
        <v>649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659</v>
      </c>
      <c r="AD1261" t="s">
        <v>164</v>
      </c>
      <c r="AE1261" t="s">
        <v>659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659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659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659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673</v>
      </c>
      <c r="AD1267" t="s">
        <v>164</v>
      </c>
      <c r="AE1267" t="s">
        <v>659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673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673</v>
      </c>
      <c r="AD1269" t="s">
        <v>492</v>
      </c>
      <c r="AE1269" t="s">
        <v>659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673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659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659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659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649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659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649</v>
      </c>
      <c r="E1278" t="s">
        <v>649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659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675</v>
      </c>
      <c r="AD1282" t="s">
        <v>164</v>
      </c>
      <c r="AE1282" t="s">
        <v>659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648</v>
      </c>
      <c r="E1283" t="s">
        <v>648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675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675</v>
      </c>
      <c r="AD1284" t="s">
        <v>492</v>
      </c>
      <c r="AE1284" t="s">
        <v>659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675</v>
      </c>
      <c r="AD1285" t="s">
        <v>514</v>
      </c>
      <c r="AE1285" t="s">
        <v>659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649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675</v>
      </c>
      <c r="AD1286" t="s">
        <v>674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675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675</v>
      </c>
      <c r="AD1288" t="s">
        <v>513</v>
      </c>
      <c r="AE1288" t="s">
        <v>659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673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659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649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659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649</v>
      </c>
      <c r="E1293" t="s">
        <v>649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659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659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659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674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674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674</v>
      </c>
      <c r="AD1303" t="s">
        <v>164</v>
      </c>
      <c r="AE1303" t="s">
        <v>659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674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674</v>
      </c>
      <c r="AD1305" t="s">
        <v>492</v>
      </c>
      <c r="AE1305" t="s">
        <v>659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674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674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674</v>
      </c>
      <c r="AD1308" t="s">
        <v>674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659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659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659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659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673</v>
      </c>
      <c r="AE1315" t="s">
        <v>659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659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659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659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659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659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659</v>
      </c>
      <c r="AD1327" t="s">
        <v>164</v>
      </c>
      <c r="AE1327" t="s">
        <v>659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649</v>
      </c>
      <c r="E1328" t="s">
        <v>649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659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659</v>
      </c>
      <c r="AD1329" t="s">
        <v>492</v>
      </c>
      <c r="AE1329" t="s">
        <v>659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659</v>
      </c>
      <c r="AD1330" t="s">
        <v>493</v>
      </c>
      <c r="AE1330" t="s">
        <v>659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659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659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659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659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659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659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659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649</v>
      </c>
      <c r="E1344" t="s">
        <v>649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659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675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659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659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659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659</v>
      </c>
      <c r="AD1356" t="s">
        <v>164</v>
      </c>
      <c r="AE1356" t="s">
        <v>659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659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649</v>
      </c>
      <c r="E1358" t="s">
        <v>649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659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659</v>
      </c>
      <c r="AD1359" t="s">
        <v>514</v>
      </c>
      <c r="AE1359" t="s">
        <v>659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673</v>
      </c>
      <c r="AD1361" t="s">
        <v>164</v>
      </c>
      <c r="AE1361" t="s">
        <v>659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673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673</v>
      </c>
      <c r="AD1363" t="s">
        <v>493</v>
      </c>
      <c r="AE1363" t="s">
        <v>659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649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659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659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649</v>
      </c>
      <c r="E1371" t="s">
        <v>649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659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674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675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675</v>
      </c>
      <c r="AD1374" t="s">
        <v>493</v>
      </c>
      <c r="AE1374" t="s">
        <v>659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659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659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659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659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659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659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659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674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649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674</v>
      </c>
      <c r="AE1387" t="s">
        <v>659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649</v>
      </c>
      <c r="E1388" t="s">
        <v>649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659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674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674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674</v>
      </c>
      <c r="AD1393" t="s">
        <v>164</v>
      </c>
      <c r="AE1393" t="s">
        <v>659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674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674</v>
      </c>
      <c r="AD1395" t="s">
        <v>492</v>
      </c>
      <c r="AE1395" t="s">
        <v>659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674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674</v>
      </c>
      <c r="AD1397" t="s">
        <v>493</v>
      </c>
      <c r="AE1397" t="s">
        <v>659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674</v>
      </c>
      <c r="AD1398" t="s">
        <v>674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659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659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659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659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648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659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659</v>
      </c>
      <c r="AD1409" t="s">
        <v>164</v>
      </c>
      <c r="AE1409" t="s">
        <v>659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659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659</v>
      </c>
      <c r="AD1411" t="s">
        <v>493</v>
      </c>
      <c r="AE1411" t="s">
        <v>659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659</v>
      </c>
      <c r="AD1412" t="s">
        <v>674</v>
      </c>
      <c r="AE1412" t="s">
        <v>659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659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659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659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659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674</v>
      </c>
      <c r="AC1421" t="s">
        <v>512</v>
      </c>
      <c r="AD1421" t="s">
        <v>674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674</v>
      </c>
      <c r="AC1422" t="s">
        <v>512</v>
      </c>
      <c r="AD1422" t="s">
        <v>674</v>
      </c>
      <c r="AE1422" t="s">
        <v>659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674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674</v>
      </c>
      <c r="AC1424" t="s">
        <v>164</v>
      </c>
      <c r="AD1424" t="s">
        <v>164</v>
      </c>
      <c r="AE1424" t="s">
        <v>659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649</v>
      </c>
      <c r="E1425" t="s">
        <v>649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674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674</v>
      </c>
      <c r="AC1426" t="s">
        <v>164</v>
      </c>
      <c r="AD1426" t="s">
        <v>674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674</v>
      </c>
      <c r="AC1427" t="s">
        <v>164</v>
      </c>
      <c r="AD1427" t="s">
        <v>674</v>
      </c>
      <c r="AE1427" t="s">
        <v>659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674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674</v>
      </c>
      <c r="AC1429" t="s">
        <v>675</v>
      </c>
      <c r="AD1429" t="s">
        <v>674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674</v>
      </c>
      <c r="AC1430" t="s">
        <v>675</v>
      </c>
      <c r="AD1430" t="s">
        <v>674</v>
      </c>
      <c r="AE1430" t="s">
        <v>659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674</v>
      </c>
      <c r="AC1431" t="s">
        <v>514</v>
      </c>
      <c r="AD1431" t="s">
        <v>674</v>
      </c>
      <c r="AE1431" t="s">
        <v>659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674</v>
      </c>
      <c r="AC1432" t="s">
        <v>493</v>
      </c>
      <c r="AD1432" t="s">
        <v>674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649</v>
      </c>
      <c r="E1433" t="s">
        <v>649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674</v>
      </c>
      <c r="AC1433" t="s">
        <v>493</v>
      </c>
      <c r="AD1433" t="s">
        <v>674</v>
      </c>
      <c r="AE1433" t="s">
        <v>659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674</v>
      </c>
      <c r="AC1434" t="s">
        <v>674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674</v>
      </c>
      <c r="AC1435" t="s">
        <v>674</v>
      </c>
      <c r="AD1435" t="s">
        <v>164</v>
      </c>
      <c r="AE1435" t="s">
        <v>659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674</v>
      </c>
      <c r="AC1436" t="s">
        <v>674</v>
      </c>
      <c r="AD1436" t="s">
        <v>674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674</v>
      </c>
      <c r="AC1437" t="s">
        <v>674</v>
      </c>
      <c r="AD1437" t="s">
        <v>674</v>
      </c>
      <c r="AE1437" t="s">
        <v>659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674</v>
      </c>
      <c r="AC1438" t="s">
        <v>518</v>
      </c>
      <c r="AD1438" t="s">
        <v>674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674</v>
      </c>
      <c r="AC1439" t="s">
        <v>513</v>
      </c>
      <c r="AD1439" t="s">
        <v>164</v>
      </c>
      <c r="AE1439" t="s">
        <v>659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674</v>
      </c>
      <c r="AC1440" t="s">
        <v>513</v>
      </c>
      <c r="AD1440" t="s">
        <v>674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674</v>
      </c>
      <c r="AC1441" t="s">
        <v>659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674</v>
      </c>
      <c r="AC1442" t="s">
        <v>659</v>
      </c>
      <c r="AD1442" t="s">
        <v>164</v>
      </c>
      <c r="AE1442" t="s">
        <v>659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674</v>
      </c>
      <c r="AC1443" t="s">
        <v>659</v>
      </c>
      <c r="AD1443" t="s">
        <v>514</v>
      </c>
      <c r="AE1443" t="s">
        <v>659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674</v>
      </c>
      <c r="AC1444" t="s">
        <v>659</v>
      </c>
      <c r="AD1444" t="s">
        <v>674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649</v>
      </c>
      <c r="E1445" t="s">
        <v>649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674</v>
      </c>
      <c r="AC1445" t="s">
        <v>659</v>
      </c>
      <c r="AD1445" t="s">
        <v>674</v>
      </c>
      <c r="AE1445" t="s">
        <v>659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674</v>
      </c>
      <c r="AC1446" t="s">
        <v>659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674</v>
      </c>
      <c r="AC1447" t="s">
        <v>659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673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675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675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659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649</v>
      </c>
      <c r="E1455" t="s">
        <v>649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659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659</v>
      </c>
      <c r="AD1456" t="s">
        <v>515</v>
      </c>
      <c r="AE1456" t="s">
        <v>659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659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675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659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659</v>
      </c>
      <c r="AD1466" t="s">
        <v>164</v>
      </c>
      <c r="AE1466" t="s">
        <v>659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659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659</v>
      </c>
      <c r="AD1468" t="s">
        <v>518</v>
      </c>
      <c r="AE1468" t="s">
        <v>659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659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659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649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675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675</v>
      </c>
      <c r="AD1478" t="s">
        <v>492</v>
      </c>
      <c r="AE1478" t="s">
        <v>659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675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675</v>
      </c>
      <c r="AD1480" t="s">
        <v>513</v>
      </c>
      <c r="AE1480" t="s">
        <v>659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659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659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659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674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674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674</v>
      </c>
      <c r="AD1488" t="s">
        <v>513</v>
      </c>
      <c r="AE1488" t="s">
        <v>659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659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659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659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659</v>
      </c>
      <c r="AD1496" t="s">
        <v>164</v>
      </c>
      <c r="AE1496" t="s">
        <v>659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659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659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659</v>
      </c>
      <c r="AD1499" t="s">
        <v>513</v>
      </c>
      <c r="AE1499" t="s">
        <v>659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659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659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649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659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659</v>
      </c>
      <c r="AD1510" t="s">
        <v>164</v>
      </c>
      <c r="AE1510" t="s">
        <v>659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659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675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674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659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659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674</v>
      </c>
      <c r="AD1519" t="s">
        <v>164</v>
      </c>
      <c r="AE1519" t="s">
        <v>659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649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649</v>
      </c>
      <c r="E1521" t="s">
        <v>649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659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659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659</v>
      </c>
      <c r="AD1523" t="s">
        <v>516</v>
      </c>
      <c r="AE1523" t="s">
        <v>659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659</v>
      </c>
      <c r="AE1524" t="s">
        <v>659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673</v>
      </c>
      <c r="AC1525" t="s">
        <v>659</v>
      </c>
      <c r="AD1525" t="s">
        <v>673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659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659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659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659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649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659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674</v>
      </c>
      <c r="AD1534" t="s">
        <v>512</v>
      </c>
      <c r="AE1534" t="s">
        <v>659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674</v>
      </c>
      <c r="AD1535" t="s">
        <v>164</v>
      </c>
      <c r="AE1535" t="s">
        <v>659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659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659</v>
      </c>
      <c r="AD1538" t="s">
        <v>512</v>
      </c>
      <c r="AE1538" t="s">
        <v>659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659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674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659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649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659</v>
      </c>
      <c r="AD1547" t="s">
        <v>491</v>
      </c>
      <c r="AE1547" t="s">
        <v>659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649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673</v>
      </c>
      <c r="AD1548" t="s">
        <v>673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649</v>
      </c>
      <c r="E1549" t="s">
        <v>649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673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659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659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659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648</v>
      </c>
      <c r="E1555" t="s">
        <v>648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659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675</v>
      </c>
      <c r="AD1557" t="s">
        <v>164</v>
      </c>
      <c r="AE1557" t="s">
        <v>659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675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675</v>
      </c>
      <c r="AD1559" t="s">
        <v>492</v>
      </c>
      <c r="AE1559" t="s">
        <v>659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649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659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659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659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659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674</v>
      </c>
      <c r="AD1568" t="s">
        <v>489</v>
      </c>
      <c r="AE1568" t="s">
        <v>659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649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674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649</v>
      </c>
      <c r="E1570" t="s">
        <v>649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674</v>
      </c>
      <c r="AD1570" t="s">
        <v>164</v>
      </c>
      <c r="AE1570" t="s">
        <v>659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674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674</v>
      </c>
      <c r="AD1572" t="s">
        <v>493</v>
      </c>
      <c r="AE1572" t="s">
        <v>659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674</v>
      </c>
      <c r="AD1573" t="s">
        <v>674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674</v>
      </c>
      <c r="AD1574" t="s">
        <v>674</v>
      </c>
      <c r="AE1574" t="s">
        <v>659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659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659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659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649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659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659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659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659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659</v>
      </c>
      <c r="AD1587" t="s">
        <v>164</v>
      </c>
      <c r="AE1587" t="s">
        <v>659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659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659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673</v>
      </c>
      <c r="AD1590" t="s">
        <v>164</v>
      </c>
      <c r="AE1590" t="s">
        <v>659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649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673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649</v>
      </c>
      <c r="E1592" t="s">
        <v>649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673</v>
      </c>
      <c r="AD1592" t="s">
        <v>492</v>
      </c>
      <c r="AE1592" t="s">
        <v>659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659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659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659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675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675</v>
      </c>
      <c r="AD1602" t="s">
        <v>492</v>
      </c>
      <c r="AE1602" t="s">
        <v>659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675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659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659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659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659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674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674</v>
      </c>
      <c r="AD1611" t="s">
        <v>164</v>
      </c>
      <c r="AE1611" t="s">
        <v>659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674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674</v>
      </c>
      <c r="AD1613" t="s">
        <v>492</v>
      </c>
      <c r="AE1613" t="s">
        <v>659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674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674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659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659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659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659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659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659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659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659</v>
      </c>
      <c r="AD1630" t="s">
        <v>164</v>
      </c>
      <c r="AE1630" t="s">
        <v>659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659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649</v>
      </c>
      <c r="E1632" t="s">
        <v>649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659</v>
      </c>
      <c r="AD1632" t="s">
        <v>492</v>
      </c>
      <c r="AE1632" t="s">
        <v>659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659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659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659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659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675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659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659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659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674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659</v>
      </c>
      <c r="AD1651" t="s">
        <v>164</v>
      </c>
      <c r="AE1651" t="s">
        <v>659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659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659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659</v>
      </c>
      <c r="AD1654" t="s">
        <v>514</v>
      </c>
      <c r="AE1654" t="s">
        <v>659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673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673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673</v>
      </c>
      <c r="AD1658" t="s">
        <v>493</v>
      </c>
      <c r="AE1658" t="s">
        <v>659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659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659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659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674</v>
      </c>
      <c r="AE1665" t="s">
        <v>659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675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675</v>
      </c>
      <c r="AD1667" t="s">
        <v>493</v>
      </c>
      <c r="AE1667" t="s">
        <v>659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659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659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659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659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659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674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674</v>
      </c>
      <c r="AD1681" t="s">
        <v>164</v>
      </c>
      <c r="AE1681" t="s">
        <v>659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674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674</v>
      </c>
      <c r="AD1683" t="s">
        <v>492</v>
      </c>
      <c r="AE1683" t="s">
        <v>659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674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674</v>
      </c>
      <c r="AD1685" t="s">
        <v>493</v>
      </c>
      <c r="AE1685" t="s">
        <v>659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659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659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659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659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659</v>
      </c>
      <c r="AD1693" t="s">
        <v>164</v>
      </c>
      <c r="AE1693" t="s">
        <v>659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659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659</v>
      </c>
      <c r="AD1695" t="s">
        <v>493</v>
      </c>
      <c r="AE1695" t="s">
        <v>659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659</v>
      </c>
      <c r="AD1696" t="s">
        <v>513</v>
      </c>
      <c r="AE1696" t="s">
        <v>659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659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674</v>
      </c>
      <c r="AC1699" t="s">
        <v>491</v>
      </c>
      <c r="AD1699" t="s">
        <v>674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674</v>
      </c>
      <c r="AC1700" t="s">
        <v>164</v>
      </c>
      <c r="AD1700" t="s">
        <v>164</v>
      </c>
      <c r="AE1700" t="s">
        <v>659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674</v>
      </c>
      <c r="AC1701" t="s">
        <v>164</v>
      </c>
      <c r="AD1701" t="s">
        <v>674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674</v>
      </c>
      <c r="AC1702" t="s">
        <v>164</v>
      </c>
      <c r="AD1702" t="s">
        <v>674</v>
      </c>
      <c r="AE1702" t="s">
        <v>659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674</v>
      </c>
      <c r="AC1703" t="s">
        <v>675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649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674</v>
      </c>
      <c r="AC1704" t="s">
        <v>675</v>
      </c>
      <c r="AD1704" t="s">
        <v>674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674</v>
      </c>
      <c r="AC1705" t="s">
        <v>675</v>
      </c>
      <c r="AD1705" t="s">
        <v>674</v>
      </c>
      <c r="AE1705" t="s">
        <v>659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674</v>
      </c>
      <c r="AC1706" t="s">
        <v>493</v>
      </c>
      <c r="AD1706" t="s">
        <v>674</v>
      </c>
      <c r="AE1706" t="s">
        <v>659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674</v>
      </c>
      <c r="AC1707" t="s">
        <v>674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674</v>
      </c>
      <c r="AC1708" t="s">
        <v>674</v>
      </c>
      <c r="AD1708" t="s">
        <v>164</v>
      </c>
      <c r="AE1708" t="s">
        <v>659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674</v>
      </c>
      <c r="AC1709" t="s">
        <v>674</v>
      </c>
      <c r="AD1709" t="s">
        <v>674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674</v>
      </c>
      <c r="AC1710" t="s">
        <v>674</v>
      </c>
      <c r="AD1710" t="s">
        <v>674</v>
      </c>
      <c r="AE1710" t="s">
        <v>659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674</v>
      </c>
      <c r="AC1711" t="s">
        <v>674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674</v>
      </c>
      <c r="AC1712" t="s">
        <v>674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674</v>
      </c>
      <c r="AC1713" t="s">
        <v>513</v>
      </c>
      <c r="AD1713" t="s">
        <v>674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674</v>
      </c>
      <c r="AC1714" t="s">
        <v>659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674</v>
      </c>
      <c r="AC1715" t="s">
        <v>659</v>
      </c>
      <c r="AD1715" t="s">
        <v>164</v>
      </c>
      <c r="AE1715" t="s">
        <v>659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674</v>
      </c>
      <c r="AC1716" t="s">
        <v>659</v>
      </c>
      <c r="AD1716" t="s">
        <v>674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674</v>
      </c>
      <c r="AC1717" t="s">
        <v>659</v>
      </c>
      <c r="AD1717" t="s">
        <v>674</v>
      </c>
      <c r="AE1717" t="s">
        <v>659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649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674</v>
      </c>
      <c r="AC1718" t="s">
        <v>520</v>
      </c>
      <c r="AD1718" t="s">
        <v>674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649</v>
      </c>
      <c r="E1719" t="s">
        <v>649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659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659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659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649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659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659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659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675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649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659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649</v>
      </c>
      <c r="E1732" t="s">
        <v>649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659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659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659</v>
      </c>
      <c r="AD1737" t="s">
        <v>518</v>
      </c>
      <c r="AE1737" t="s">
        <v>659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649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659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659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674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659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675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675</v>
      </c>
      <c r="AD1748" t="s">
        <v>513</v>
      </c>
      <c r="AE1748" t="s">
        <v>659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649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649</v>
      </c>
      <c r="E1750" t="s">
        <v>649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659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674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659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649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659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659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659</v>
      </c>
      <c r="AD1760" t="s">
        <v>164</v>
      </c>
      <c r="AE1760" t="s">
        <v>659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659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659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659</v>
      </c>
      <c r="AD1763" t="s">
        <v>513</v>
      </c>
      <c r="AE1763" t="s">
        <v>659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649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649</v>
      </c>
      <c r="E1767" t="s">
        <v>649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659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659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674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674</v>
      </c>
      <c r="AD1774" t="s">
        <v>494</v>
      </c>
      <c r="AE1774" t="s">
        <v>659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659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659</v>
      </c>
      <c r="AD1777" t="s">
        <v>164</v>
      </c>
      <c r="AE1777" t="s">
        <v>659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659</v>
      </c>
      <c r="AD1778" t="s">
        <v>494</v>
      </c>
      <c r="AE1778" t="s">
        <v>659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659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659</v>
      </c>
      <c r="AE1781" t="s">
        <v>659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673</v>
      </c>
      <c r="AC1782" t="s">
        <v>673</v>
      </c>
      <c r="AD1782" t="s">
        <v>673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673</v>
      </c>
      <c r="AC1783" t="s">
        <v>673</v>
      </c>
      <c r="AD1783" t="s">
        <v>674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673</v>
      </c>
      <c r="AC1784" t="s">
        <v>164</v>
      </c>
      <c r="AD1784" t="s">
        <v>673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673</v>
      </c>
      <c r="AC1785" t="s">
        <v>164</v>
      </c>
      <c r="AD1785" t="s">
        <v>164</v>
      </c>
      <c r="AE1785" t="s">
        <v>659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673</v>
      </c>
      <c r="AC1786" t="s">
        <v>514</v>
      </c>
      <c r="AD1786" t="s">
        <v>673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673</v>
      </c>
      <c r="AC1787" t="s">
        <v>659</v>
      </c>
      <c r="AD1787" t="s">
        <v>673</v>
      </c>
      <c r="AE1787" t="s">
        <v>659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659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659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674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674</v>
      </c>
      <c r="AD1794" t="s">
        <v>512</v>
      </c>
      <c r="AE1794" t="s">
        <v>659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674</v>
      </c>
      <c r="AD1795" t="s">
        <v>164</v>
      </c>
      <c r="AE1795" t="s">
        <v>659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674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659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659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659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649</v>
      </c>
      <c r="E1802" t="s">
        <v>649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659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659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659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659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674</v>
      </c>
      <c r="AD1808" t="s">
        <v>491</v>
      </c>
      <c r="AE1808" t="s">
        <v>659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659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659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659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659</v>
      </c>
      <c r="AD1813" t="s">
        <v>674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673</v>
      </c>
      <c r="AD1814" t="s">
        <v>164</v>
      </c>
      <c r="AE1814" t="s">
        <v>659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659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659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649</v>
      </c>
      <c r="E1820" t="s">
        <v>649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659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659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674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659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675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675</v>
      </c>
      <c r="AD1828" t="s">
        <v>164</v>
      </c>
      <c r="AE1828" t="s">
        <v>659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675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675</v>
      </c>
      <c r="AD1830" t="s">
        <v>492</v>
      </c>
      <c r="AE1830" t="s">
        <v>659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659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659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659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659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649</v>
      </c>
      <c r="E1838" t="s">
        <v>649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659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659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674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674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674</v>
      </c>
      <c r="AD1846" t="s">
        <v>164</v>
      </c>
      <c r="AE1846" t="s">
        <v>659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674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674</v>
      </c>
      <c r="AD1848" t="s">
        <v>492</v>
      </c>
      <c r="AE1848" t="s">
        <v>659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674</v>
      </c>
      <c r="AD1849" t="s">
        <v>493</v>
      </c>
      <c r="AE1849" t="s">
        <v>659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674</v>
      </c>
      <c r="AD1850" t="s">
        <v>674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674</v>
      </c>
      <c r="AD1851" t="s">
        <v>674</v>
      </c>
      <c r="AE1851" t="s">
        <v>659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674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674</v>
      </c>
      <c r="AD1853" t="s">
        <v>513</v>
      </c>
      <c r="AE1853" t="s">
        <v>659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674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649</v>
      </c>
      <c r="E1856" t="s">
        <v>649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659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649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659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659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659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659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659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659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659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659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659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648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659</v>
      </c>
      <c r="AD1870" t="s">
        <v>164</v>
      </c>
      <c r="AE1870" t="s">
        <v>659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659</v>
      </c>
      <c r="AD1871" t="s">
        <v>493</v>
      </c>
      <c r="AE1871" t="s">
        <v>659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659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659</v>
      </c>
      <c r="AD1873" t="s">
        <v>513</v>
      </c>
      <c r="AE1873" t="s">
        <v>659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659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649</v>
      </c>
      <c r="E1876" t="s">
        <v>649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659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659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659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673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673</v>
      </c>
      <c r="AD1882" t="s">
        <v>492</v>
      </c>
      <c r="AE1882" t="s">
        <v>659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659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673</v>
      </c>
      <c r="AE1886" t="s">
        <v>659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659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659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659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675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675</v>
      </c>
      <c r="AD1894" t="s">
        <v>164</v>
      </c>
      <c r="AE1894" t="s">
        <v>659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675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675</v>
      </c>
      <c r="AD1896" t="s">
        <v>492</v>
      </c>
      <c r="AE1896" t="s">
        <v>659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675</v>
      </c>
      <c r="AD1897" t="s">
        <v>513</v>
      </c>
      <c r="AE1897" t="s">
        <v>659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659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659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649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659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674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674</v>
      </c>
      <c r="AD1906" t="s">
        <v>164</v>
      </c>
      <c r="AE1906" t="s">
        <v>659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674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674</v>
      </c>
      <c r="AD1908" t="s">
        <v>492</v>
      </c>
      <c r="AE1908" t="s">
        <v>659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674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674</v>
      </c>
      <c r="AD1910" t="s">
        <v>493</v>
      </c>
      <c r="AE1910" t="s">
        <v>659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674</v>
      </c>
      <c r="AD1911" t="s">
        <v>674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659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659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649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659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659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649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659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659</v>
      </c>
      <c r="AD1926" t="s">
        <v>164</v>
      </c>
      <c r="AE1926" t="s">
        <v>659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659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659</v>
      </c>
      <c r="AD1928" t="s">
        <v>492</v>
      </c>
      <c r="AE1928" t="s">
        <v>659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659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659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659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659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649</v>
      </c>
      <c r="E1936" t="s">
        <v>649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649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659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659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659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659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675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675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659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649</v>
      </c>
      <c r="E1949" t="s">
        <v>649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659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649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659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659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659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674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674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659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649</v>
      </c>
      <c r="E1960" t="s">
        <v>649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659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659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659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659</v>
      </c>
      <c r="AD1964" t="s">
        <v>512</v>
      </c>
      <c r="AE1964" t="s">
        <v>659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649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659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659</v>
      </c>
      <c r="AD1966" t="s">
        <v>164</v>
      </c>
      <c r="AE1966" t="s">
        <v>659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659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659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659</v>
      </c>
      <c r="AD1969" t="s">
        <v>514</v>
      </c>
      <c r="AE1969" t="s">
        <v>659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659</v>
      </c>
      <c r="AD1970" t="s">
        <v>493</v>
      </c>
      <c r="AE1970" t="s">
        <v>659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659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673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649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673</v>
      </c>
      <c r="AD1973" t="s">
        <v>493</v>
      </c>
      <c r="AE1973" t="s">
        <v>659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649</v>
      </c>
      <c r="E1974" t="s">
        <v>649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659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659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659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674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648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675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675</v>
      </c>
      <c r="AD1982" t="s">
        <v>493</v>
      </c>
      <c r="AE1982" t="s">
        <v>659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659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659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659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659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659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659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674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674</v>
      </c>
      <c r="AD1994" t="s">
        <v>164</v>
      </c>
      <c r="AE1994" t="s">
        <v>659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674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674</v>
      </c>
      <c r="AD1996" t="s">
        <v>493</v>
      </c>
      <c r="AE1996" t="s">
        <v>659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674</v>
      </c>
      <c r="AD1997" t="s">
        <v>674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659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659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659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659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659</v>
      </c>
      <c r="AD2006" t="s">
        <v>491</v>
      </c>
      <c r="AE2006" t="s">
        <v>659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659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659</v>
      </c>
      <c r="AD2008" t="s">
        <v>164</v>
      </c>
      <c r="AE2008" t="s">
        <v>659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659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659</v>
      </c>
      <c r="AD2010" t="s">
        <v>493</v>
      </c>
      <c r="AE2010" t="s">
        <v>659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659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659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674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674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674</v>
      </c>
      <c r="AC2016" t="s">
        <v>164</v>
      </c>
      <c r="AD2016" t="s">
        <v>164</v>
      </c>
      <c r="AE2016" t="s">
        <v>659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674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674</v>
      </c>
      <c r="AC2018" t="s">
        <v>164</v>
      </c>
      <c r="AD2018" t="s">
        <v>493</v>
      </c>
      <c r="AE2018" t="s">
        <v>659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674</v>
      </c>
      <c r="AC2019" t="s">
        <v>164</v>
      </c>
      <c r="AD2019" t="s">
        <v>674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674</v>
      </c>
      <c r="AC2020" t="s">
        <v>164</v>
      </c>
      <c r="AD2020" t="s">
        <v>674</v>
      </c>
      <c r="AE2020" t="s">
        <v>659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674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674</v>
      </c>
      <c r="AC2022" t="s">
        <v>675</v>
      </c>
      <c r="AD2022" t="s">
        <v>164</v>
      </c>
      <c r="AE2022" t="s">
        <v>659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674</v>
      </c>
      <c r="AC2023" t="s">
        <v>675</v>
      </c>
      <c r="AD2023" t="s">
        <v>674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674</v>
      </c>
      <c r="AC2024" t="s">
        <v>675</v>
      </c>
      <c r="AD2024" t="s">
        <v>674</v>
      </c>
      <c r="AE2024" t="s">
        <v>659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674</v>
      </c>
      <c r="AC2025" t="s">
        <v>493</v>
      </c>
      <c r="AD2025" t="s">
        <v>164</v>
      </c>
      <c r="AE2025" t="s">
        <v>659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674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674</v>
      </c>
      <c r="AC2027" t="s">
        <v>493</v>
      </c>
      <c r="AD2027" t="s">
        <v>493</v>
      </c>
      <c r="AE2027" t="s">
        <v>659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674</v>
      </c>
      <c r="AC2028" t="s">
        <v>493</v>
      </c>
      <c r="AD2028" t="s">
        <v>674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674</v>
      </c>
      <c r="AC2029" t="s">
        <v>493</v>
      </c>
      <c r="AD2029" t="s">
        <v>674</v>
      </c>
      <c r="AE2029" t="s">
        <v>659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674</v>
      </c>
      <c r="AC2030" t="s">
        <v>674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674</v>
      </c>
      <c r="AC2031" t="s">
        <v>674</v>
      </c>
      <c r="AD2031" t="s">
        <v>164</v>
      </c>
      <c r="AE2031" t="s">
        <v>659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674</v>
      </c>
      <c r="AC2032" t="s">
        <v>674</v>
      </c>
      <c r="AD2032" t="s">
        <v>674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674</v>
      </c>
      <c r="AC2033" t="s">
        <v>674</v>
      </c>
      <c r="AD2033" t="s">
        <v>674</v>
      </c>
      <c r="AE2033" t="s">
        <v>659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674</v>
      </c>
      <c r="AC2034" t="s">
        <v>513</v>
      </c>
      <c r="AD2034" t="s">
        <v>164</v>
      </c>
      <c r="AE2034" t="s">
        <v>659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674</v>
      </c>
      <c r="AC2035" t="s">
        <v>513</v>
      </c>
      <c r="AD2035" t="s">
        <v>674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674</v>
      </c>
      <c r="AC2036" t="s">
        <v>659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674</v>
      </c>
      <c r="AC2037" t="s">
        <v>659</v>
      </c>
      <c r="AD2037" t="s">
        <v>164</v>
      </c>
      <c r="AE2037" t="s">
        <v>659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674</v>
      </c>
      <c r="AC2038" t="s">
        <v>659</v>
      </c>
      <c r="AD2038" t="s">
        <v>493</v>
      </c>
      <c r="AE2038" t="s">
        <v>659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674</v>
      </c>
      <c r="AC2039" t="s">
        <v>659</v>
      </c>
      <c r="AD2039" t="s">
        <v>674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674</v>
      </c>
      <c r="AC2040" t="s">
        <v>659</v>
      </c>
      <c r="AD2040" t="s">
        <v>674</v>
      </c>
      <c r="AE2040" t="s">
        <v>659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674</v>
      </c>
      <c r="AC2041" t="s">
        <v>659</v>
      </c>
      <c r="AD2041" t="s">
        <v>513</v>
      </c>
      <c r="AE2041" t="s">
        <v>659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659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659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659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649</v>
      </c>
      <c r="E2048" t="s">
        <v>649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659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659</v>
      </c>
      <c r="AD2050" t="s">
        <v>164</v>
      </c>
      <c r="AE2050" t="s">
        <v>659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659</v>
      </c>
      <c r="AD2051" t="s">
        <v>493</v>
      </c>
      <c r="AE2051" t="s">
        <v>659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659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659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659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675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659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659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659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659</v>
      </c>
      <c r="AD2063" t="s">
        <v>518</v>
      </c>
      <c r="AE2063" t="s">
        <v>659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659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659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659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659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659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675</v>
      </c>
      <c r="AD2075" t="s">
        <v>164</v>
      </c>
      <c r="AE2075" t="s">
        <v>659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675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675</v>
      </c>
      <c r="AD2077" t="s">
        <v>492</v>
      </c>
      <c r="AE2077" t="s">
        <v>659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675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675</v>
      </c>
      <c r="AD2079" t="s">
        <v>513</v>
      </c>
      <c r="AE2079" t="s">
        <v>659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659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659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659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659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674</v>
      </c>
      <c r="AD2088" t="s">
        <v>164</v>
      </c>
      <c r="AE2088" t="s">
        <v>659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674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659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659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673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659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659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659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659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649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659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659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659</v>
      </c>
      <c r="AD2104" t="s">
        <v>164</v>
      </c>
      <c r="AE2104" t="s">
        <v>659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659</v>
      </c>
      <c r="AD2105" t="s">
        <v>493</v>
      </c>
      <c r="AE2105" t="s">
        <v>659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659</v>
      </c>
      <c r="AD2106" t="s">
        <v>674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659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659</v>
      </c>
      <c r="AD2108" t="s">
        <v>513</v>
      </c>
      <c r="AE2108" t="s">
        <v>659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659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659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659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649</v>
      </c>
      <c r="E2118" t="s">
        <v>649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659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649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674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659</v>
      </c>
      <c r="AD2123" t="s">
        <v>164</v>
      </c>
      <c r="AE2123" t="s">
        <v>659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659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659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659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659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649</v>
      </c>
      <c r="E2134" t="s">
        <v>649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649</v>
      </c>
      <c r="E2146" t="s">
        <v>649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648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649</v>
      </c>
      <c r="E2181" t="s">
        <v>649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648</v>
      </c>
      <c r="E2185" t="s">
        <v>648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649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649</v>
      </c>
      <c r="E2194" t="s">
        <v>649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649</v>
      </c>
      <c r="E2206" t="s">
        <v>649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649</v>
      </c>
      <c r="E2216" t="s">
        <v>649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649</v>
      </c>
      <c r="E2245" t="s">
        <v>649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649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649</v>
      </c>
      <c r="E2261" t="s">
        <v>649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649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649</v>
      </c>
      <c r="E2273" t="s">
        <v>649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649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649</v>
      </c>
      <c r="E2282" t="s">
        <v>649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649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649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649</v>
      </c>
      <c r="E2298" t="s">
        <v>649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648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649</v>
      </c>
      <c r="E2340" t="s">
        <v>649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648</v>
      </c>
      <c r="E2345" t="s">
        <v>648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649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649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649</v>
      </c>
      <c r="E2361" t="s">
        <v>649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649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649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649</v>
      </c>
      <c r="E2386" t="s">
        <v>649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649</v>
      </c>
      <c r="E2405" t="s">
        <v>649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649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649</v>
      </c>
      <c r="E2428" t="s">
        <v>649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649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649</v>
      </c>
      <c r="E2465" t="s">
        <v>649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649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649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649</v>
      </c>
      <c r="E2483" t="s">
        <v>649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648</v>
      </c>
      <c r="E2487" t="s">
        <v>648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649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649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649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649</v>
      </c>
      <c r="E2503" t="s">
        <v>649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648</v>
      </c>
      <c r="E2510" t="s">
        <v>648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649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649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649</v>
      </c>
      <c r="E2522" t="s">
        <v>649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649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649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649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649</v>
      </c>
      <c r="E2541" t="s">
        <v>649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649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649</v>
      </c>
      <c r="E2582" t="s">
        <v>649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649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649</v>
      </c>
      <c r="E2601" t="s">
        <v>649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649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649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649</v>
      </c>
      <c r="E2616" t="s">
        <v>649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649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649</v>
      </c>
      <c r="E2631" t="s">
        <v>649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649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649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649</v>
      </c>
      <c r="E2646" t="s">
        <v>649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649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649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649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649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649</v>
      </c>
      <c r="E2709" t="s">
        <v>649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649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649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649</v>
      </c>
      <c r="E2730" t="s">
        <v>649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649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649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649</v>
      </c>
      <c r="E2748" t="s">
        <v>649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649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649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649</v>
      </c>
      <c r="E2766" t="s">
        <v>649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649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649</v>
      </c>
      <c r="E2808" t="s">
        <v>649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649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649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649</v>
      </c>
      <c r="E2831" t="s">
        <v>649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648</v>
      </c>
      <c r="E2838" t="s">
        <v>648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649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649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649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649</v>
      </c>
      <c r="E2855" t="s">
        <v>649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649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649</v>
      </c>
      <c r="E2872" t="s">
        <v>649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649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649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649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649</v>
      </c>
      <c r="E2896" t="s">
        <v>649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649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5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26" t="s">
        <v>569</v>
      </c>
      <c r="B1" s="1026"/>
      <c r="C1" s="1026"/>
      <c r="D1" s="1026"/>
      <c r="E1" s="1026"/>
      <c r="F1" s="1026"/>
      <c r="G1" s="1026"/>
      <c r="H1" s="1026"/>
      <c r="I1" s="1026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671</v>
      </c>
      <c r="AD6" t="s">
        <v>496</v>
      </c>
      <c r="AE6" t="s">
        <v>672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659</v>
      </c>
      <c r="AE7" t="s">
        <v>659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659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659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659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659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659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674</v>
      </c>
      <c r="AD14" t="s">
        <v>491</v>
      </c>
      <c r="AE14" t="s">
        <v>659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659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659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659</v>
      </c>
      <c r="AD17" t="s">
        <v>491</v>
      </c>
      <c r="AE17" t="s">
        <v>659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659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659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673</v>
      </c>
      <c r="AD22" t="s">
        <v>164</v>
      </c>
      <c r="AE22" t="s">
        <v>659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659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659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659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675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675</v>
      </c>
      <c r="AD29" t="s">
        <v>164</v>
      </c>
      <c r="AE29" t="s">
        <v>659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675</v>
      </c>
      <c r="AD30" t="s">
        <v>492</v>
      </c>
      <c r="AE30" t="s">
        <v>659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659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659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659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674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674</v>
      </c>
      <c r="AD37" t="s">
        <v>164</v>
      </c>
      <c r="AE37" t="s">
        <v>659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649</v>
      </c>
      <c r="E38" t="s">
        <v>649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674</v>
      </c>
      <c r="AD38" t="s">
        <v>492</v>
      </c>
      <c r="AE38" t="s">
        <v>659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674</v>
      </c>
      <c r="AD39" t="s">
        <v>493</v>
      </c>
      <c r="AE39" t="s">
        <v>659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659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659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659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659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659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659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659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659</v>
      </c>
      <c r="AD48" t="s">
        <v>164</v>
      </c>
      <c r="AE48" t="s">
        <v>659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659</v>
      </c>
      <c r="AD49" t="s">
        <v>493</v>
      </c>
      <c r="AE49" t="s">
        <v>659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649</v>
      </c>
      <c r="E50" t="s">
        <v>649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659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659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659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648</v>
      </c>
      <c r="E54" t="s">
        <v>648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659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659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659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648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659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659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659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659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659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659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649</v>
      </c>
      <c r="E65" t="s">
        <v>649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659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659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675</v>
      </c>
      <c r="AD68" t="s">
        <v>492</v>
      </c>
      <c r="AE68" t="s">
        <v>659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659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674</v>
      </c>
      <c r="AD71" t="s">
        <v>164</v>
      </c>
      <c r="AE71" t="s">
        <v>659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674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674</v>
      </c>
      <c r="AD73" t="s">
        <v>492</v>
      </c>
      <c r="AE73" t="s">
        <v>659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659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659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659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659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649</v>
      </c>
      <c r="E81" t="s">
        <v>649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659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659</v>
      </c>
      <c r="AD82" t="s">
        <v>164</v>
      </c>
      <c r="AE82" t="s">
        <v>659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659</v>
      </c>
      <c r="AD83" t="s">
        <v>517</v>
      </c>
      <c r="AE83" t="s">
        <v>659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659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659</v>
      </c>
      <c r="AD85" t="s">
        <v>492</v>
      </c>
      <c r="AE85" t="s">
        <v>659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659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659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648</v>
      </c>
      <c r="E88" t="s">
        <v>648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659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659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659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659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673</v>
      </c>
      <c r="AD96" t="s">
        <v>493</v>
      </c>
      <c r="AE96" t="s">
        <v>659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649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659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649</v>
      </c>
      <c r="E98" t="s">
        <v>649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659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659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659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674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674</v>
      </c>
      <c r="AD103" t="s">
        <v>493</v>
      </c>
      <c r="AE103" t="s">
        <v>659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659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659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659</v>
      </c>
      <c r="AD107" t="s">
        <v>164</v>
      </c>
      <c r="AE107" t="s">
        <v>659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659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659</v>
      </c>
      <c r="AD109" t="s">
        <v>493</v>
      </c>
      <c r="AE109" t="s">
        <v>659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659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659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659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659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659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659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659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675</v>
      </c>
      <c r="AD120" t="s">
        <v>520</v>
      </c>
      <c r="AE120" t="s">
        <v>659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659</v>
      </c>
      <c r="AD121" t="s">
        <v>164</v>
      </c>
      <c r="AE121" t="s">
        <v>659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659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659</v>
      </c>
      <c r="AD123" t="s">
        <v>520</v>
      </c>
      <c r="AE123" t="s">
        <v>659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659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659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659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659</v>
      </c>
      <c r="AD128" t="s">
        <v>164</v>
      </c>
      <c r="AE128" t="s">
        <v>659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659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659</v>
      </c>
      <c r="AD130" t="s">
        <v>494</v>
      </c>
      <c r="AE130" t="s">
        <v>659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659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659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659</v>
      </c>
      <c r="AD133" t="s">
        <v>516</v>
      </c>
      <c r="AE133" t="s">
        <v>659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659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659</v>
      </c>
      <c r="AE135" t="s">
        <v>659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659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659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659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659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673</v>
      </c>
      <c r="AD140" t="s">
        <v>491</v>
      </c>
      <c r="AE140" t="s">
        <v>659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659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659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659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674</v>
      </c>
      <c r="AD145" t="s">
        <v>491</v>
      </c>
      <c r="AE145" t="s">
        <v>659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659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659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659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659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659</v>
      </c>
      <c r="AD151" t="s">
        <v>491</v>
      </c>
      <c r="AE151" t="s">
        <v>659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659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659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659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659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659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659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659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675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675</v>
      </c>
      <c r="AD164" t="s">
        <v>164</v>
      </c>
      <c r="AE164" t="s">
        <v>659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675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659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659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674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674</v>
      </c>
      <c r="AD171" t="s">
        <v>164</v>
      </c>
      <c r="AE171" t="s">
        <v>659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659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659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659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659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659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659</v>
      </c>
      <c r="AD178" t="s">
        <v>512</v>
      </c>
      <c r="AE178" t="s">
        <v>659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659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659</v>
      </c>
      <c r="AD180" t="s">
        <v>164</v>
      </c>
      <c r="AE180" t="s">
        <v>659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659</v>
      </c>
      <c r="AD181" t="s">
        <v>493</v>
      </c>
      <c r="AE181" t="s">
        <v>659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649</v>
      </c>
      <c r="E183" t="s">
        <v>649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659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659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659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659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659</v>
      </c>
      <c r="AD187" t="s">
        <v>517</v>
      </c>
      <c r="AE187" t="s">
        <v>659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659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673</v>
      </c>
      <c r="AD189" t="s">
        <v>492</v>
      </c>
      <c r="AE189" t="s">
        <v>659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659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659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659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675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675</v>
      </c>
      <c r="AD197" t="s">
        <v>492</v>
      </c>
      <c r="AE197" t="s">
        <v>659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659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649</v>
      </c>
      <c r="E200" t="s">
        <v>649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659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674</v>
      </c>
      <c r="AD202" t="s">
        <v>164</v>
      </c>
      <c r="AE202" t="s">
        <v>659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674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674</v>
      </c>
      <c r="AD204" t="s">
        <v>492</v>
      </c>
      <c r="AE204" t="s">
        <v>659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659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659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659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659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659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659</v>
      </c>
      <c r="AD213" t="s">
        <v>492</v>
      </c>
      <c r="AE213" t="s">
        <v>659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659</v>
      </c>
      <c r="AD214" t="s">
        <v>514</v>
      </c>
      <c r="AE214" t="s">
        <v>659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659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659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659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659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659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659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659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659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659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659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674</v>
      </c>
      <c r="AD231" t="s">
        <v>164</v>
      </c>
      <c r="AE231" t="s">
        <v>659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674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674</v>
      </c>
      <c r="AD233" t="s">
        <v>493</v>
      </c>
      <c r="AE233" t="s">
        <v>659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659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659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659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659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659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659</v>
      </c>
      <c r="AD240" t="s">
        <v>164</v>
      </c>
      <c r="AE240" t="s">
        <v>659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659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659</v>
      </c>
      <c r="AD242" t="s">
        <v>493</v>
      </c>
      <c r="AE242" t="s">
        <v>659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659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659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674</v>
      </c>
      <c r="AC247" t="s">
        <v>164</v>
      </c>
      <c r="AD247" t="s">
        <v>164</v>
      </c>
      <c r="AE247" t="s">
        <v>659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674</v>
      </c>
      <c r="AC248" t="s">
        <v>520</v>
      </c>
      <c r="AD248" t="s">
        <v>164</v>
      </c>
      <c r="AE248" t="s">
        <v>659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659</v>
      </c>
      <c r="AD250" t="s">
        <v>164</v>
      </c>
      <c r="AE250" t="s">
        <v>659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659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659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659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659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675</v>
      </c>
      <c r="AD255" t="s">
        <v>520</v>
      </c>
      <c r="AE255" t="s">
        <v>659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648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659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659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659</v>
      </c>
      <c r="AD258" t="s">
        <v>520</v>
      </c>
      <c r="AE258" t="s">
        <v>659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659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659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659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659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659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659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659</v>
      </c>
      <c r="AD266" t="s">
        <v>494</v>
      </c>
      <c r="AE266" t="s">
        <v>659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659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649</v>
      </c>
      <c r="E268" t="s">
        <v>649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659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659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659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659</v>
      </c>
      <c r="AD271" t="s">
        <v>516</v>
      </c>
      <c r="AE271" t="s">
        <v>659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659</v>
      </c>
      <c r="AE272" t="s">
        <v>659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659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659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648</v>
      </c>
      <c r="E275" t="s">
        <v>648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659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659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659</v>
      </c>
      <c r="AD279" t="s">
        <v>512</v>
      </c>
      <c r="AE279" t="s">
        <v>659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659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673</v>
      </c>
      <c r="AD281" t="s">
        <v>491</v>
      </c>
      <c r="AE281" t="s">
        <v>659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659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659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675</v>
      </c>
      <c r="AD287" t="s">
        <v>491</v>
      </c>
      <c r="AE287" t="s">
        <v>659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659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659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659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674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674</v>
      </c>
      <c r="AD293" t="s">
        <v>491</v>
      </c>
      <c r="AE293" t="s">
        <v>659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649</v>
      </c>
      <c r="E294" t="s">
        <v>649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659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659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659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659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659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659</v>
      </c>
      <c r="AD300" t="s">
        <v>491</v>
      </c>
      <c r="AE300" t="s">
        <v>659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659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659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673</v>
      </c>
      <c r="AD304" t="s">
        <v>164</v>
      </c>
      <c r="AE304" t="s">
        <v>659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648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659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659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659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659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675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675</v>
      </c>
      <c r="AD312" t="s">
        <v>164</v>
      </c>
      <c r="AE312" t="s">
        <v>659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675</v>
      </c>
      <c r="AD313" t="s">
        <v>492</v>
      </c>
      <c r="AE313" t="s">
        <v>659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649</v>
      </c>
      <c r="E314" t="s">
        <v>649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659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659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659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674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674</v>
      </c>
      <c r="AD320" t="s">
        <v>164</v>
      </c>
      <c r="AE320" t="s">
        <v>659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659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659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659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648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659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659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659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659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659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659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659</v>
      </c>
      <c r="AD332" t="s">
        <v>164</v>
      </c>
      <c r="AE332" t="s">
        <v>659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649</v>
      </c>
      <c r="E333" t="s">
        <v>649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659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659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674</v>
      </c>
      <c r="AD337" t="s">
        <v>570</v>
      </c>
      <c r="AE337" t="s">
        <v>659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659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673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673</v>
      </c>
      <c r="AD340" t="s">
        <v>492</v>
      </c>
      <c r="AE340" t="s">
        <v>659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659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659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659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675</v>
      </c>
      <c r="AD349" t="s">
        <v>512</v>
      </c>
      <c r="AE349" t="s">
        <v>659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649</v>
      </c>
      <c r="E350" t="s">
        <v>649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675</v>
      </c>
      <c r="AD350" t="s">
        <v>491</v>
      </c>
      <c r="AE350" t="s">
        <v>659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675</v>
      </c>
      <c r="AD351" t="s">
        <v>164</v>
      </c>
      <c r="AE351" t="s">
        <v>659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675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675</v>
      </c>
      <c r="AD353" t="s">
        <v>492</v>
      </c>
      <c r="AE353" t="s">
        <v>659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675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675</v>
      </c>
      <c r="AD355" t="s">
        <v>514</v>
      </c>
      <c r="AE355" t="s">
        <v>659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675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659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659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659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674</v>
      </c>
      <c r="AD364" t="s">
        <v>164</v>
      </c>
      <c r="AE364" t="s">
        <v>659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674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674</v>
      </c>
      <c r="AD366" t="s">
        <v>492</v>
      </c>
      <c r="AE366" t="s">
        <v>659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674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659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659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659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659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659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659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659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659</v>
      </c>
      <c r="AD380" t="s">
        <v>492</v>
      </c>
      <c r="AE380" t="s">
        <v>659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659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659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659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659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659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659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659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659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659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659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673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673</v>
      </c>
      <c r="AD396" t="s">
        <v>493</v>
      </c>
      <c r="AE396" t="s">
        <v>659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659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675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675</v>
      </c>
      <c r="AD400" t="s">
        <v>493</v>
      </c>
      <c r="AE400" t="s">
        <v>659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659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659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659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674</v>
      </c>
      <c r="AD406" t="s">
        <v>164</v>
      </c>
      <c r="AE406" t="s">
        <v>659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674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674</v>
      </c>
      <c r="AD408" t="s">
        <v>493</v>
      </c>
      <c r="AE408" t="s">
        <v>659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659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659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659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659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659</v>
      </c>
      <c r="AD414" t="s">
        <v>491</v>
      </c>
      <c r="AE414" t="s">
        <v>659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659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659</v>
      </c>
      <c r="AD416" t="s">
        <v>493</v>
      </c>
      <c r="AE416" t="s">
        <v>659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659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659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659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648</v>
      </c>
      <c r="E421" t="s">
        <v>648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659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659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659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659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659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659</v>
      </c>
      <c r="AD427" t="s">
        <v>513</v>
      </c>
      <c r="AE427" t="s">
        <v>659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659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659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659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675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675</v>
      </c>
      <c r="AD432" t="s">
        <v>520</v>
      </c>
      <c r="AE432" t="s">
        <v>659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659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659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659</v>
      </c>
      <c r="AD435" t="s">
        <v>520</v>
      </c>
      <c r="AE435" t="s">
        <v>659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659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659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659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675</v>
      </c>
      <c r="AD439" t="s">
        <v>494</v>
      </c>
      <c r="AE439" t="s">
        <v>659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659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659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674</v>
      </c>
      <c r="AD443" t="s">
        <v>494</v>
      </c>
      <c r="AE443" t="s">
        <v>659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659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659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659</v>
      </c>
      <c r="AD448" t="s">
        <v>494</v>
      </c>
      <c r="AE448" t="s">
        <v>659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659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659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659</v>
      </c>
      <c r="AD452" t="s">
        <v>516</v>
      </c>
      <c r="AE452" t="s">
        <v>659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659</v>
      </c>
      <c r="AE453" t="s">
        <v>659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659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659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659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659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674</v>
      </c>
      <c r="AD460" t="s">
        <v>512</v>
      </c>
      <c r="AE460" t="s">
        <v>659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674</v>
      </c>
      <c r="AD461" t="s">
        <v>491</v>
      </c>
      <c r="AE461" t="s">
        <v>659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659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659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659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659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659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659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659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659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649</v>
      </c>
      <c r="E475" t="s">
        <v>649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659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659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675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675</v>
      </c>
      <c r="AD479" t="s">
        <v>491</v>
      </c>
      <c r="AE479" t="s">
        <v>659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659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674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674</v>
      </c>
      <c r="AD483" t="s">
        <v>491</v>
      </c>
      <c r="AE483" t="s">
        <v>659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659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659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659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659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659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659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659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659</v>
      </c>
      <c r="AD493" t="s">
        <v>491</v>
      </c>
      <c r="AE493" t="s">
        <v>659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659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659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659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659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659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659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673</v>
      </c>
      <c r="AD503" t="s">
        <v>164</v>
      </c>
      <c r="AE503" t="s">
        <v>659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659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649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659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649</v>
      </c>
      <c r="E507" t="s">
        <v>649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659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659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659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675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675</v>
      </c>
      <c r="AD514" t="s">
        <v>164</v>
      </c>
      <c r="AE514" t="s">
        <v>659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675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659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659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674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674</v>
      </c>
      <c r="AD520" t="s">
        <v>164</v>
      </c>
      <c r="AE520" t="s">
        <v>659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659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659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659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659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659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659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659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659</v>
      </c>
      <c r="AD532" t="s">
        <v>164</v>
      </c>
      <c r="AE532" t="s">
        <v>659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659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659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649</v>
      </c>
      <c r="E537" t="s">
        <v>649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659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659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659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659</v>
      </c>
      <c r="AD541" t="s">
        <v>517</v>
      </c>
      <c r="AE541" t="s">
        <v>659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673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673</v>
      </c>
      <c r="AD543" t="s">
        <v>492</v>
      </c>
      <c r="AE543" t="s">
        <v>659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648</v>
      </c>
      <c r="E544" t="s">
        <v>648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659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659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659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659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659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659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649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675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675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675</v>
      </c>
      <c r="AD557" t="s">
        <v>164</v>
      </c>
      <c r="AE557" t="s">
        <v>659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675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675</v>
      </c>
      <c r="AD559" t="s">
        <v>492</v>
      </c>
      <c r="AE559" t="s">
        <v>659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675</v>
      </c>
      <c r="AD560" t="s">
        <v>514</v>
      </c>
      <c r="AE560" t="s">
        <v>659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675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659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659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659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659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649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674</v>
      </c>
      <c r="AD569" t="s">
        <v>164</v>
      </c>
      <c r="AE569" t="s">
        <v>659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649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674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649</v>
      </c>
      <c r="E571" t="s">
        <v>649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674</v>
      </c>
      <c r="AD571" t="s">
        <v>492</v>
      </c>
      <c r="AE571" t="s">
        <v>659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659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659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659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659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659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659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659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659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674</v>
      </c>
      <c r="AE586" t="s">
        <v>659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659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659</v>
      </c>
      <c r="AD589" t="s">
        <v>164</v>
      </c>
      <c r="AE589" t="s">
        <v>659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659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659</v>
      </c>
      <c r="AD591" t="s">
        <v>492</v>
      </c>
      <c r="AE591" t="s">
        <v>659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659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659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659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659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659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659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659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659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659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659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659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659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659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659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673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673</v>
      </c>
      <c r="AD614" t="s">
        <v>493</v>
      </c>
      <c r="AE614" t="s">
        <v>659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659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659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659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675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675</v>
      </c>
      <c r="AD621" t="s">
        <v>493</v>
      </c>
      <c r="AE621" t="s">
        <v>659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659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659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659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659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659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674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649</v>
      </c>
      <c r="E631" t="s">
        <v>649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674</v>
      </c>
      <c r="AD631" t="s">
        <v>164</v>
      </c>
      <c r="AE631" t="s">
        <v>659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674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674</v>
      </c>
      <c r="AD633" t="s">
        <v>493</v>
      </c>
      <c r="AE633" t="s">
        <v>659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659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659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659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659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659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659</v>
      </c>
      <c r="AD641" t="s">
        <v>493</v>
      </c>
      <c r="AE641" t="s">
        <v>659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659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659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659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674</v>
      </c>
      <c r="AC647" t="s">
        <v>164</v>
      </c>
      <c r="AD647" t="s">
        <v>674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649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674</v>
      </c>
      <c r="AC648" t="s">
        <v>659</v>
      </c>
      <c r="AD648" t="s">
        <v>674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659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659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675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649</v>
      </c>
      <c r="E652" t="s">
        <v>649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659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659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659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659</v>
      </c>
      <c r="AD657" t="s">
        <v>164</v>
      </c>
      <c r="AE657" t="s">
        <v>659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659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659</v>
      </c>
      <c r="AD659" t="s">
        <v>513</v>
      </c>
      <c r="AE659" t="s">
        <v>659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659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659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675</v>
      </c>
      <c r="AD662" t="s">
        <v>568</v>
      </c>
      <c r="AE662" t="s">
        <v>659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659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659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659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659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659</v>
      </c>
      <c r="AD669" t="s">
        <v>164</v>
      </c>
      <c r="AE669" t="s">
        <v>659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649</v>
      </c>
      <c r="E670" t="s">
        <v>649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659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659</v>
      </c>
      <c r="AD671" t="s">
        <v>520</v>
      </c>
      <c r="AE671" t="s">
        <v>659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659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659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648</v>
      </c>
      <c r="E676" t="s">
        <v>648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659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659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675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675</v>
      </c>
      <c r="AD680" t="s">
        <v>494</v>
      </c>
      <c r="AE680" t="s">
        <v>659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659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659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674</v>
      </c>
      <c r="AD684" t="s">
        <v>494</v>
      </c>
      <c r="AE684" t="s">
        <v>659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649</v>
      </c>
      <c r="E686" t="s">
        <v>649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659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659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659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659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659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659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659</v>
      </c>
      <c r="AD693" t="s">
        <v>494</v>
      </c>
      <c r="AE693" t="s">
        <v>659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659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659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659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659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659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659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659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659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659</v>
      </c>
      <c r="AE704" t="s">
        <v>659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673</v>
      </c>
      <c r="AC705" t="s">
        <v>673</v>
      </c>
      <c r="AD705" t="s">
        <v>673</v>
      </c>
      <c r="AE705" t="s">
        <v>659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673</v>
      </c>
      <c r="AC706" t="s">
        <v>675</v>
      </c>
      <c r="AD706" t="s">
        <v>673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673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649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673</v>
      </c>
      <c r="AC708" t="s">
        <v>513</v>
      </c>
      <c r="AD708" t="s">
        <v>673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649</v>
      </c>
      <c r="E709" t="s">
        <v>649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659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659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659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659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675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675</v>
      </c>
      <c r="AD717" t="s">
        <v>512</v>
      </c>
      <c r="AE717" t="s">
        <v>659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659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659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659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674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674</v>
      </c>
      <c r="AD724" t="s">
        <v>512</v>
      </c>
      <c r="AE724" t="s">
        <v>659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674</v>
      </c>
      <c r="AD725" t="s">
        <v>491</v>
      </c>
      <c r="AE725" t="s">
        <v>659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659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659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649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659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659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659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659</v>
      </c>
      <c r="AD736" t="s">
        <v>512</v>
      </c>
      <c r="AE736" t="s">
        <v>659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659</v>
      </c>
      <c r="AD737" t="s">
        <v>492</v>
      </c>
      <c r="AE737" t="s">
        <v>659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659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659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659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659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673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673</v>
      </c>
      <c r="AD744" t="s">
        <v>491</v>
      </c>
      <c r="AE744" t="s">
        <v>659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659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659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659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659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659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659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659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649</v>
      </c>
      <c r="E756" t="s">
        <v>649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659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675</v>
      </c>
      <c r="AD757" t="s">
        <v>512</v>
      </c>
      <c r="AE757" t="s">
        <v>659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675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675</v>
      </c>
      <c r="AD759" t="s">
        <v>491</v>
      </c>
      <c r="AE759" t="s">
        <v>659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659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648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659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659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659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648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659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674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674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674</v>
      </c>
      <c r="AD770" t="s">
        <v>491</v>
      </c>
      <c r="AE770" t="s">
        <v>659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659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659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649</v>
      </c>
      <c r="E775" t="s">
        <v>649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659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659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659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659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659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659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659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659</v>
      </c>
      <c r="AD787" t="s">
        <v>512</v>
      </c>
      <c r="AE787" t="s">
        <v>659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659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659</v>
      </c>
      <c r="AD789" t="s">
        <v>491</v>
      </c>
      <c r="AE789" t="s">
        <v>659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649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659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659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659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659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659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649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659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649</v>
      </c>
      <c r="E799" t="s">
        <v>649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659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659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659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659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649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659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675</v>
      </c>
      <c r="AD808" t="s">
        <v>164</v>
      </c>
      <c r="AE808" t="s">
        <v>659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675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675</v>
      </c>
      <c r="AD810" t="s">
        <v>492</v>
      </c>
      <c r="AE810" t="s">
        <v>659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659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659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659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674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674</v>
      </c>
      <c r="AD817" t="s">
        <v>164</v>
      </c>
      <c r="AE817" t="s">
        <v>659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674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649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659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649</v>
      </c>
      <c r="E820" t="s">
        <v>649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659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659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659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648</v>
      </c>
      <c r="E825" t="s">
        <v>648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659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659</v>
      </c>
      <c r="AD827" t="s">
        <v>164</v>
      </c>
      <c r="AE827" t="s">
        <v>659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659</v>
      </c>
      <c r="AD828" t="s">
        <v>492</v>
      </c>
      <c r="AE828" t="s">
        <v>659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659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659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673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673</v>
      </c>
      <c r="AD833" t="s">
        <v>492</v>
      </c>
      <c r="AE833" t="s">
        <v>659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673</v>
      </c>
      <c r="AD834" t="s">
        <v>514</v>
      </c>
      <c r="AE834" t="s">
        <v>659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673</v>
      </c>
      <c r="AE835" t="s">
        <v>659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659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649</v>
      </c>
      <c r="E838" t="s">
        <v>649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659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659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648</v>
      </c>
      <c r="E842" t="s">
        <v>648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659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659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659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659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659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649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659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659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659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649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659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659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675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675</v>
      </c>
      <c r="AD858" t="s">
        <v>512</v>
      </c>
      <c r="AE858" t="s">
        <v>659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675</v>
      </c>
      <c r="AD859" t="s">
        <v>164</v>
      </c>
      <c r="AE859" t="s">
        <v>659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649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675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649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675</v>
      </c>
      <c r="AD861" t="s">
        <v>492</v>
      </c>
      <c r="AE861" t="s">
        <v>659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649</v>
      </c>
      <c r="E862" t="s">
        <v>649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675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649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675</v>
      </c>
      <c r="AD863" t="s">
        <v>514</v>
      </c>
      <c r="AE863" t="s">
        <v>659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675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675</v>
      </c>
      <c r="AD865" t="s">
        <v>515</v>
      </c>
      <c r="AE865" t="s">
        <v>659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675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675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675</v>
      </c>
      <c r="AD868" t="s">
        <v>513</v>
      </c>
      <c r="AE868" t="s">
        <v>659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675</v>
      </c>
      <c r="AD869" t="s">
        <v>520</v>
      </c>
      <c r="AE869" t="s">
        <v>659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675</v>
      </c>
      <c r="AD870" t="s">
        <v>516</v>
      </c>
      <c r="AE870" t="s">
        <v>659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673</v>
      </c>
      <c r="AE871" t="s">
        <v>659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659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659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659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659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659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659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674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674</v>
      </c>
      <c r="AD884" t="s">
        <v>512</v>
      </c>
      <c r="AE884" t="s">
        <v>659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674</v>
      </c>
      <c r="AD885" t="s">
        <v>491</v>
      </c>
      <c r="AE885" t="s">
        <v>659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674</v>
      </c>
      <c r="AD886" t="s">
        <v>164</v>
      </c>
      <c r="AE886" t="s">
        <v>659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674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674</v>
      </c>
      <c r="AD888" t="s">
        <v>492</v>
      </c>
      <c r="AE888" t="s">
        <v>659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674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649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674</v>
      </c>
      <c r="AD890" t="s">
        <v>514</v>
      </c>
      <c r="AE890" t="s">
        <v>659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674</v>
      </c>
      <c r="AD891" t="s">
        <v>493</v>
      </c>
      <c r="AE891" t="s">
        <v>659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674</v>
      </c>
      <c r="AD892" t="s">
        <v>674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674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674</v>
      </c>
      <c r="AD894" t="s">
        <v>513</v>
      </c>
      <c r="AE894" t="s">
        <v>659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673</v>
      </c>
      <c r="AE895" t="s">
        <v>659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659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659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659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659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673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673</v>
      </c>
      <c r="AE907" t="s">
        <v>659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659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659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659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659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659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659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649</v>
      </c>
      <c r="E920" t="s">
        <v>649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674</v>
      </c>
      <c r="AE920" t="s">
        <v>659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659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659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659</v>
      </c>
      <c r="AD925" t="s">
        <v>673</v>
      </c>
      <c r="AE925" t="s">
        <v>659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659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659</v>
      </c>
      <c r="AD927" t="s">
        <v>164</v>
      </c>
      <c r="AE927" t="s">
        <v>659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659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659</v>
      </c>
      <c r="AD929" t="s">
        <v>492</v>
      </c>
      <c r="AE929" t="s">
        <v>659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659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659</v>
      </c>
      <c r="AD931" t="s">
        <v>514</v>
      </c>
      <c r="AE931" t="s">
        <v>659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659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659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659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659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659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659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659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659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649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659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659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659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659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659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675</v>
      </c>
      <c r="AD956" t="s">
        <v>492</v>
      </c>
      <c r="AE956" t="s">
        <v>659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675</v>
      </c>
      <c r="AD957" t="s">
        <v>514</v>
      </c>
      <c r="AE957" t="s">
        <v>659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659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659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674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674</v>
      </c>
      <c r="AD963" t="s">
        <v>492</v>
      </c>
      <c r="AE963" t="s">
        <v>659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659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659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649</v>
      </c>
      <c r="E970" t="s">
        <v>649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673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673</v>
      </c>
      <c r="AD971" t="s">
        <v>493</v>
      </c>
      <c r="AE971" t="s">
        <v>659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659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659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659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659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659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659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675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675</v>
      </c>
      <c r="AD983" t="s">
        <v>493</v>
      </c>
      <c r="AE983" t="s">
        <v>659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675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659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659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659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659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659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659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674</v>
      </c>
      <c r="AE997" t="s">
        <v>659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649</v>
      </c>
      <c r="E998" t="s">
        <v>649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659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674</v>
      </c>
      <c r="AD999" t="s">
        <v>491</v>
      </c>
      <c r="AE999" t="s">
        <v>659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674</v>
      </c>
      <c r="AD1000" t="s">
        <v>164</v>
      </c>
      <c r="AE1000" t="s">
        <v>659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674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674</v>
      </c>
      <c r="AD1002" t="s">
        <v>492</v>
      </c>
      <c r="AE1002" t="s">
        <v>659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674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674</v>
      </c>
      <c r="AD1004" t="s">
        <v>493</v>
      </c>
      <c r="AE1004" t="s">
        <v>659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674</v>
      </c>
      <c r="AD1005" t="s">
        <v>520</v>
      </c>
      <c r="AE1005" t="s">
        <v>659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659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659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659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659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659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659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649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659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659</v>
      </c>
      <c r="AD1019" t="s">
        <v>164</v>
      </c>
      <c r="AE1019" t="s">
        <v>659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659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659</v>
      </c>
      <c r="AD1021" t="s">
        <v>493</v>
      </c>
      <c r="AE1021" t="s">
        <v>659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649</v>
      </c>
      <c r="E1023" t="s">
        <v>649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659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659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659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659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659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674</v>
      </c>
      <c r="AC1030" t="s">
        <v>491</v>
      </c>
      <c r="AD1030" t="s">
        <v>674</v>
      </c>
      <c r="AE1030" t="s">
        <v>659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674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674</v>
      </c>
      <c r="AC1032" t="s">
        <v>675</v>
      </c>
      <c r="AD1032" t="s">
        <v>674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674</v>
      </c>
      <c r="AC1033" t="s">
        <v>675</v>
      </c>
      <c r="AD1033" t="s">
        <v>674</v>
      </c>
      <c r="AE1033" t="s">
        <v>659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648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674</v>
      </c>
      <c r="AC1034" t="s">
        <v>659</v>
      </c>
      <c r="AD1034" t="s">
        <v>674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675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675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674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659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659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659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659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659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675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675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675</v>
      </c>
      <c r="AD1052" t="s">
        <v>513</v>
      </c>
      <c r="AE1052" t="s">
        <v>659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648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675</v>
      </c>
      <c r="AD1053" t="s">
        <v>520</v>
      </c>
      <c r="AE1053" t="s">
        <v>659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659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659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649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649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659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649</v>
      </c>
      <c r="E1060" t="s">
        <v>649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659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659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659</v>
      </c>
      <c r="AD1063" t="s">
        <v>164</v>
      </c>
      <c r="AE1063" t="s">
        <v>659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659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659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659</v>
      </c>
      <c r="AD1066" t="s">
        <v>513</v>
      </c>
      <c r="AE1066" t="s">
        <v>659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659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659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659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674</v>
      </c>
      <c r="AD1072" t="s">
        <v>568</v>
      </c>
      <c r="AE1072" t="s">
        <v>659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659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659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659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659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675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675</v>
      </c>
      <c r="AD1079" t="s">
        <v>520</v>
      </c>
      <c r="AE1079" t="s">
        <v>659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659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659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659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659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659</v>
      </c>
      <c r="AD1087" t="s">
        <v>520</v>
      </c>
      <c r="AE1087" t="s">
        <v>659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659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659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659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659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659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659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675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675</v>
      </c>
      <c r="AD1100" t="s">
        <v>494</v>
      </c>
      <c r="AE1100" t="s">
        <v>659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659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659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659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674</v>
      </c>
      <c r="AD1106" t="s">
        <v>164</v>
      </c>
      <c r="AE1106" t="s">
        <v>659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674</v>
      </c>
      <c r="AD1107" t="s">
        <v>513</v>
      </c>
      <c r="AE1107" t="s">
        <v>659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674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674</v>
      </c>
      <c r="AD1109" t="s">
        <v>494</v>
      </c>
      <c r="AE1109" t="s">
        <v>659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674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659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659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659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659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659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659</v>
      </c>
      <c r="AD1118" t="s">
        <v>164</v>
      </c>
      <c r="AE1118" t="s">
        <v>659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659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659</v>
      </c>
      <c r="AD1120" t="s">
        <v>494</v>
      </c>
      <c r="AE1120" t="s">
        <v>659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659</v>
      </c>
      <c r="AD1121" t="s">
        <v>516</v>
      </c>
      <c r="AE1121" t="s">
        <v>659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659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648</v>
      </c>
      <c r="E1123" t="s">
        <v>648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659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659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659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659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659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675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675</v>
      </c>
      <c r="AD1132" t="s">
        <v>516</v>
      </c>
      <c r="AE1132" t="s">
        <v>659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674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674</v>
      </c>
      <c r="AD1134" t="s">
        <v>516</v>
      </c>
      <c r="AE1134" t="s">
        <v>659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659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659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659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659</v>
      </c>
      <c r="AD1139" t="s">
        <v>164</v>
      </c>
      <c r="AE1139" t="s">
        <v>659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659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659</v>
      </c>
      <c r="AD1141" t="s">
        <v>516</v>
      </c>
      <c r="AE1141" t="s">
        <v>659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659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659</v>
      </c>
      <c r="AE1143" t="s">
        <v>659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673</v>
      </c>
      <c r="AC1144" t="s">
        <v>513</v>
      </c>
      <c r="AD1144" t="s">
        <v>673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659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659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675</v>
      </c>
      <c r="AD1151" t="s">
        <v>512</v>
      </c>
      <c r="AE1151" t="s">
        <v>659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675</v>
      </c>
      <c r="AD1152" t="s">
        <v>492</v>
      </c>
      <c r="AE1152" t="s">
        <v>659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659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659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674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674</v>
      </c>
      <c r="AD1158" t="s">
        <v>512</v>
      </c>
      <c r="AE1158" t="s">
        <v>659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674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674</v>
      </c>
      <c r="AD1160" t="s">
        <v>492</v>
      </c>
      <c r="AE1160" t="s">
        <v>659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674</v>
      </c>
      <c r="AD1161" t="s">
        <v>674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659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659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659</v>
      </c>
      <c r="AD1167" t="s">
        <v>491</v>
      </c>
      <c r="AE1167" t="s">
        <v>659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659</v>
      </c>
      <c r="AD1168" t="s">
        <v>492</v>
      </c>
      <c r="AE1168" t="s">
        <v>659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659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673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673</v>
      </c>
      <c r="AD1172" t="s">
        <v>491</v>
      </c>
      <c r="AE1172" t="s">
        <v>659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649</v>
      </c>
      <c r="E1173" t="s">
        <v>649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659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659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659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659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659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659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675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675</v>
      </c>
      <c r="AD1185" t="s">
        <v>491</v>
      </c>
      <c r="AE1185" t="s">
        <v>659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675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659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659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659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674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674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674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674</v>
      </c>
      <c r="AD1195" t="s">
        <v>491</v>
      </c>
      <c r="AE1195" t="s">
        <v>659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649</v>
      </c>
      <c r="E1196" t="s">
        <v>649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674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659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659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659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659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659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659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659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659</v>
      </c>
      <c r="AD1209" t="s">
        <v>491</v>
      </c>
      <c r="AE1209" t="s">
        <v>659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659</v>
      </c>
      <c r="AD1210" t="s">
        <v>164</v>
      </c>
      <c r="AE1210" t="s">
        <v>659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649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659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659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659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659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659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649</v>
      </c>
      <c r="E1219" t="s">
        <v>649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659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659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659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659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648</v>
      </c>
      <c r="E1226" t="s">
        <v>648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675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675</v>
      </c>
      <c r="AD1227" t="s">
        <v>164</v>
      </c>
      <c r="AE1227" t="s">
        <v>659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675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675</v>
      </c>
      <c r="AD1229" t="s">
        <v>492</v>
      </c>
      <c r="AE1229" t="s">
        <v>659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659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659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659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659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649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674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674</v>
      </c>
      <c r="AD1237" t="s">
        <v>164</v>
      </c>
      <c r="AE1237" t="s">
        <v>659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659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659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659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659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659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649</v>
      </c>
      <c r="E1245" t="s">
        <v>649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659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659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659</v>
      </c>
      <c r="AD1248" t="s">
        <v>164</v>
      </c>
      <c r="AE1248" t="s">
        <v>659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659</v>
      </c>
      <c r="AD1249" t="s">
        <v>492</v>
      </c>
      <c r="AE1249" t="s">
        <v>659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659</v>
      </c>
      <c r="AD1250" t="s">
        <v>493</v>
      </c>
      <c r="AE1250" t="s">
        <v>659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659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659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673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673</v>
      </c>
      <c r="AD1255" t="s">
        <v>492</v>
      </c>
      <c r="AE1255" t="s">
        <v>659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659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659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674</v>
      </c>
      <c r="AE1261" t="s">
        <v>659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659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659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659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659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659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659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659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675</v>
      </c>
      <c r="AD1274" t="s">
        <v>673</v>
      </c>
      <c r="AE1274" t="s">
        <v>659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675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675</v>
      </c>
      <c r="AD1276" t="s">
        <v>164</v>
      </c>
      <c r="AE1276" t="s">
        <v>659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675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675</v>
      </c>
      <c r="AD1278" t="s">
        <v>492</v>
      </c>
      <c r="AE1278" t="s">
        <v>659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675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675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675</v>
      </c>
      <c r="AD1281" t="s">
        <v>674</v>
      </c>
      <c r="AE1281" t="s">
        <v>659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675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675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675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675</v>
      </c>
      <c r="AD1285" t="s">
        <v>513</v>
      </c>
      <c r="AE1285" t="s">
        <v>659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675</v>
      </c>
      <c r="AD1286" t="s">
        <v>520</v>
      </c>
      <c r="AE1286" t="s">
        <v>659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673</v>
      </c>
      <c r="AE1287" t="s">
        <v>659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659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659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659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659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659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659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659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674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674</v>
      </c>
      <c r="AD1302" t="s">
        <v>164</v>
      </c>
      <c r="AE1302" t="s">
        <v>659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674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674</v>
      </c>
      <c r="AD1304" t="s">
        <v>492</v>
      </c>
      <c r="AE1304" t="s">
        <v>659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674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674</v>
      </c>
      <c r="AD1306" t="s">
        <v>514</v>
      </c>
      <c r="AE1306" t="s">
        <v>659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674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674</v>
      </c>
      <c r="AD1308" t="s">
        <v>493</v>
      </c>
      <c r="AE1308" t="s">
        <v>659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674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659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659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659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659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659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659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659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659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659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659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649</v>
      </c>
      <c r="E1329" t="s">
        <v>649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659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674</v>
      </c>
      <c r="AE1331" t="s">
        <v>659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659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659</v>
      </c>
      <c r="AD1336" t="s">
        <v>164</v>
      </c>
      <c r="AE1336" t="s">
        <v>659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659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659</v>
      </c>
      <c r="AD1338" t="s">
        <v>492</v>
      </c>
      <c r="AE1338" t="s">
        <v>659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659</v>
      </c>
      <c r="AD1339" t="s">
        <v>514</v>
      </c>
      <c r="AE1339" t="s">
        <v>659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659</v>
      </c>
      <c r="AD1340" t="s">
        <v>520</v>
      </c>
      <c r="AE1340" t="s">
        <v>659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659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659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649</v>
      </c>
      <c r="E1346" t="s">
        <v>649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659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659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659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673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659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659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659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649</v>
      </c>
      <c r="E1360" t="s">
        <v>649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659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675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675</v>
      </c>
      <c r="AD1363" t="s">
        <v>514</v>
      </c>
      <c r="AE1363" t="s">
        <v>659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659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659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673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659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659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659</v>
      </c>
      <c r="AD1372" t="s">
        <v>164</v>
      </c>
      <c r="AE1372" t="s">
        <v>659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659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659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659</v>
      </c>
      <c r="AD1375" t="s">
        <v>514</v>
      </c>
      <c r="AE1375" t="s">
        <v>659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673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649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673</v>
      </c>
      <c r="AD1377" t="s">
        <v>493</v>
      </c>
      <c r="AE1377" t="s">
        <v>659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649</v>
      </c>
      <c r="E1378" t="s">
        <v>649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659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659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659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659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675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675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675</v>
      </c>
      <c r="AD1386" t="s">
        <v>493</v>
      </c>
      <c r="AE1386" t="s">
        <v>659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659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659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659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659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659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659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659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659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659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674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659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674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674</v>
      </c>
      <c r="AD1405" t="s">
        <v>491</v>
      </c>
      <c r="AE1405" t="s">
        <v>659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674</v>
      </c>
      <c r="AD1406" t="s">
        <v>164</v>
      </c>
      <c r="AE1406" t="s">
        <v>659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674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674</v>
      </c>
      <c r="AD1408" t="s">
        <v>492</v>
      </c>
      <c r="AE1408" t="s">
        <v>659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674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674</v>
      </c>
      <c r="AD1410" t="s">
        <v>493</v>
      </c>
      <c r="AE1410" t="s">
        <v>659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659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659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659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659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659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659</v>
      </c>
      <c r="AD1419" t="s">
        <v>164</v>
      </c>
      <c r="AE1419" t="s">
        <v>659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659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659</v>
      </c>
      <c r="AD1421" t="s">
        <v>493</v>
      </c>
      <c r="AE1421" t="s">
        <v>659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659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659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659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659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674</v>
      </c>
      <c r="AC1429" t="s">
        <v>164</v>
      </c>
      <c r="AD1429" t="s">
        <v>164</v>
      </c>
      <c r="AE1429" t="s">
        <v>659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674</v>
      </c>
      <c r="AC1430" t="s">
        <v>164</v>
      </c>
      <c r="AD1430" t="s">
        <v>674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674</v>
      </c>
      <c r="AC1431" t="s">
        <v>675</v>
      </c>
      <c r="AD1431" t="s">
        <v>674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674</v>
      </c>
      <c r="AC1432" t="s">
        <v>675</v>
      </c>
      <c r="AD1432" t="s">
        <v>674</v>
      </c>
      <c r="AE1432" t="s">
        <v>659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674</v>
      </c>
      <c r="AC1433" t="s">
        <v>674</v>
      </c>
      <c r="AD1433" t="s">
        <v>674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674</v>
      </c>
      <c r="AC1434" t="s">
        <v>674</v>
      </c>
      <c r="AD1434" t="s">
        <v>674</v>
      </c>
      <c r="AE1434" t="s">
        <v>659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674</v>
      </c>
      <c r="AC1435" t="s">
        <v>515</v>
      </c>
      <c r="AD1435" t="s">
        <v>674</v>
      </c>
      <c r="AE1435" t="s">
        <v>659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674</v>
      </c>
      <c r="AC1436" t="s">
        <v>513</v>
      </c>
      <c r="AD1436" t="s">
        <v>674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674</v>
      </c>
      <c r="AC1437" t="s">
        <v>659</v>
      </c>
      <c r="AD1437" t="s">
        <v>674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649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675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659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659</v>
      </c>
      <c r="AD1441" t="s">
        <v>164</v>
      </c>
      <c r="AE1441" t="s">
        <v>659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659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659</v>
      </c>
      <c r="AD1443" t="s">
        <v>515</v>
      </c>
      <c r="AE1443" t="s">
        <v>659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675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675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649</v>
      </c>
      <c r="E1448" t="s">
        <v>649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675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675</v>
      </c>
      <c r="AD1449" t="s">
        <v>518</v>
      </c>
      <c r="AE1449" t="s">
        <v>659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659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659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659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659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648</v>
      </c>
      <c r="E1457" t="s">
        <v>648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659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659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659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675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675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675</v>
      </c>
      <c r="AD1464" t="s">
        <v>513</v>
      </c>
      <c r="AE1464" t="s">
        <v>659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659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659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649</v>
      </c>
      <c r="E1468" t="s">
        <v>649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674</v>
      </c>
      <c r="AD1468" t="s">
        <v>164</v>
      </c>
      <c r="AE1468" t="s">
        <v>659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674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674</v>
      </c>
      <c r="AD1470" t="s">
        <v>513</v>
      </c>
      <c r="AE1470" t="s">
        <v>659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659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659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659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659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659</v>
      </c>
      <c r="AD1479" t="s">
        <v>164</v>
      </c>
      <c r="AE1479" t="s">
        <v>659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659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659</v>
      </c>
      <c r="AD1481" t="s">
        <v>513</v>
      </c>
      <c r="AE1481" t="s">
        <v>659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659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659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649</v>
      </c>
      <c r="E1484" t="s">
        <v>649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659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659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659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659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648</v>
      </c>
      <c r="E1492" t="s">
        <v>648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659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675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649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675</v>
      </c>
      <c r="AD1495" t="s">
        <v>520</v>
      </c>
      <c r="AE1495" t="s">
        <v>659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659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674</v>
      </c>
      <c r="AD1498" t="s">
        <v>520</v>
      </c>
      <c r="AE1498" t="s">
        <v>659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659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659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649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649</v>
      </c>
      <c r="E1503" t="s">
        <v>649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659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659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659</v>
      </c>
      <c r="AD1505" t="s">
        <v>164</v>
      </c>
      <c r="AE1505" t="s">
        <v>659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659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659</v>
      </c>
      <c r="AD1507" t="s">
        <v>520</v>
      </c>
      <c r="AE1507" t="s">
        <v>659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659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659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659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675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675</v>
      </c>
      <c r="AD1516" t="s">
        <v>494</v>
      </c>
      <c r="AE1516" t="s">
        <v>659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675</v>
      </c>
      <c r="AD1517" t="s">
        <v>516</v>
      </c>
      <c r="AE1517" t="s">
        <v>659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659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674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674</v>
      </c>
      <c r="AD1521" t="s">
        <v>494</v>
      </c>
      <c r="AE1521" t="s">
        <v>659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659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659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659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659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659</v>
      </c>
      <c r="AD1528" t="s">
        <v>494</v>
      </c>
      <c r="AE1528" t="s">
        <v>659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659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659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659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675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674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674</v>
      </c>
      <c r="AD1538" t="s">
        <v>516</v>
      </c>
      <c r="AE1538" t="s">
        <v>659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659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659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659</v>
      </c>
      <c r="AD1543" t="s">
        <v>516</v>
      </c>
      <c r="AE1543" t="s">
        <v>659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659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659</v>
      </c>
      <c r="AE1546" t="s">
        <v>659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673</v>
      </c>
      <c r="AC1547" t="s">
        <v>673</v>
      </c>
      <c r="AD1547" t="s">
        <v>673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673</v>
      </c>
      <c r="AC1548" t="s">
        <v>164</v>
      </c>
      <c r="AD1548" t="s">
        <v>673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673</v>
      </c>
      <c r="AC1549" t="s">
        <v>513</v>
      </c>
      <c r="AD1549" t="s">
        <v>673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673</v>
      </c>
      <c r="AC1550" t="s">
        <v>513</v>
      </c>
      <c r="AD1550" t="s">
        <v>673</v>
      </c>
      <c r="AE1550" t="s">
        <v>659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673</v>
      </c>
      <c r="AC1551" t="s">
        <v>659</v>
      </c>
      <c r="AD1551" t="s">
        <v>673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659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659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659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675</v>
      </c>
      <c r="AD1557" t="s">
        <v>492</v>
      </c>
      <c r="AE1557" t="s">
        <v>659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659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659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659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648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659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659</v>
      </c>
      <c r="AD1565" t="s">
        <v>512</v>
      </c>
      <c r="AE1565" t="s">
        <v>659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659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659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659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659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649</v>
      </c>
      <c r="E1573" t="s">
        <v>649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659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675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675</v>
      </c>
      <c r="AD1576" t="s">
        <v>491</v>
      </c>
      <c r="AE1576" t="s">
        <v>659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659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674</v>
      </c>
      <c r="AD1579" t="s">
        <v>512</v>
      </c>
      <c r="AE1579" t="s">
        <v>659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674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648</v>
      </c>
      <c r="E1581" t="s">
        <v>648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674</v>
      </c>
      <c r="AD1581" t="s">
        <v>491</v>
      </c>
      <c r="AE1581" t="s">
        <v>659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659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659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659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659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659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659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659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659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659</v>
      </c>
      <c r="AD1595" t="s">
        <v>491</v>
      </c>
      <c r="AE1595" t="s">
        <v>659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659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659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659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659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673</v>
      </c>
      <c r="AD1601" t="s">
        <v>164</v>
      </c>
      <c r="AE1601" t="s">
        <v>659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659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659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659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648</v>
      </c>
      <c r="E1606" t="s">
        <v>648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659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675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675</v>
      </c>
      <c r="AD1609" t="s">
        <v>164</v>
      </c>
      <c r="AE1609" t="s">
        <v>659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675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675</v>
      </c>
      <c r="AD1611" t="s">
        <v>492</v>
      </c>
      <c r="AE1611" t="s">
        <v>659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659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659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659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674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674</v>
      </c>
      <c r="AD1619" t="s">
        <v>164</v>
      </c>
      <c r="AE1619" t="s">
        <v>659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649</v>
      </c>
      <c r="E1620" t="s">
        <v>649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674</v>
      </c>
      <c r="AD1620" t="s">
        <v>674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674</v>
      </c>
      <c r="AD1621" t="s">
        <v>674</v>
      </c>
      <c r="AE1621" t="s">
        <v>659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659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659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659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659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659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659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659</v>
      </c>
      <c r="AD1633" t="s">
        <v>164</v>
      </c>
      <c r="AE1633" t="s">
        <v>659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659</v>
      </c>
      <c r="AD1634" t="s">
        <v>492</v>
      </c>
      <c r="AE1634" t="s">
        <v>659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659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659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659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649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659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659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673</v>
      </c>
      <c r="AD1644" t="s">
        <v>673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673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673</v>
      </c>
      <c r="AD1646" t="s">
        <v>492</v>
      </c>
      <c r="AE1646" t="s">
        <v>659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673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659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659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659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659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659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659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675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675</v>
      </c>
      <c r="AD1662" t="s">
        <v>164</v>
      </c>
      <c r="AE1662" t="s">
        <v>659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675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675</v>
      </c>
      <c r="AD1664" t="s">
        <v>492</v>
      </c>
      <c r="AE1664" t="s">
        <v>659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675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675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675</v>
      </c>
      <c r="AD1667" t="s">
        <v>513</v>
      </c>
      <c r="AE1667" t="s">
        <v>659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673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659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659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659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659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659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674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674</v>
      </c>
      <c r="AD1681" t="s">
        <v>512</v>
      </c>
      <c r="AE1681" t="s">
        <v>659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674</v>
      </c>
      <c r="AD1682" t="s">
        <v>164</v>
      </c>
      <c r="AE1682" t="s">
        <v>659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674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674</v>
      </c>
      <c r="AD1684" t="s">
        <v>492</v>
      </c>
      <c r="AE1684" t="s">
        <v>659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674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674</v>
      </c>
      <c r="AD1686" t="s">
        <v>674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659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659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659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659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659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673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659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659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659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659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659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659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659</v>
      </c>
      <c r="AD1709" t="s">
        <v>164</v>
      </c>
      <c r="AE1709" t="s">
        <v>659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659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659</v>
      </c>
      <c r="AD1711" t="s">
        <v>492</v>
      </c>
      <c r="AE1711" t="s">
        <v>659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659</v>
      </c>
      <c r="AD1712" t="s">
        <v>514</v>
      </c>
      <c r="AE1712" t="s">
        <v>659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659</v>
      </c>
      <c r="AD1713" t="s">
        <v>513</v>
      </c>
      <c r="AE1713" t="s">
        <v>659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659</v>
      </c>
      <c r="AD1714" t="s">
        <v>516</v>
      </c>
      <c r="AE1714" t="s">
        <v>659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659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659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659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659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659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659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659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659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659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659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675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675</v>
      </c>
      <c r="AD1734" t="s">
        <v>514</v>
      </c>
      <c r="AE1734" t="s">
        <v>659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659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659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659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659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659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659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659</v>
      </c>
      <c r="AD1747" t="s">
        <v>164</v>
      </c>
      <c r="AE1747" t="s">
        <v>659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659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659</v>
      </c>
      <c r="AD1749" t="s">
        <v>514</v>
      </c>
      <c r="AE1749" t="s">
        <v>659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659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673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673</v>
      </c>
      <c r="AD1752" t="s">
        <v>493</v>
      </c>
      <c r="AE1752" t="s">
        <v>659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659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675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675</v>
      </c>
      <c r="AD1757" t="s">
        <v>493</v>
      </c>
      <c r="AE1757" t="s">
        <v>659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659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659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659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659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649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659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674</v>
      </c>
      <c r="AE1767" t="s">
        <v>659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674</v>
      </c>
      <c r="AD1768" t="s">
        <v>164</v>
      </c>
      <c r="AE1768" t="s">
        <v>659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674</v>
      </c>
      <c r="AD1769" t="s">
        <v>492</v>
      </c>
      <c r="AE1769" t="s">
        <v>659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674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674</v>
      </c>
      <c r="AD1771" t="s">
        <v>493</v>
      </c>
      <c r="AE1771" t="s">
        <v>659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659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659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659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659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659</v>
      </c>
      <c r="AD1779" t="s">
        <v>164</v>
      </c>
      <c r="AE1779" t="s">
        <v>659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659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659</v>
      </c>
      <c r="AD1781" t="s">
        <v>493</v>
      </c>
      <c r="AE1781" t="s">
        <v>659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659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659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659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674</v>
      </c>
      <c r="AC1787" t="s">
        <v>491</v>
      </c>
      <c r="AD1787" t="s">
        <v>674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674</v>
      </c>
      <c r="AC1788" t="s">
        <v>164</v>
      </c>
      <c r="AD1788" t="s">
        <v>164</v>
      </c>
      <c r="AE1788" t="s">
        <v>659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649</v>
      </c>
      <c r="E1789" t="s">
        <v>649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674</v>
      </c>
      <c r="AC1789" t="s">
        <v>164</v>
      </c>
      <c r="AD1789" t="s">
        <v>674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674</v>
      </c>
      <c r="AC1790" t="s">
        <v>164</v>
      </c>
      <c r="AD1790" t="s">
        <v>674</v>
      </c>
      <c r="AE1790" t="s">
        <v>659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674</v>
      </c>
      <c r="AC1791" t="s">
        <v>675</v>
      </c>
      <c r="AD1791" t="s">
        <v>674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674</v>
      </c>
      <c r="AC1792" t="s">
        <v>675</v>
      </c>
      <c r="AD1792" t="s">
        <v>674</v>
      </c>
      <c r="AE1792" t="s">
        <v>659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674</v>
      </c>
      <c r="AC1793" t="s">
        <v>674</v>
      </c>
      <c r="AD1793" t="s">
        <v>164</v>
      </c>
      <c r="AE1793" t="s">
        <v>659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674</v>
      </c>
      <c r="AC1794" t="s">
        <v>674</v>
      </c>
      <c r="AD1794" t="s">
        <v>674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674</v>
      </c>
      <c r="AC1795" t="s">
        <v>513</v>
      </c>
      <c r="AD1795" t="s">
        <v>674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648</v>
      </c>
      <c r="E1796" t="s">
        <v>648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674</v>
      </c>
      <c r="AC1796" t="s">
        <v>659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674</v>
      </c>
      <c r="AC1797" t="s">
        <v>659</v>
      </c>
      <c r="AD1797" t="s">
        <v>164</v>
      </c>
      <c r="AE1797" t="s">
        <v>659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674</v>
      </c>
      <c r="AC1798" t="s">
        <v>659</v>
      </c>
      <c r="AD1798" t="s">
        <v>674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659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659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659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659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675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649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675</v>
      </c>
      <c r="AD1810" t="s">
        <v>518</v>
      </c>
      <c r="AE1810" t="s">
        <v>659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649</v>
      </c>
      <c r="E1811" t="s">
        <v>649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659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659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659</v>
      </c>
      <c r="AD1816" t="s">
        <v>518</v>
      </c>
      <c r="AE1816" t="s">
        <v>659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673</v>
      </c>
      <c r="AD1817" t="s">
        <v>513</v>
      </c>
      <c r="AE1817" t="s">
        <v>659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659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659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659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659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659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649</v>
      </c>
      <c r="E1827" t="s">
        <v>649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659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675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675</v>
      </c>
      <c r="AD1829" t="s">
        <v>674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675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675</v>
      </c>
      <c r="AD1831" t="s">
        <v>513</v>
      </c>
      <c r="AE1831" t="s">
        <v>659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659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659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674</v>
      </c>
      <c r="AD1835" t="s">
        <v>513</v>
      </c>
      <c r="AE1835" t="s">
        <v>659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659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659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649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659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659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649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659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659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659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659</v>
      </c>
      <c r="AD1847" t="s">
        <v>164</v>
      </c>
      <c r="AE1847" t="s">
        <v>659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659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659</v>
      </c>
      <c r="AD1849" t="s">
        <v>513</v>
      </c>
      <c r="AE1849" t="s">
        <v>659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649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649</v>
      </c>
      <c r="E1851" t="s">
        <v>649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649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659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659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659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675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675</v>
      </c>
      <c r="AD1859" t="s">
        <v>520</v>
      </c>
      <c r="AE1859" t="s">
        <v>659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659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659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659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659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659</v>
      </c>
      <c r="AD1867" t="s">
        <v>164</v>
      </c>
      <c r="AE1867" t="s">
        <v>659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659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659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659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675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675</v>
      </c>
      <c r="AD1874" t="s">
        <v>494</v>
      </c>
      <c r="AE1874" t="s">
        <v>659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659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659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659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659</v>
      </c>
      <c r="AD1881" t="s">
        <v>164</v>
      </c>
      <c r="AE1881" t="s">
        <v>659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659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659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674</v>
      </c>
      <c r="AD1885" t="s">
        <v>516</v>
      </c>
      <c r="AE1885" t="s">
        <v>659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659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659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659</v>
      </c>
      <c r="AE1889" t="s">
        <v>659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673</v>
      </c>
      <c r="AC1890" t="s">
        <v>514</v>
      </c>
      <c r="AD1890" t="s">
        <v>673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673</v>
      </c>
      <c r="AC1891" t="s">
        <v>674</v>
      </c>
      <c r="AD1891" t="s">
        <v>673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673</v>
      </c>
      <c r="AC1892" t="s">
        <v>659</v>
      </c>
      <c r="AD1892" t="s">
        <v>673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673</v>
      </c>
      <c r="AD1893" t="s">
        <v>512</v>
      </c>
      <c r="AE1893" t="s">
        <v>659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673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675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659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674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674</v>
      </c>
      <c r="AD1901" t="s">
        <v>512</v>
      </c>
      <c r="AE1901" t="s">
        <v>659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659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659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659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659</v>
      </c>
      <c r="AD1907" t="s">
        <v>512</v>
      </c>
      <c r="AE1907" t="s">
        <v>659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659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659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659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648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675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675</v>
      </c>
      <c r="AD1914" t="s">
        <v>491</v>
      </c>
      <c r="AE1914" t="s">
        <v>659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659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659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674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674</v>
      </c>
      <c r="AD1919" t="s">
        <v>491</v>
      </c>
      <c r="AE1919" t="s">
        <v>659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659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659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659</v>
      </c>
      <c r="AD1926" t="s">
        <v>491</v>
      </c>
      <c r="AE1926" t="s">
        <v>659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659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659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659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659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659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659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675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675</v>
      </c>
      <c r="AD1939" t="s">
        <v>164</v>
      </c>
      <c r="AE1939" t="s">
        <v>659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675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659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649</v>
      </c>
      <c r="E1943" t="s">
        <v>649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659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674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674</v>
      </c>
      <c r="AD1946" t="s">
        <v>164</v>
      </c>
      <c r="AE1946" t="s">
        <v>659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674</v>
      </c>
      <c r="AD1947" t="s">
        <v>674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659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659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659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659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659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659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659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659</v>
      </c>
      <c r="AD1960" t="s">
        <v>164</v>
      </c>
      <c r="AE1960" t="s">
        <v>659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659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673</v>
      </c>
      <c r="AD1964" t="s">
        <v>673</v>
      </c>
      <c r="AE1964" t="s">
        <v>659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673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673</v>
      </c>
      <c r="AD1966" t="s">
        <v>492</v>
      </c>
      <c r="AE1966" t="s">
        <v>659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659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659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659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659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659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659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675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675</v>
      </c>
      <c r="AD1980" t="s">
        <v>164</v>
      </c>
      <c r="AE1980" t="s">
        <v>659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675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675</v>
      </c>
      <c r="AD1982" t="s">
        <v>492</v>
      </c>
      <c r="AE1982" t="s">
        <v>659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675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675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659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659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649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659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659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659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674</v>
      </c>
      <c r="AD1995" t="s">
        <v>164</v>
      </c>
      <c r="AE1995" t="s">
        <v>659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674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674</v>
      </c>
      <c r="AD1997" t="s">
        <v>492</v>
      </c>
      <c r="AE1997" t="s">
        <v>659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674</v>
      </c>
      <c r="AD1998" t="s">
        <v>674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659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659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659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659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673</v>
      </c>
      <c r="AE2006" t="s">
        <v>659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659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659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659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649</v>
      </c>
      <c r="E2014" t="s">
        <v>649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659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674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674</v>
      </c>
      <c r="AE2017" t="s">
        <v>659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659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659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659</v>
      </c>
      <c r="AD2021" t="s">
        <v>164</v>
      </c>
      <c r="AE2021" t="s">
        <v>659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659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649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659</v>
      </c>
      <c r="AD2023" t="s">
        <v>492</v>
      </c>
      <c r="AE2023" t="s">
        <v>659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659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659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649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659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649</v>
      </c>
      <c r="E2028" t="s">
        <v>649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659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659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659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659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649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659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675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675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675</v>
      </c>
      <c r="AD2039" t="s">
        <v>514</v>
      </c>
      <c r="AE2039" t="s">
        <v>659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659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659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649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649</v>
      </c>
      <c r="E2045" t="s">
        <v>649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659</v>
      </c>
      <c r="AD2046" t="s">
        <v>164</v>
      </c>
      <c r="AE2046" t="s">
        <v>659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659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659</v>
      </c>
      <c r="AD2048" t="s">
        <v>514</v>
      </c>
      <c r="AE2048" t="s">
        <v>659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659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659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659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675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675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675</v>
      </c>
      <c r="AD2056" t="s">
        <v>493</v>
      </c>
      <c r="AE2056" t="s">
        <v>659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659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659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659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659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659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674</v>
      </c>
      <c r="AD2064" t="s">
        <v>164</v>
      </c>
      <c r="AE2064" t="s">
        <v>659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674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674</v>
      </c>
      <c r="AD2066" t="s">
        <v>493</v>
      </c>
      <c r="AE2066" t="s">
        <v>659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659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659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659</v>
      </c>
      <c r="AD2072" t="s">
        <v>164</v>
      </c>
      <c r="AE2072" t="s">
        <v>659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659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659</v>
      </c>
      <c r="AD2074" t="s">
        <v>493</v>
      </c>
      <c r="AE2074" t="s">
        <v>659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659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674</v>
      </c>
      <c r="AC2077" t="s">
        <v>164</v>
      </c>
      <c r="AD2077" t="s">
        <v>164</v>
      </c>
      <c r="AE2077" t="s">
        <v>659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674</v>
      </c>
      <c r="AC2078" t="s">
        <v>164</v>
      </c>
      <c r="AD2078" t="s">
        <v>674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674</v>
      </c>
      <c r="AC2079" t="s">
        <v>164</v>
      </c>
      <c r="AD2079" t="s">
        <v>674</v>
      </c>
      <c r="AE2079" t="s">
        <v>659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674</v>
      </c>
      <c r="AC2080" t="s">
        <v>675</v>
      </c>
      <c r="AD2080" t="s">
        <v>674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674</v>
      </c>
      <c r="AC2081" t="s">
        <v>514</v>
      </c>
      <c r="AD2081" t="s">
        <v>674</v>
      </c>
      <c r="AE2081" t="s">
        <v>659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674</v>
      </c>
      <c r="AC2082" t="s">
        <v>493</v>
      </c>
      <c r="AD2082" t="s">
        <v>674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674</v>
      </c>
      <c r="AC2083" t="s">
        <v>674</v>
      </c>
      <c r="AD2083" t="s">
        <v>164</v>
      </c>
      <c r="AE2083" t="s">
        <v>659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674</v>
      </c>
      <c r="AC2084" t="s">
        <v>674</v>
      </c>
      <c r="AD2084" t="s">
        <v>674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674</v>
      </c>
      <c r="AC2085" t="s">
        <v>674</v>
      </c>
      <c r="AD2085" t="s">
        <v>674</v>
      </c>
      <c r="AE2085" t="s">
        <v>659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674</v>
      </c>
      <c r="AC2086" t="s">
        <v>659</v>
      </c>
      <c r="AD2086" t="s">
        <v>674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674</v>
      </c>
      <c r="AC2087" t="s">
        <v>659</v>
      </c>
      <c r="AD2087" t="s">
        <v>674</v>
      </c>
      <c r="AE2087" t="s">
        <v>659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659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675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659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659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659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659</v>
      </c>
      <c r="AD2095" t="s">
        <v>515</v>
      </c>
      <c r="AE2095" t="s">
        <v>659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648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659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675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659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659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659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659</v>
      </c>
      <c r="AD2106" t="s">
        <v>164</v>
      </c>
      <c r="AE2106" t="s">
        <v>659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659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659</v>
      </c>
      <c r="AD2108" t="s">
        <v>518</v>
      </c>
      <c r="AE2108" t="s">
        <v>659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659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659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659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659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675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675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675</v>
      </c>
      <c r="AD2120" t="s">
        <v>513</v>
      </c>
      <c r="AE2120" t="s">
        <v>659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659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674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659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648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659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659</v>
      </c>
      <c r="AD2132" t="s">
        <v>164</v>
      </c>
      <c r="AE2132" t="s">
        <v>659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649</v>
      </c>
      <c r="E2133" t="s">
        <v>649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659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659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659</v>
      </c>
      <c r="AD2135" t="s">
        <v>513</v>
      </c>
      <c r="AE2135" t="s">
        <v>659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659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659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659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659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659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675</v>
      </c>
      <c r="AD2144" t="s">
        <v>520</v>
      </c>
      <c r="AE2144" t="s">
        <v>659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659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659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659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659</v>
      </c>
      <c r="AD2152" t="s">
        <v>164</v>
      </c>
      <c r="AE2152" t="s">
        <v>659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659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659</v>
      </c>
      <c r="AD2154" t="s">
        <v>520</v>
      </c>
      <c r="AE2154" t="s">
        <v>659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659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649</v>
      </c>
      <c r="E2157" t="s">
        <v>649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659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675</v>
      </c>
      <c r="AD2159" t="s">
        <v>494</v>
      </c>
      <c r="AE2159" t="s">
        <v>659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659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674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674</v>
      </c>
      <c r="AD2163" t="s">
        <v>494</v>
      </c>
      <c r="AE2163" t="s">
        <v>659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659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659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659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659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659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659</v>
      </c>
      <c r="AE2170" t="s">
        <v>659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673</v>
      </c>
      <c r="AC2171" t="s">
        <v>673</v>
      </c>
      <c r="AD2171" t="s">
        <v>673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673</v>
      </c>
      <c r="AC2172" t="s">
        <v>673</v>
      </c>
      <c r="AD2172" t="s">
        <v>673</v>
      </c>
      <c r="AE2172" t="s">
        <v>659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673</v>
      </c>
      <c r="AC2173" t="s">
        <v>512</v>
      </c>
      <c r="AD2173" t="s">
        <v>673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673</v>
      </c>
      <c r="AC2174" t="s">
        <v>514</v>
      </c>
      <c r="AD2174" t="s">
        <v>673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673</v>
      </c>
      <c r="AC2175" t="s">
        <v>514</v>
      </c>
      <c r="AD2175" t="s">
        <v>673</v>
      </c>
      <c r="AE2175" t="s">
        <v>659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673</v>
      </c>
      <c r="AC2176" t="s">
        <v>518</v>
      </c>
      <c r="AD2176" t="s">
        <v>164</v>
      </c>
      <c r="AE2176" t="s">
        <v>659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649</v>
      </c>
      <c r="E2177" t="s">
        <v>649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673</v>
      </c>
      <c r="AC2177" t="s">
        <v>513</v>
      </c>
      <c r="AD2177" t="s">
        <v>673</v>
      </c>
      <c r="AE2177" t="s">
        <v>659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673</v>
      </c>
      <c r="AC2178" t="s">
        <v>659</v>
      </c>
      <c r="AD2178" t="s">
        <v>673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659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659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674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674</v>
      </c>
      <c r="AD2186" t="s">
        <v>512</v>
      </c>
      <c r="AE2186" t="s">
        <v>659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674</v>
      </c>
      <c r="AD2187" t="s">
        <v>164</v>
      </c>
      <c r="AE2187" t="s">
        <v>659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674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659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659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659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659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673</v>
      </c>
      <c r="AD2195" t="s">
        <v>491</v>
      </c>
      <c r="AE2195" t="s">
        <v>659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659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659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659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659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674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674</v>
      </c>
      <c r="AD2205" t="s">
        <v>491</v>
      </c>
      <c r="AE2205" t="s">
        <v>659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659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659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659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659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659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659</v>
      </c>
      <c r="AD2214" t="s">
        <v>491</v>
      </c>
      <c r="AE2214" t="s">
        <v>659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659</v>
      </c>
      <c r="AD2215" t="s">
        <v>164</v>
      </c>
      <c r="AE2215" t="s">
        <v>659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659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673</v>
      </c>
      <c r="AD2218" t="s">
        <v>673</v>
      </c>
      <c r="AE2218" t="s">
        <v>659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673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673</v>
      </c>
      <c r="AD2220" t="s">
        <v>164</v>
      </c>
      <c r="AE2220" t="s">
        <v>659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659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659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659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659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675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675</v>
      </c>
      <c r="AD2231" t="s">
        <v>164</v>
      </c>
      <c r="AE2231" t="s">
        <v>659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675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675</v>
      </c>
      <c r="AD2233" t="s">
        <v>492</v>
      </c>
      <c r="AE2233" t="s">
        <v>659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659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659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659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659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659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674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674</v>
      </c>
      <c r="AD2246" t="s">
        <v>164</v>
      </c>
      <c r="AE2246" t="s">
        <v>659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674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674</v>
      </c>
      <c r="AD2248" t="s">
        <v>492</v>
      </c>
      <c r="AE2248" t="s">
        <v>659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674</v>
      </c>
      <c r="AD2249" t="s">
        <v>674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674</v>
      </c>
      <c r="AD2250" t="s">
        <v>674</v>
      </c>
      <c r="AE2250" t="s">
        <v>659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674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659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659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659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659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659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659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659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659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659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659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674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659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659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649</v>
      </c>
      <c r="E2274" t="s">
        <v>649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659</v>
      </c>
      <c r="AD2275" t="s">
        <v>512</v>
      </c>
      <c r="AE2275" t="s">
        <v>659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659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659</v>
      </c>
      <c r="AD2277" t="s">
        <v>164</v>
      </c>
      <c r="AE2277" t="s">
        <v>659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659</v>
      </c>
      <c r="AD2278" t="s">
        <v>492</v>
      </c>
      <c r="AE2278" t="s">
        <v>659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659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659</v>
      </c>
      <c r="AD2280" t="s">
        <v>518</v>
      </c>
      <c r="AE2280" t="s">
        <v>659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659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659</v>
      </c>
      <c r="AD2282" t="s">
        <v>513</v>
      </c>
      <c r="AE2282" t="s">
        <v>659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659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659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659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659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673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673</v>
      </c>
      <c r="AD2290" t="s">
        <v>492</v>
      </c>
      <c r="AE2290" t="s">
        <v>659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659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649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659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649</v>
      </c>
      <c r="E2294" t="s">
        <v>649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659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659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659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675</v>
      </c>
      <c r="AD2299" t="s">
        <v>164</v>
      </c>
      <c r="AE2299" t="s">
        <v>659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675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675</v>
      </c>
      <c r="AD2301" t="s">
        <v>492</v>
      </c>
      <c r="AE2301" t="s">
        <v>659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675</v>
      </c>
      <c r="AD2302" t="s">
        <v>514</v>
      </c>
      <c r="AE2302" t="s">
        <v>659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675</v>
      </c>
      <c r="AD2303" t="s">
        <v>674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675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675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649</v>
      </c>
      <c r="E2306" t="s">
        <v>649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675</v>
      </c>
      <c r="AD2306" t="s">
        <v>513</v>
      </c>
      <c r="AE2306" t="s">
        <v>659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659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659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648</v>
      </c>
      <c r="E2313" t="s">
        <v>648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659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659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659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674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674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674</v>
      </c>
      <c r="AD2320" t="s">
        <v>164</v>
      </c>
      <c r="AE2320" t="s">
        <v>659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674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674</v>
      </c>
      <c r="AD2322" t="s">
        <v>492</v>
      </c>
      <c r="AE2322" t="s">
        <v>659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674</v>
      </c>
      <c r="AD2323" t="s">
        <v>674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674</v>
      </c>
      <c r="AD2324" t="s">
        <v>674</v>
      </c>
      <c r="AE2324" t="s">
        <v>659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659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649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659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649</v>
      </c>
      <c r="E2329" t="s">
        <v>649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659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659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673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659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659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659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659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659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659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659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659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659</v>
      </c>
      <c r="AD2349" t="s">
        <v>164</v>
      </c>
      <c r="AE2349" t="s">
        <v>659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659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659</v>
      </c>
      <c r="AD2351" t="s">
        <v>492</v>
      </c>
      <c r="AE2351" t="s">
        <v>659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659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659</v>
      </c>
      <c r="AD2353" t="s">
        <v>674</v>
      </c>
      <c r="AE2353" t="s">
        <v>659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659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659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659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659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648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659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659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675</v>
      </c>
      <c r="AD2371" t="s">
        <v>164</v>
      </c>
      <c r="AE2371" t="s">
        <v>659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675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675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659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659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659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659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659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659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659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649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659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659</v>
      </c>
      <c r="AD2388" t="s">
        <v>673</v>
      </c>
      <c r="AE2388" t="s">
        <v>659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659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659</v>
      </c>
      <c r="AD2390" t="s">
        <v>164</v>
      </c>
      <c r="AE2390" t="s">
        <v>659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659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659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659</v>
      </c>
      <c r="AD2393" t="s">
        <v>514</v>
      </c>
      <c r="AE2393" t="s">
        <v>659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659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659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659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659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675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659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659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659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674</v>
      </c>
      <c r="AD2407" t="s">
        <v>164</v>
      </c>
      <c r="AE2407" t="s">
        <v>659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649</v>
      </c>
      <c r="E2408" t="s">
        <v>649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674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674</v>
      </c>
      <c r="AD2409" t="s">
        <v>493</v>
      </c>
      <c r="AE2409" t="s">
        <v>659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659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659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659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659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659</v>
      </c>
      <c r="AD2417" t="s">
        <v>164</v>
      </c>
      <c r="AE2417" t="s">
        <v>659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659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659</v>
      </c>
      <c r="AD2419" t="s">
        <v>493</v>
      </c>
      <c r="AE2419" t="s">
        <v>659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659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674</v>
      </c>
      <c r="AC2422" t="s">
        <v>512</v>
      </c>
      <c r="AD2422" t="s">
        <v>674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674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674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674</v>
      </c>
      <c r="AC2425" t="s">
        <v>164</v>
      </c>
      <c r="AD2425" t="s">
        <v>164</v>
      </c>
      <c r="AE2425" t="s">
        <v>659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674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674</v>
      </c>
      <c r="AC2427" t="s">
        <v>164</v>
      </c>
      <c r="AD2427" t="s">
        <v>492</v>
      </c>
      <c r="AE2427" t="s">
        <v>659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674</v>
      </c>
      <c r="AC2428" t="s">
        <v>164</v>
      </c>
      <c r="AD2428" t="s">
        <v>674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674</v>
      </c>
      <c r="AC2429" t="s">
        <v>164</v>
      </c>
      <c r="AD2429" t="s">
        <v>674</v>
      </c>
      <c r="AE2429" t="s">
        <v>659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674</v>
      </c>
      <c r="AC2430" t="s">
        <v>675</v>
      </c>
      <c r="AD2430" t="s">
        <v>674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674</v>
      </c>
      <c r="AC2431" t="s">
        <v>675</v>
      </c>
      <c r="AD2431" t="s">
        <v>674</v>
      </c>
      <c r="AE2431" t="s">
        <v>659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674</v>
      </c>
      <c r="AC2432" t="s">
        <v>493</v>
      </c>
      <c r="AD2432" t="s">
        <v>164</v>
      </c>
      <c r="AE2432" t="s">
        <v>659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674</v>
      </c>
      <c r="AC2433" t="s">
        <v>493</v>
      </c>
      <c r="AD2433" t="s">
        <v>674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674</v>
      </c>
      <c r="AC2434" t="s">
        <v>674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674</v>
      </c>
      <c r="AC2435" t="s">
        <v>674</v>
      </c>
      <c r="AD2435" t="s">
        <v>164</v>
      </c>
      <c r="AE2435" t="s">
        <v>659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674</v>
      </c>
      <c r="AC2436" t="s">
        <v>674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674</v>
      </c>
      <c r="AC2437" t="s">
        <v>674</v>
      </c>
      <c r="AD2437" t="s">
        <v>674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674</v>
      </c>
      <c r="AC2438" t="s">
        <v>674</v>
      </c>
      <c r="AD2438" t="s">
        <v>674</v>
      </c>
      <c r="AE2438" t="s">
        <v>659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674</v>
      </c>
      <c r="AC2439" t="s">
        <v>674</v>
      </c>
      <c r="AD2439" t="s">
        <v>513</v>
      </c>
      <c r="AE2439" t="s">
        <v>659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674</v>
      </c>
      <c r="AC2440" t="s">
        <v>513</v>
      </c>
      <c r="AD2440" t="s">
        <v>674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674</v>
      </c>
      <c r="AC2441" t="s">
        <v>513</v>
      </c>
      <c r="AD2441" t="s">
        <v>674</v>
      </c>
      <c r="AE2441" t="s">
        <v>659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674</v>
      </c>
      <c r="AC2442" t="s">
        <v>659</v>
      </c>
      <c r="AD2442" t="s">
        <v>164</v>
      </c>
      <c r="AE2442" t="s">
        <v>659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674</v>
      </c>
      <c r="AC2443" t="s">
        <v>659</v>
      </c>
      <c r="AD2443" t="s">
        <v>674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674</v>
      </c>
      <c r="AC2444" t="s">
        <v>659</v>
      </c>
      <c r="AD2444" t="s">
        <v>674</v>
      </c>
      <c r="AE2444" t="s">
        <v>659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674</v>
      </c>
      <c r="AC2445" t="s">
        <v>659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674</v>
      </c>
      <c r="AC2446" t="s">
        <v>516</v>
      </c>
      <c r="AD2446" t="s">
        <v>674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659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659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675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674</v>
      </c>
      <c r="AD2454" t="s">
        <v>515</v>
      </c>
      <c r="AE2454" t="s">
        <v>659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659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659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659</v>
      </c>
      <c r="AD2460" t="s">
        <v>164</v>
      </c>
      <c r="AE2460" t="s">
        <v>659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649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659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659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659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675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675</v>
      </c>
      <c r="AD2468" t="s">
        <v>518</v>
      </c>
      <c r="AE2468" t="s">
        <v>659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659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659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659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659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659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659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659</v>
      </c>
      <c r="AD2481" t="s">
        <v>512</v>
      </c>
      <c r="AE2481" t="s">
        <v>659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659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659</v>
      </c>
      <c r="AD2483" t="s">
        <v>164</v>
      </c>
      <c r="AE2483" t="s">
        <v>659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659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659</v>
      </c>
      <c r="AD2485" t="s">
        <v>518</v>
      </c>
      <c r="AE2485" t="s">
        <v>659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659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659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659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659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649</v>
      </c>
      <c r="E2491" t="s">
        <v>649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659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659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659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659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659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675</v>
      </c>
      <c r="AD2500" t="s">
        <v>164</v>
      </c>
      <c r="AE2500" t="s">
        <v>659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675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675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675</v>
      </c>
      <c r="AD2503" t="s">
        <v>513</v>
      </c>
      <c r="AE2503" t="s">
        <v>659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659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649</v>
      </c>
      <c r="E2506" t="s">
        <v>649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659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674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674</v>
      </c>
      <c r="AD2509" t="s">
        <v>513</v>
      </c>
      <c r="AE2509" t="s">
        <v>659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659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659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674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659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659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659</v>
      </c>
      <c r="AD2521" t="s">
        <v>512</v>
      </c>
      <c r="AE2521" t="s">
        <v>659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659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649</v>
      </c>
      <c r="E2523" t="s">
        <v>649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659</v>
      </c>
      <c r="AD2523" t="s">
        <v>164</v>
      </c>
      <c r="AE2523" t="s">
        <v>659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659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659</v>
      </c>
      <c r="AD2525" t="s">
        <v>492</v>
      </c>
      <c r="AE2525" t="s">
        <v>659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659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659</v>
      </c>
      <c r="AD2527" t="s">
        <v>513</v>
      </c>
      <c r="AE2527" t="s">
        <v>659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659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659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659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659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659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659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659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675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675</v>
      </c>
      <c r="AD2542" t="s">
        <v>513</v>
      </c>
      <c r="AE2542" t="s">
        <v>659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675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675</v>
      </c>
      <c r="AD2544" t="s">
        <v>520</v>
      </c>
      <c r="AE2544" t="s">
        <v>659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659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659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674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659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659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659</v>
      </c>
      <c r="AD2555" t="s">
        <v>164</v>
      </c>
      <c r="AE2555" t="s">
        <v>659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659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659</v>
      </c>
      <c r="AD2557" t="s">
        <v>520</v>
      </c>
      <c r="AE2557" t="s">
        <v>659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659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659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659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674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659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649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659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649</v>
      </c>
      <c r="E2598" t="s">
        <v>649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649</v>
      </c>
      <c r="E2614" t="s">
        <v>649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649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649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649</v>
      </c>
      <c r="E2635" t="s">
        <v>649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648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648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649</v>
      </c>
      <c r="E2701" t="s">
        <v>649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649</v>
      </c>
      <c r="E2718" t="s">
        <v>649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649</v>
      </c>
      <c r="E2729" t="s">
        <v>649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648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649</v>
      </c>
      <c r="E2748" t="s">
        <v>649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649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649</v>
      </c>
      <c r="E2829" t="s">
        <v>649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649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649</v>
      </c>
      <c r="E2849" t="s">
        <v>649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648</v>
      </c>
      <c r="E2857" t="s">
        <v>648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649</v>
      </c>
      <c r="E2871" t="s">
        <v>649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648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649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649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649</v>
      </c>
      <c r="E2900" t="s">
        <v>649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648</v>
      </c>
      <c r="E2934" t="s">
        <v>648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649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649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649</v>
      </c>
      <c r="E2972" t="s">
        <v>649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648</v>
      </c>
      <c r="E2977" t="s">
        <v>648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649</v>
      </c>
      <c r="E2988" t="s">
        <v>649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649</v>
      </c>
      <c r="E3002" t="s">
        <v>649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648</v>
      </c>
      <c r="E3007" t="s">
        <v>648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649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649</v>
      </c>
      <c r="E3021" t="s">
        <v>649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649</v>
      </c>
      <c r="E3067" t="s">
        <v>649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649</v>
      </c>
      <c r="E3084" t="s">
        <v>649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648</v>
      </c>
      <c r="E3091" t="s">
        <v>648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649</v>
      </c>
      <c r="E3102" t="s">
        <v>649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649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649</v>
      </c>
      <c r="E3120" t="s">
        <v>649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649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649</v>
      </c>
      <c r="E3142" t="s">
        <v>649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649</v>
      </c>
      <c r="E3201" t="s">
        <v>649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649</v>
      </c>
      <c r="E3225" t="s">
        <v>649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649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649</v>
      </c>
      <c r="E3250" t="s">
        <v>649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649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649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649</v>
      </c>
      <c r="E3271" t="s">
        <v>649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649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649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649</v>
      </c>
      <c r="E3294" t="s">
        <v>649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649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649</v>
      </c>
      <c r="E3369" t="s">
        <v>649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649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649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649</v>
      </c>
      <c r="E3389" t="s">
        <v>649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648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649</v>
      </c>
      <c r="E3403" t="s">
        <v>649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648</v>
      </c>
      <c r="E3409" t="s">
        <v>648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649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649</v>
      </c>
      <c r="E3425" t="s">
        <v>649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2020-11-24T22:23:12Z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196331202983856</vt:r8>
  </property>
</Properties>
</file>