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codeName="ThisWorkbook" defaultThemeVersion="124226"/>
  <xr:revisionPtr revIDLastSave="0" documentId="13_ncr:1_{2B3101EE-7E27-47B3-8390-F3DC6391D391}" xr6:coauthVersionLast="46" xr6:coauthVersionMax="46" xr10:uidLastSave="{00000000-0000-0000-0000-000000000000}"/>
  <bookViews>
    <workbookView xWindow="-120" yWindow="-120" windowWidth="29040" windowHeight="15840" firstSheet="11" activeTab="14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" i="22" l="1"/>
  <c r="AB71" i="24"/>
  <c r="L71" i="24"/>
  <c r="H71" i="24"/>
  <c r="AQ71" i="24" s="1"/>
  <c r="C71" i="24"/>
  <c r="AB70" i="24"/>
  <c r="L70" i="24"/>
  <c r="H70" i="24"/>
  <c r="C70" i="24"/>
  <c r="AQ70" i="24" s="1"/>
  <c r="AB69" i="24"/>
  <c r="L69" i="24"/>
  <c r="H69" i="24"/>
  <c r="C69" i="24"/>
  <c r="AQ69" i="24" s="1"/>
  <c r="AB68" i="24"/>
  <c r="L68" i="24"/>
  <c r="H68" i="24"/>
  <c r="C68" i="24"/>
  <c r="AQ68" i="24" s="1"/>
  <c r="AB67" i="24"/>
  <c r="L67" i="24"/>
  <c r="H67" i="24"/>
  <c r="C67" i="24"/>
  <c r="AQ67" i="24" s="1"/>
  <c r="AB66" i="24"/>
  <c r="L66" i="24"/>
  <c r="AQ66" i="24" s="1"/>
  <c r="H66" i="24"/>
  <c r="C66" i="24"/>
  <c r="AE65" i="24"/>
  <c r="AB65" i="24" s="1"/>
  <c r="V65" i="24"/>
  <c r="L65" i="24" s="1"/>
  <c r="H65" i="24"/>
  <c r="D65" i="24"/>
  <c r="C65" i="24" s="1"/>
  <c r="AQ64" i="24"/>
  <c r="AB64" i="24"/>
  <c r="L64" i="24"/>
  <c r="H64" i="24"/>
  <c r="C64" i="24"/>
  <c r="AB63" i="24"/>
  <c r="L63" i="24"/>
  <c r="H63" i="24"/>
  <c r="C63" i="24"/>
  <c r="AQ63" i="24" s="1"/>
  <c r="AB62" i="24"/>
  <c r="L62" i="24"/>
  <c r="H62" i="24"/>
  <c r="AQ62" i="24" s="1"/>
  <c r="C62" i="24"/>
  <c r="AB61" i="24"/>
  <c r="L61" i="24"/>
  <c r="H61" i="24"/>
  <c r="C61" i="24"/>
  <c r="AQ61" i="24" s="1"/>
  <c r="AB60" i="24"/>
  <c r="L60" i="24"/>
  <c r="H60" i="24"/>
  <c r="C60" i="24"/>
  <c r="AQ60" i="24" s="1"/>
  <c r="AB59" i="24"/>
  <c r="L59" i="24"/>
  <c r="H59" i="24"/>
  <c r="C59" i="24"/>
  <c r="AQ59" i="24" s="1"/>
  <c r="AP58" i="24"/>
  <c r="AN58" i="24"/>
  <c r="AN29" i="24" s="1"/>
  <c r="AJ58" i="24"/>
  <c r="AI58" i="24"/>
  <c r="AH58" i="24"/>
  <c r="AG58" i="24"/>
  <c r="AE58" i="24"/>
  <c r="AE57" i="24" s="1"/>
  <c r="AD58" i="24"/>
  <c r="AC58" i="24"/>
  <c r="AB58" i="24"/>
  <c r="Z58" i="24"/>
  <c r="Y58" i="24"/>
  <c r="X58" i="24"/>
  <c r="W58" i="24"/>
  <c r="W57" i="24" s="1"/>
  <c r="V58" i="24"/>
  <c r="V57" i="24" s="1"/>
  <c r="R58" i="24"/>
  <c r="P58" i="24"/>
  <c r="O58" i="24"/>
  <c r="L58" i="24" s="1"/>
  <c r="N58" i="24"/>
  <c r="N57" i="24" s="1"/>
  <c r="M58" i="24"/>
  <c r="K58" i="24"/>
  <c r="J58" i="24"/>
  <c r="I58" i="24"/>
  <c r="H58" i="24" s="1"/>
  <c r="H57" i="24" s="1"/>
  <c r="F58" i="24"/>
  <c r="C58" i="24" s="1"/>
  <c r="AP57" i="24"/>
  <c r="AO57" i="24"/>
  <c r="AM57" i="24"/>
  <c r="AL57" i="24"/>
  <c r="AK57" i="24"/>
  <c r="AJ57" i="24"/>
  <c r="AI57" i="24"/>
  <c r="AH57" i="24"/>
  <c r="AG57" i="24"/>
  <c r="AF57" i="24"/>
  <c r="AD57" i="24"/>
  <c r="AC57" i="24"/>
  <c r="AA57" i="24"/>
  <c r="Z57" i="24"/>
  <c r="Y57" i="24"/>
  <c r="X57" i="24"/>
  <c r="U57" i="24"/>
  <c r="T57" i="24"/>
  <c r="S57" i="24"/>
  <c r="R57" i="24"/>
  <c r="Q57" i="24"/>
  <c r="P57" i="24"/>
  <c r="M57" i="24"/>
  <c r="K57" i="24"/>
  <c r="J57" i="24"/>
  <c r="I57" i="24"/>
  <c r="G57" i="24"/>
  <c r="E57" i="24"/>
  <c r="D57" i="24"/>
  <c r="AB56" i="24"/>
  <c r="L56" i="24"/>
  <c r="AQ56" i="24" s="1"/>
  <c r="H56" i="24"/>
  <c r="C56" i="24"/>
  <c r="AQ55" i="24"/>
  <c r="AB55" i="24"/>
  <c r="L55" i="24"/>
  <c r="H55" i="24"/>
  <c r="C55" i="24"/>
  <c r="AB54" i="24"/>
  <c r="L54" i="24"/>
  <c r="H54" i="24"/>
  <c r="C54" i="24"/>
  <c r="AQ54" i="24" s="1"/>
  <c r="AB53" i="24"/>
  <c r="L53" i="24"/>
  <c r="H53" i="24"/>
  <c r="AQ53" i="24" s="1"/>
  <c r="C53" i="24"/>
  <c r="AB52" i="24"/>
  <c r="AB45" i="24" s="1"/>
  <c r="L52" i="24"/>
  <c r="H52" i="24"/>
  <c r="C52" i="24"/>
  <c r="AQ52" i="24" s="1"/>
  <c r="AB51" i="24"/>
  <c r="L51" i="24"/>
  <c r="H51" i="24"/>
  <c r="C51" i="24"/>
  <c r="C45" i="24" s="1"/>
  <c r="AQ45" i="24" s="1"/>
  <c r="AB50" i="24"/>
  <c r="L50" i="24"/>
  <c r="H50" i="24"/>
  <c r="C50" i="24"/>
  <c r="AQ50" i="24" s="1"/>
  <c r="AB49" i="24"/>
  <c r="L49" i="24"/>
  <c r="L45" i="24" s="1"/>
  <c r="H49" i="24"/>
  <c r="C49" i="24"/>
  <c r="AQ49" i="24" s="1"/>
  <c r="AB48" i="24"/>
  <c r="L48" i="24"/>
  <c r="AQ48" i="24" s="1"/>
  <c r="H48" i="24"/>
  <c r="C48" i="24"/>
  <c r="AQ47" i="24"/>
  <c r="AB47" i="24"/>
  <c r="L47" i="24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L45" i="24"/>
  <c r="AK45" i="24"/>
  <c r="AK29" i="24" s="1"/>
  <c r="AJ45" i="24"/>
  <c r="AJ29" i="24" s="1"/>
  <c r="AI45" i="24"/>
  <c r="AH45" i="24"/>
  <c r="AG45" i="24"/>
  <c r="AF45" i="24"/>
  <c r="AE45" i="24"/>
  <c r="AD45" i="24"/>
  <c r="AC45" i="24"/>
  <c r="AC29" i="24" s="1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F45" i="24"/>
  <c r="E45" i="24"/>
  <c r="E29" i="24" s="1"/>
  <c r="D45" i="24"/>
  <c r="D29" i="24" s="1"/>
  <c r="AB44" i="24"/>
  <c r="AQ44" i="24" s="1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Q42" i="24" s="1"/>
  <c r="AB41" i="24"/>
  <c r="L41" i="24"/>
  <c r="AQ41" i="24" s="1"/>
  <c r="H41" i="24"/>
  <c r="C41" i="24"/>
  <c r="AB40" i="24"/>
  <c r="L40" i="24"/>
  <c r="H40" i="24"/>
  <c r="C40" i="24"/>
  <c r="AQ40" i="24" s="1"/>
  <c r="AB39" i="24"/>
  <c r="L39" i="24"/>
  <c r="H39" i="24"/>
  <c r="C39" i="24"/>
  <c r="AQ39" i="24" s="1"/>
  <c r="AB38" i="24"/>
  <c r="L38" i="24"/>
  <c r="H38" i="24"/>
  <c r="AQ38" i="24" s="1"/>
  <c r="C38" i="24"/>
  <c r="AB37" i="24"/>
  <c r="L37" i="24"/>
  <c r="L30" i="24" s="1"/>
  <c r="L29" i="24" s="1"/>
  <c r="H37" i="24"/>
  <c r="C37" i="24"/>
  <c r="AQ37" i="24" s="1"/>
  <c r="AB36" i="24"/>
  <c r="AQ36" i="24" s="1"/>
  <c r="L36" i="24"/>
  <c r="H36" i="24"/>
  <c r="C36" i="24"/>
  <c r="AQ35" i="24"/>
  <c r="AB35" i="24"/>
  <c r="L35" i="24"/>
  <c r="H35" i="24"/>
  <c r="C35" i="24"/>
  <c r="AB34" i="24"/>
  <c r="L34" i="24"/>
  <c r="H34" i="24"/>
  <c r="H30" i="24" s="1"/>
  <c r="H29" i="24" s="1"/>
  <c r="C34" i="24"/>
  <c r="AQ34" i="24" s="1"/>
  <c r="AB33" i="24"/>
  <c r="L33" i="24"/>
  <c r="AQ33" i="24" s="1"/>
  <c r="H33" i="24"/>
  <c r="C33" i="24"/>
  <c r="AB32" i="24"/>
  <c r="L32" i="24"/>
  <c r="H32" i="24"/>
  <c r="C32" i="24"/>
  <c r="AQ32" i="24" s="1"/>
  <c r="AB31" i="24"/>
  <c r="AB30" i="24" s="1"/>
  <c r="AB29" i="24" s="1"/>
  <c r="L31" i="24"/>
  <c r="H31" i="24"/>
  <c r="C31" i="24"/>
  <c r="AQ31" i="24" s="1"/>
  <c r="AP30" i="24"/>
  <c r="AN30" i="24"/>
  <c r="AM30" i="24"/>
  <c r="AL30" i="24"/>
  <c r="AK30" i="24"/>
  <c r="AJ30" i="24"/>
  <c r="AI30" i="24"/>
  <c r="AI29" i="24" s="1"/>
  <c r="AH30" i="24"/>
  <c r="AG30" i="24"/>
  <c r="AF30" i="24"/>
  <c r="AE30" i="24"/>
  <c r="AD30" i="24"/>
  <c r="AC30" i="24"/>
  <c r="Z30" i="24"/>
  <c r="Y30" i="24"/>
  <c r="X30" i="24"/>
  <c r="W30" i="24"/>
  <c r="R30" i="24"/>
  <c r="P30" i="24"/>
  <c r="O30" i="24"/>
  <c r="N30" i="24"/>
  <c r="M30" i="24"/>
  <c r="M29" i="24" s="1"/>
  <c r="K30" i="24"/>
  <c r="K29" i="24" s="1"/>
  <c r="J30" i="24"/>
  <c r="I30" i="24"/>
  <c r="AP29" i="24"/>
  <c r="AO29" i="24"/>
  <c r="AM29" i="24"/>
  <c r="AL29" i="24"/>
  <c r="AH29" i="24"/>
  <c r="AG29" i="24"/>
  <c r="AF29" i="24"/>
  <c r="AE29" i="24"/>
  <c r="AD29" i="24"/>
  <c r="Z29" i="24"/>
  <c r="Y29" i="24"/>
  <c r="X29" i="24"/>
  <c r="W29" i="24"/>
  <c r="V29" i="24"/>
  <c r="R29" i="24"/>
  <c r="Q29" i="24"/>
  <c r="P29" i="24"/>
  <c r="N29" i="24"/>
  <c r="J29" i="24"/>
  <c r="I29" i="24"/>
  <c r="G29" i="24"/>
  <c r="AB28" i="24"/>
  <c r="AB27" i="24" s="1"/>
  <c r="H28" i="24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A27" i="24"/>
  <c r="AA8" i="24" s="1"/>
  <c r="V27" i="24"/>
  <c r="U27" i="24"/>
  <c r="T27" i="24"/>
  <c r="S27" i="24"/>
  <c r="R27" i="24"/>
  <c r="R8" i="24" s="1"/>
  <c r="Q27" i="24"/>
  <c r="P27" i="24"/>
  <c r="O27" i="24"/>
  <c r="N27" i="24"/>
  <c r="M27" i="24"/>
  <c r="K27" i="24"/>
  <c r="J27" i="24"/>
  <c r="J8" i="24" s="1"/>
  <c r="I27" i="24"/>
  <c r="H27" i="24"/>
  <c r="G27" i="24"/>
  <c r="F27" i="24"/>
  <c r="E27" i="24"/>
  <c r="D27" i="24"/>
  <c r="C27" i="24"/>
  <c r="AI26" i="24"/>
  <c r="AI72" i="24" s="1"/>
  <c r="AA26" i="24"/>
  <c r="AA72" i="24" s="1"/>
  <c r="S26" i="24"/>
  <c r="S72" i="24" s="1"/>
  <c r="K26" i="24"/>
  <c r="K72" i="24" s="1"/>
  <c r="AQ25" i="24"/>
  <c r="AB25" i="24"/>
  <c r="L25" i="24"/>
  <c r="H25" i="24"/>
  <c r="C25" i="24"/>
  <c r="AB24" i="24"/>
  <c r="L24" i="24"/>
  <c r="E24" i="24"/>
  <c r="C24" i="24" s="1"/>
  <c r="AQ23" i="24"/>
  <c r="AD22" i="24"/>
  <c r="AC22" i="24"/>
  <c r="AB22" i="24"/>
  <c r="AP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 s="1"/>
  <c r="G21" i="24"/>
  <c r="F21" i="24"/>
  <c r="D21" i="24"/>
  <c r="AB20" i="24"/>
  <c r="L20" i="24"/>
  <c r="AQ20" i="24" s="1"/>
  <c r="H20" i="24"/>
  <c r="AB19" i="24"/>
  <c r="L19" i="24"/>
  <c r="L15" i="24" s="1"/>
  <c r="H19" i="24"/>
  <c r="AQ19" i="24" s="1"/>
  <c r="AQ18" i="24"/>
  <c r="AQ17" i="24"/>
  <c r="AB17" i="24"/>
  <c r="L17" i="24"/>
  <c r="H17" i="24"/>
  <c r="C17" i="24"/>
  <c r="AQ16" i="24"/>
  <c r="AB16" i="24"/>
  <c r="AB15" i="24" s="1"/>
  <c r="L16" i="24"/>
  <c r="H16" i="24"/>
  <c r="C16" i="24"/>
  <c r="C15" i="24" s="1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H15" i="24"/>
  <c r="G15" i="24"/>
  <c r="F15" i="24"/>
  <c r="E15" i="24"/>
  <c r="D15" i="24"/>
  <c r="AB14" i="24"/>
  <c r="L14" i="24"/>
  <c r="H14" i="24"/>
  <c r="C14" i="24"/>
  <c r="AQ14" i="24" s="1"/>
  <c r="AB13" i="24"/>
  <c r="AQ13" i="24" s="1"/>
  <c r="L13" i="24"/>
  <c r="H13" i="24"/>
  <c r="C13" i="24"/>
  <c r="AQ12" i="24"/>
  <c r="AQ11" i="24"/>
  <c r="AB11" i="24"/>
  <c r="L11" i="24"/>
  <c r="H11" i="24"/>
  <c r="C11" i="24"/>
  <c r="AB10" i="24"/>
  <c r="L10" i="24"/>
  <c r="L9" i="24" s="1"/>
  <c r="H10" i="24"/>
  <c r="H9" i="24" s="1"/>
  <c r="C10" i="24"/>
  <c r="AQ10" i="24" s="1"/>
  <c r="AP9" i="24"/>
  <c r="AP26" i="24" s="1"/>
  <c r="AP72" i="24" s="1"/>
  <c r="AO9" i="24"/>
  <c r="AN9" i="24"/>
  <c r="AM9" i="24"/>
  <c r="AL9" i="24"/>
  <c r="AK9" i="24"/>
  <c r="AJ9" i="24"/>
  <c r="AI9" i="24"/>
  <c r="AH9" i="24"/>
  <c r="AH26" i="24" s="1"/>
  <c r="AH72" i="24" s="1"/>
  <c r="AG9" i="24"/>
  <c r="AG26" i="24" s="1"/>
  <c r="AG72" i="24" s="1"/>
  <c r="AF9" i="24"/>
  <c r="AE9" i="24"/>
  <c r="AD9" i="24"/>
  <c r="AC9" i="24"/>
  <c r="AB9" i="24"/>
  <c r="AA9" i="24"/>
  <c r="Z9" i="24"/>
  <c r="Z26" i="24" s="1"/>
  <c r="Y9" i="24"/>
  <c r="Y26" i="24" s="1"/>
  <c r="X9" i="24"/>
  <c r="W9" i="24"/>
  <c r="V9" i="24"/>
  <c r="U9" i="24"/>
  <c r="T9" i="24"/>
  <c r="S9" i="24"/>
  <c r="R9" i="24"/>
  <c r="R26" i="24" s="1"/>
  <c r="R72" i="24" s="1"/>
  <c r="Q9" i="24"/>
  <c r="Q26" i="24" s="1"/>
  <c r="Q72" i="24" s="1"/>
  <c r="P9" i="24"/>
  <c r="O9" i="24"/>
  <c r="N9" i="24"/>
  <c r="M9" i="24"/>
  <c r="K9" i="24"/>
  <c r="J9" i="24"/>
  <c r="J26" i="24" s="1"/>
  <c r="J72" i="24" s="1"/>
  <c r="I9" i="24"/>
  <c r="I26" i="24" s="1"/>
  <c r="I72" i="24" s="1"/>
  <c r="G9" i="24"/>
  <c r="F9" i="24"/>
  <c r="E9" i="24"/>
  <c r="D9" i="24"/>
  <c r="C9" i="24"/>
  <c r="AP8" i="24"/>
  <c r="AM8" i="24"/>
  <c r="AH8" i="24"/>
  <c r="AE8" i="24"/>
  <c r="W8" i="24"/>
  <c r="S8" i="24"/>
  <c r="O8" i="24"/>
  <c r="K8" i="24"/>
  <c r="G8" i="24"/>
  <c r="AP7" i="24"/>
  <c r="AO7" i="24"/>
  <c r="AO8" i="24" s="1"/>
  <c r="AN7" i="24"/>
  <c r="AN26" i="24" s="1"/>
  <c r="AN72" i="24" s="1"/>
  <c r="AM7" i="24"/>
  <c r="AM26" i="24" s="1"/>
  <c r="AM72" i="24" s="1"/>
  <c r="AL7" i="24"/>
  <c r="AL8" i="24" s="1"/>
  <c r="AK7" i="24"/>
  <c r="AK8" i="24" s="1"/>
  <c r="AJ7" i="24"/>
  <c r="AJ8" i="24" s="1"/>
  <c r="AI7" i="24"/>
  <c r="AH7" i="24"/>
  <c r="AG7" i="24"/>
  <c r="AG8" i="24" s="1"/>
  <c r="AF7" i="24"/>
  <c r="AF26" i="24" s="1"/>
  <c r="AF72" i="24" s="1"/>
  <c r="AE7" i="24"/>
  <c r="AE26" i="24" s="1"/>
  <c r="AE72" i="24" s="1"/>
  <c r="AD7" i="24"/>
  <c r="AD8" i="24" s="1"/>
  <c r="AC7" i="24"/>
  <c r="AC8" i="24" s="1"/>
  <c r="AA7" i="24"/>
  <c r="Z7" i="24"/>
  <c r="Y7" i="24"/>
  <c r="X7" i="24"/>
  <c r="X26" i="24" s="1"/>
  <c r="W7" i="24"/>
  <c r="W26" i="24" s="1"/>
  <c r="W72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P26" i="24" s="1"/>
  <c r="P72" i="24" s="1"/>
  <c r="O7" i="24"/>
  <c r="O26" i="24" s="1"/>
  <c r="N7" i="24"/>
  <c r="N8" i="24" s="1"/>
  <c r="M7" i="24"/>
  <c r="M8" i="24" s="1"/>
  <c r="K7" i="24"/>
  <c r="J7" i="24"/>
  <c r="I7" i="24"/>
  <c r="I8" i="24" s="1"/>
  <c r="G7" i="24"/>
  <c r="G26" i="24" s="1"/>
  <c r="G72" i="24" s="1"/>
  <c r="F7" i="24"/>
  <c r="F8" i="24" s="1"/>
  <c r="E7" i="24"/>
  <c r="E8" i="24" s="1"/>
  <c r="D7" i="24"/>
  <c r="D8" i="24" s="1"/>
  <c r="AB6" i="24"/>
  <c r="L6" i="24"/>
  <c r="H6" i="24"/>
  <c r="C6" i="24"/>
  <c r="AQ6" i="24" s="1"/>
  <c r="AQ5" i="24"/>
  <c r="AB5" i="24"/>
  <c r="L5" i="24"/>
  <c r="H5" i="24"/>
  <c r="C5" i="24"/>
  <c r="AQ4" i="24"/>
  <c r="AB4" i="24"/>
  <c r="L4" i="24"/>
  <c r="H4" i="24"/>
  <c r="C4" i="24"/>
  <c r="AB3" i="24"/>
  <c r="L3" i="24"/>
  <c r="H3" i="24"/>
  <c r="H7" i="24" s="1"/>
  <c r="C3" i="24"/>
  <c r="C7" i="24" s="1"/>
  <c r="AB2" i="24"/>
  <c r="AQ2" i="24" s="1"/>
  <c r="L2" i="24"/>
  <c r="L7" i="24" s="1"/>
  <c r="H2" i="24"/>
  <c r="C2" i="24"/>
  <c r="AF24" i="22"/>
  <c r="F21" i="48"/>
  <c r="F27" i="48"/>
  <c r="F26" i="48"/>
  <c r="F25" i="48"/>
  <c r="F24" i="48"/>
  <c r="F23" i="48"/>
  <c r="F22" i="48"/>
  <c r="O5" i="48"/>
  <c r="U7" i="28"/>
  <c r="L26" i="24" l="1"/>
  <c r="C8" i="24"/>
  <c r="AQ22" i="24"/>
  <c r="L57" i="24"/>
  <c r="AB57" i="24"/>
  <c r="H26" i="24"/>
  <c r="H72" i="24" s="1"/>
  <c r="H8" i="24"/>
  <c r="Y28" i="24"/>
  <c r="Y27" i="24" s="1"/>
  <c r="Y72" i="24" s="1"/>
  <c r="AO26" i="24"/>
  <c r="AO72" i="24" s="1"/>
  <c r="AQ9" i="24"/>
  <c r="X28" i="24"/>
  <c r="Z72" i="24"/>
  <c r="Z28" i="24"/>
  <c r="Z27" i="24" s="1"/>
  <c r="Z8" i="24" s="1"/>
  <c r="AQ15" i="24"/>
  <c r="C21" i="24"/>
  <c r="C26" i="24" s="1"/>
  <c r="AQ24" i="24"/>
  <c r="C57" i="24"/>
  <c r="AQ58" i="24"/>
  <c r="Y8" i="24"/>
  <c r="AQ65" i="24"/>
  <c r="AB21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AO22" i="24"/>
  <c r="AO21" i="24" s="1"/>
  <c r="F26" i="24"/>
  <c r="F72" i="24" s="1"/>
  <c r="N26" i="24"/>
  <c r="N72" i="24" s="1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Y26" i="22"/>
  <c r="AN24" i="22"/>
  <c r="AN16" i="22"/>
  <c r="AQ26" i="24" l="1"/>
  <c r="X27" i="24"/>
  <c r="L28" i="24"/>
  <c r="AQ57" i="24"/>
  <c r="AB8" i="24"/>
  <c r="AB26" i="24"/>
  <c r="AB72" i="24" s="1"/>
  <c r="AQ7" i="24"/>
  <c r="AQ30" i="24"/>
  <c r="AQ29" i="24" s="1"/>
  <c r="C29" i="24"/>
  <c r="C72" i="24" s="1"/>
  <c r="AQ21" i="24"/>
  <c r="AS18" i="22"/>
  <c r="AS21" i="22" s="1"/>
  <c r="J12" i="48"/>
  <c r="U8" i="28"/>
  <c r="AQ28" i="24" l="1"/>
  <c r="AQ27" i="24" s="1"/>
  <c r="L27" i="24"/>
  <c r="X8" i="24"/>
  <c r="X72" i="24"/>
  <c r="O13" i="48"/>
  <c r="O12" i="48"/>
  <c r="O10" i="48"/>
  <c r="O9" i="48"/>
  <c r="O8" i="48"/>
  <c r="O7" i="48"/>
  <c r="O6" i="48"/>
  <c r="J5" i="48"/>
  <c r="AK24" i="22"/>
  <c r="AH24" i="22"/>
  <c r="L8" i="24" l="1"/>
  <c r="AQ8" i="24" s="1"/>
  <c r="L72" i="24"/>
  <c r="AQ72" i="24" s="1"/>
  <c r="K20" i="46"/>
  <c r="H16" i="46" l="1"/>
  <c r="G16" i="46" l="1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I25" i="22" s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18" i="43" l="1"/>
  <c r="A16" i="9" s="1"/>
  <c r="Z18" i="22"/>
  <c r="I18" i="22"/>
  <c r="A21" i="43"/>
  <c r="F22" i="22"/>
  <c r="AE116" i="27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N102" i="27"/>
  <c r="O102" i="27" s="1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N68" i="27"/>
  <c r="O68" i="27" s="1"/>
  <c r="N66" i="27"/>
  <c r="O66" i="27" s="1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BF32" i="45"/>
  <c r="BF33" i="45" s="1"/>
  <c r="I35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U28" i="27"/>
  <c r="I38" i="27"/>
  <c r="L29" i="27"/>
  <c r="T28" i="27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K18" i="46" s="1"/>
  <c r="U33" i="52"/>
  <c r="Z27" i="51"/>
  <c r="K11" i="46" s="1"/>
  <c r="U7" i="51"/>
  <c r="U7" i="52"/>
  <c r="Y11" i="22"/>
  <c r="J9" i="48" l="1"/>
  <c r="Y28" i="22"/>
  <c r="Z35" i="22"/>
  <c r="AK25" i="22"/>
  <c r="Z36" i="22"/>
  <c r="AL25" i="22"/>
  <c r="Z27" i="28"/>
  <c r="K6" i="46" s="1"/>
  <c r="Z27" i="52"/>
  <c r="K16" i="46" s="1"/>
  <c r="F29" i="22"/>
  <c r="Z53" i="51"/>
  <c r="K13" i="46" s="1"/>
  <c r="H29" i="22"/>
  <c r="H31" i="22"/>
  <c r="Y19" i="22"/>
  <c r="U19" i="52"/>
  <c r="U19" i="28"/>
  <c r="I29" i="22"/>
  <c r="J29" i="22"/>
  <c r="Y10" i="22"/>
  <c r="Y9" i="22"/>
  <c r="AC9" i="22" s="1"/>
  <c r="Z53" i="28"/>
  <c r="K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 l="1"/>
  <c r="Z34" i="22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<sst xmlns="http://schemas.openxmlformats.org/spreadsheetml/2006/main" count="68820" uniqueCount="1009">
  <si>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</si>
  <si>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</si>
  <si>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</si>
  <si>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</si>
  <si>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</si>
  <si>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</si>
  <si>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</si>
  <si>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</si>
  <si>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</si>
  <si>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</si>
  <si>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</si>
  <si>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</si>
  <si>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</si>
  <si>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</si>
  <si>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</si>
  <si>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</si>
  <si>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</si>
  <si>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</si>
  <si>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</si>
  <si>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</si>
  <si>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</si>
  <si>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</si>
  <si>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</si>
  <si>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</si>
  <si>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</si>
  <si>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</si>
  <si>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</si>
  <si>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</si>
  <si>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</si>
  <si>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</si>
  <si>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</si>
  <si>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</si>
  <si>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</si>
  <si>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</si>
  <si>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</si>
  <si>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</si>
  <si>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</si>
  <si>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</si>
  <si>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</si>
  <si>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</si>
  <si>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</si>
  <si>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</si>
  <si>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</si>
  <si>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</si>
  <si>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</si>
  <si>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</si>
  <si>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</si>
  <si>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</si>
  <si>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</si>
  <si>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</si>
  <si>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</si>
  <si>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</si>
  <si>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</si>
  <si>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</si>
  <si>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</si>
  <si>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</si>
  <si>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</si>
  <si>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</si>
  <si>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</si>
  <si>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</si>
  <si>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</si>
  <si>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</si>
  <si>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</si>
  <si>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</si>
  <si>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</si>
  <si>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</si>
  <si>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</si>
  <si>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</si>
  <si>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</si>
  <si>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</si>
  <si>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</si>
  <si>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</si>
  <si>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</si>
  <si>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</si>
  <si>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</si>
  <si>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</si>
  <si>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</si>
  <si>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</si>
  <si>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</si>
  <si>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</si>
  <si>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</si>
  <si>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</si>
  <si>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</si>
  <si>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</si>
  <si>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</si>
  <si>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</si>
  <si>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</si>
  <si>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</si>
  <si>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</si>
  <si>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</si>
  <si>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</si>
  <si>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</si>
  <si>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</si>
  <si>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</si>
  <si>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</si>
  <si>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</si>
  <si>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</si>
  <si>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</si>
  <si>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</si>
  <si>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</si>
  <si>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</si>
  <si>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</si>
  <si>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</si>
  <si>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</si>
  <si>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</si>
  <si>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</si>
  <si>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</si>
  <si>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</si>
  <si>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</si>
  <si>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</si>
  <si>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</si>
  <si>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</si>
  <si>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</si>
  <si>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</si>
  <si>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</si>
  <si>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</si>
  <si>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</si>
  <si>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</si>
  <si>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</si>
  <si>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</si>
  <si>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</si>
  <si>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</si>
  <si>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</si>
  <si>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</si>
  <si>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</si>
  <si>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</si>
  <si>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</si>
  <si>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</si>
  <si>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</si>
  <si>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</si>
  <si>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</si>
  <si>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</si>
  <si>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</si>
  <si>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</si>
  <si>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</si>
  <si>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</si>
  <si>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</si>
  <si>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</si>
  <si>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</si>
  <si>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</si>
  <si>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</si>
  <si>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</si>
  <si>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</si>
  <si>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</si>
  <si>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</si>
  <si>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</si>
  <si>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</si>
  <si>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</si>
  <si>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</si>
  <si>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</si>
  <si>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</si>
  <si>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</si>
  <si>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</si>
  <si>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</si>
  <si>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</si>
  <si>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</si>
  <si>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</si>
  <si>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</si>
  <si>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</si>
  <si>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</si>
  <si>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</si>
  <si>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</si>
  <si>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</si>
  <si>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</si>
  <si>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</si>
  <si>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</si>
  <si>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</si>
  <si>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</si>
  <si>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</si>
  <si>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</si>
  <si>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</si>
  <si>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</si>
  <si>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</si>
  <si>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</si>
  <si>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</si>
  <si>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</si>
  <si>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</si>
  <si>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</si>
  <si>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</si>
  <si>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</si>
  <si>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</si>
  <si>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</si>
  <si>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</si>
  <si>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</si>
  <si>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</si>
  <si>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</si>
  <si>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</si>
  <si>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</si>
  <si>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</si>
  <si>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</si>
  <si>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</si>
  <si>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</si>
  <si>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</si>
  <si>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</si>
  <si>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</si>
  <si>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</si>
  <si>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</si>
  <si>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</si>
  <si>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</si>
  <si>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</si>
  <si>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</si>
  <si>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</si>
  <si>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</si>
  <si>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</si>
  <si>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</si>
  <si>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</si>
  <si>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</si>
  <si>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</si>
  <si>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</si>
  <si>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</si>
  <si>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</si>
  <si>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</si>
  <si>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</si>
  <si>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</si>
  <si>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</si>
  <si>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</si>
  <si>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</si>
  <si>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</si>
  <si>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</si>
  <si>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</si>
  <si>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</si>
  <si>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</si>
  <si>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</si>
  <si>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</si>
  <si>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</si>
  <si>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</si>
  <si>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</si>
  <si>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</si>
  <si>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</si>
  <si>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</si>
  <si>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</si>
  <si>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</si>
  <si>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</si>
  <si>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</si>
  <si>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</si>
  <si>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</si>
  <si>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</si>
  <si>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</si>
  <si>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</si>
  <si>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</si>
  <si>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</si>
  <si>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</si>
  <si>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</si>
  <si>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</si>
  <si>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</si>
  <si>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</si>
  <si>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</si>
  <si>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</si>
  <si>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</si>
  <si>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</si>
  <si>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</si>
  <si>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</si>
  <si>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</si>
  <si>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</si>
  <si>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</si>
  <si>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</si>
  <si>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</si>
  <si>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</si>
  <si>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</si>
  <si>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</si>
  <si>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</si>
  <si>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</si>
  <si>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</si>
  <si>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</si>
  <si>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</si>
  <si>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</si>
  <si>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</si>
  <si>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</si>
  <si>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</si>
  <si>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</si>
  <si>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</si>
  <si>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</si>
  <si>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</si>
  <si>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</si>
  <si>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</si>
  <si>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</si>
  <si>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</si>
  <si>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</si>
  <si>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</si>
  <si>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</si>
  <si>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</si>
  <si>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</si>
  <si>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</si>
  <si>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</si>
  <si>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</si>
  <si>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</si>
  <si>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</si>
  <si>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</si>
  <si>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</si>
  <si>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</si>
  <si>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</si>
  <si>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</si>
  <si>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</si>
  <si>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</si>
  <si>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</si>
  <si>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</si>
  <si>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</si>
  <si>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</si>
  <si>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</si>
  <si>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</si>
  <si>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</si>
  <si>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</si>
  <si>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</si>
  <si>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</si>
  <si>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</si>
  <si>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</si>
  <si>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</si>
  <si>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</si>
  <si>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</si>
  <si>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</si>
  <si>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</si>
  <si>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</si>
  <si>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</si>
  <si>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</si>
  <si>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</si>
  <si>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</si>
  <si>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</si>
  <si>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</si>
  <si>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</si>
  <si>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</si>
  <si>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</si>
  <si>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</si>
  <si>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</si>
  <si>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</si>
  <si>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</si>
  <si>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</si>
  <si>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</si>
  <si>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</si>
  <si>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</si>
  <si>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</si>
  <si>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</si>
  <si>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</si>
  <si>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</si>
  <si>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</si>
  <si>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</si>
  <si>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</si>
  <si>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</si>
  <si>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</si>
  <si>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</si>
  <si>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</si>
  <si>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</si>
  <si>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</si>
  <si>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</si>
  <si>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</si>
  <si>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</si>
  <si>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</si>
  <si>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</si>
  <si>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</si>
  <si>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</si>
  <si>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</si>
  <si>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</si>
  <si>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</si>
  <si>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</si>
  <si>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</si>
  <si>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</si>
  <si>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</si>
  <si>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</si>
  <si>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</si>
  <si>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</si>
  <si>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</si>
  <si>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</si>
  <si>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</si>
  <si>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</si>
  <si>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</si>
  <si>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</si>
  <si>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</si>
  <si>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</si>
  <si>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</si>
  <si>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</si>
  <si>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</si>
  <si>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</si>
  <si>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</si>
  <si>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</si>
  <si>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</si>
  <si>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</si>
  <si>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</si>
  <si>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</si>
  <si>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</si>
  <si>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</si>
  <si>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</si>
  <si>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</si>
  <si>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</si>
  <si>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</si>
  <si>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</si>
  <si>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</si>
  <si>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</si>
  <si>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</si>
  <si>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</si>
  <si>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</si>
  <si>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</si>
  <si>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</si>
  <si>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</si>
  <si>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</si>
  <si>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</si>
  <si>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</si>
  <si>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</si>
  <si>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</si>
  <si>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</si>
  <si>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</si>
  <si>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</si>
  <si>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</si>
  <si>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</si>
  <si>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</si>
  <si>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</si>
  <si>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</si>
  <si>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</si>
  <si>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</si>
  <si>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</si>
  <si>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</si>
  <si>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</si>
  <si>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</si>
  <si>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</si>
  <si>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</si>
  <si>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</si>
  <si>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</si>
  <si>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</si>
  <si>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</si>
  <si>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</si>
  <si>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</si>
  <si>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</si>
  <si>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</si>
  <si>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</si>
  <si>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</si>
  <si>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</si>
  <si>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</si>
  <si>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</si>
  <si>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</si>
  <si>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</si>
  <si>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</si>
  <si>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</si>
  <si>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</si>
  <si>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</si>
  <si>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</si>
  <si>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</si>
  <si>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</si>
  <si>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</si>
  <si>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</si>
  <si>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</si>
  <si>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</si>
  <si>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</si>
  <si>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</si>
  <si>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</si>
  <si>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</si>
  <si>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</si>
  <si>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</si>
  <si>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</si>
  <si>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</si>
  <si>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</si>
  <si>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</si>
  <si>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</si>
  <si>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</si>
  <si>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</si>
  <si>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</si>
  <si>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</si>
  <si>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</si>
  <si>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</si>
  <si>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</si>
  <si>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</si>
  <si>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</si>
  <si>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</si>
  <si>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</si>
  <si>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</si>
  <si>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</si>
  <si>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</si>
  <si>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</si>
  <si>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</si>
  <si>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</si>
  <si>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</si>
  <si>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</si>
  <si>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</si>
  <si>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</si>
  <si>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</si>
  <si>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</si>
  <si>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</si>
  <si>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</si>
  <si>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</si>
  <si>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</si>
  <si>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</si>
  <si>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</si>
  <si>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</si>
  <si>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</si>
  <si>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</si>
  <si>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</si>
  <si>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</si>
  <si>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</si>
  <si>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</si>
  <si>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</si>
  <si>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</si>
  <si>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</si>
  <si>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</si>
  <si>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</si>
  <si>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</si>
  <si>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</si>
  <si>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</si>
  <si>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</si>
  <si>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</si>
  <si>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</si>
  <si>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</si>
  <si>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</si>
  <si>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</si>
  <si>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</si>
  <si>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</si>
  <si>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</si>
  <si>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</si>
  <si>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</si>
  <si>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</si>
  <si>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</si>
  <si>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</si>
  <si>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</si>
  <si>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</si>
  <si>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</si>
  <si>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</si>
  <si>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</si>
  <si>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</si>
  <si>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</si>
  <si>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</si>
  <si>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</si>
  <si>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</si>
  <si>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</si>
  <si>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</si>
  <si>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</si>
  <si>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</si>
  <si>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</si>
  <si>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</si>
  <si>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</si>
  <si>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</si>
  <si>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</si>
  <si>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</si>
  <si>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</si>
  <si>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</si>
  <si>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</si>
  <si>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</si>
  <si>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</si>
  <si>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</si>
  <si>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</si>
  <si>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</si>
  <si>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</si>
  <si>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</si>
  <si>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</si>
  <si>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</si>
  <si>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</si>
  <si>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</si>
  <si>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</si>
  <si>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</si>
  <si>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</si>
  <si>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</si>
  <si>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</si>
  <si>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</si>
  <si>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</si>
  <si>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</si>
  <si>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</si>
  <si>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</si>
  <si>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</si>
  <si>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</si>
  <si>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</si>
  <si>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</si>
  <si>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</si>
  <si>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</si>
  <si>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</si>
  <si>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</si>
  <si>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</si>
  <si>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</si>
  <si>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</si>
  <si>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</si>
  <si>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</si>
  <si>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</si>
  <si>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</si>
  <si>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</si>
  <si>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</si>
  <si>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</si>
  <si>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</si>
  <si>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</si>
  <si>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</si>
  <si>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</si>
  <si>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</si>
  <si>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</si>
  <si>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</si>
  <si>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</si>
  <si>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</si>
  <si>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</si>
  <si>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</si>
  <si>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</si>
  <si>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</si>
  <si>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</si>
  <si>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</si>
  <si>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</si>
  <si>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</si>
  <si>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</si>
  <si>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</si>
  <si>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</si>
  <si>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</si>
  <si>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</si>
  <si>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</si>
  <si>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</si>
  <si>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</si>
  <si>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</si>
  <si>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</si>
  <si>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</si>
  <si>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</si>
  <si>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</si>
  <si>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</si>
  <si>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</si>
  <si>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</si>
  <si>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</si>
  <si>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</si>
  <si>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</si>
  <si>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</si>
  <si>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</si>
  <si>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</si>
  <si>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</si>
  <si>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</si>
  <si>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</si>
  <si>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</si>
  <si>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</si>
  <si>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</si>
  <si>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</si>
  <si>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</si>
  <si>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</si>
  <si>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</si>
  <si>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</si>
  <si>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</si>
  <si>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</si>
  <si>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</si>
  <si>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</si>
  <si>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</si>
  <si>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</si>
  <si>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</si>
  <si>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</si>
  <si>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</si>
  <si>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</si>
  <si>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</si>
  <si>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</si>
  <si>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</si>
  <si>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</si>
  <si>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</si>
  <si>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</si>
  <si>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</si>
  <si>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</si>
  <si>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</si>
  <si>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</si>
  <si>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</si>
  <si>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</si>
  <si>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</si>
  <si>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</si>
  <si>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</si>
  <si>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</si>
  <si>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</si>
  <si>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</si>
  <si>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</si>
  <si>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</si>
  <si>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</si>
  <si>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</si>
  <si>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</si>
  <si>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</si>
  <si>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</si>
  <si>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</si>
  <si>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</si>
  <si>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</si>
  <si>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</si>
  <si>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</si>
  <si>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</si>
  <si>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</si>
  <si>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</si>
  <si>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</si>
  <si>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</si>
  <si>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</si>
  <si>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</si>
  <si>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</si>
  <si>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</si>
  <si>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</si>
  <si>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</si>
  <si>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</si>
  <si>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</si>
  <si>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</si>
  <si>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</si>
  <si>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</si>
  <si>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</si>
  <si>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</si>
  <si>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</si>
  <si>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</si>
  <si>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</si>
  <si>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</si>
  <si>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</si>
  <si>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</si>
  <si>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</si>
  <si>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</si>
  <si>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</si>
  <si>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</si>
  <si>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</si>
  <si>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</si>
  <si>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</si>
  <si>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</si>
  <si>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</si>
  <si>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</si>
  <si>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</si>
  <si>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</si>
  <si>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</si>
  <si>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</si>
  <si>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</si>
  <si>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</si>
  <si>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</si>
  <si>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</si>
  <si>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</si>
  <si>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</si>
  <si>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</si>
  <si>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</si>
  <si>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</si>
  <si>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</si>
  <si>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</si>
  <si>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</si>
  <si>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</si>
  <si>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</si>
  <si>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</si>
  <si>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</si>
  <si>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</si>
  <si>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</si>
  <si>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</si>
  <si>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</si>
  <si>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</si>
  <si>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</si>
  <si>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</si>
  <si>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</si>
  <si>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</si>
  <si>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</si>
  <si>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</si>
  <si>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</si>
  <si>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</si>
  <si>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</si>
  <si>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</si>
  <si>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</si>
  <si>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</si>
  <si>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</si>
  <si>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</si>
  <si>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</si>
  <si>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</si>
  <si>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</si>
  <si>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</si>
  <si>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</si>
  <si>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</si>
  <si>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</si>
  <si>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</si>
  <si>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</si>
  <si>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</si>
  <si>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</si>
  <si>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</si>
  <si>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</si>
  <si>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</si>
  <si>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</si>
  <si>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</si>
  <si>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</si>
  <si>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</si>
  <si>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</si>
  <si>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</si>
  <si>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</si>
  <si>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</si>
  <si>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</si>
  <si>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</si>
  <si>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</si>
  <si>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</si>
  <si>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</si>
  <si>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</si>
  <si>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</si>
  <si>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</si>
  <si>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</si>
  <si>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</si>
  <si>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</si>
  <si>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</si>
  <si>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</si>
  <si>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</si>
  <si>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</si>
  <si>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</si>
  <si>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</si>
  <si>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</si>
  <si>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</si>
  <si>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</si>
  <si>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</si>
  <si>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</si>
  <si>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</si>
  <si>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</si>
  <si>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</si>
  <si>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</si>
  <si>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</si>
  <si>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</si>
  <si>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</si>
  <si>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</si>
  <si>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</si>
  <si>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</si>
  <si>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</si>
  <si>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</si>
  <si>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</si>
  <si>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</si>
  <si>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</si>
  <si>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</si>
  <si>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</si>
  <si>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</si>
  <si>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</si>
  <si>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</si>
  <si>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</si>
  <si>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</si>
  <si>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</si>
  <si>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</si>
  <si>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</si>
  <si>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</si>
  <si>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</si>
  <si>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</si>
  <si>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</si>
  <si>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</si>
  <si>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</si>
  <si>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</si>
  <si>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</si>
  <si>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</si>
  <si>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</si>
  <si>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</si>
  <si>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</si>
  <si>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</si>
  <si>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</si>
  <si>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</si>
  <si>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</si>
  <si>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</si>
  <si>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</si>
  <si>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</si>
  <si>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</si>
  <si>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</si>
  <si>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</si>
  <si>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</si>
  <si>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</si>
  <si>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</si>
  <si>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</si>
  <si>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</si>
  <si>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</si>
  <si>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</si>
  <si>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</si>
  <si>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</si>
  <si>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</si>
  <si>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</si>
  <si>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</si>
  <si>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</si>
  <si>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</si>
  <si>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</si>
  <si>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</si>
  <si>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</si>
  <si>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</si>
  <si>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</si>
  <si>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</si>
  <si>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</si>
  <si>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</si>
  <si>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</si>
  <si>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</si>
  <si>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</si>
  <si>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</si>
  <si>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</si>
  <si>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</si>
  <si>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</si>
  <si>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</si>
  <si>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</si>
  <si>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</si>
  <si>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</si>
  <si>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</si>
  <si>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</si>
  <si>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</si>
  <si>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</si>
  <si>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</si>
  <si>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</si>
  <si>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</si>
  <si>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</si>
  <si>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</si>
  <si>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</si>
  <si>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</si>
  <si>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</si>
  <si>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</si>
  <si>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</si>
  <si>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</si>
  <si>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</si>
  <si>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</si>
  <si>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</si>
  <si>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</si>
  <si>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</si>
  <si>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</si>
  <si>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</si>
  <si>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</si>
  <si>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</si>
  <si>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</si>
  <si>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</si>
  <si>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</si>
  <si>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</si>
  <si>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</si>
  <si>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</si>
  <si>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</si>
  <si>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</si>
  <si>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</si>
  <si>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</si>
  <si>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</si>
  <si>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</si>
  <si>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</si>
  <si>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</si>
  <si>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</si>
  <si>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</si>
  <si>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</si>
  <si>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</si>
  <si>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</si>
  <si>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</si>
  <si>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</si>
  <si>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</si>
  <si>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</si>
  <si>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</si>
  <si>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</si>
  <si>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</si>
  <si>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</si>
  <si>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</si>
  <si>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</si>
  <si>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</si>
  <si>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</si>
  <si>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</si>
  <si>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</si>
  <si>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</si>
  <si>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</si>
  <si>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</si>
  <si>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</si>
  <si>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</si>
  <si>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</si>
  <si>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</si>
  <si>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</si>
  <si>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</si>
  <si>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</si>
  <si>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</si>
  <si>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</si>
  <si>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</si>
  <si>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</si>
  <si>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</si>
  <si>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</si>
  <si>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</si>
  <si>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</si>
  <si>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</si>
  <si>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</si>
  <si>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</si>
  <si>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</si>
  <si>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</si>
  <si>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</si>
  <si>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</si>
  <si>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</si>
  <si>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</si>
  <si>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</si>
  <si>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</si>
  <si>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</si>
  <si>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</si>
  <si>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</si>
  <si>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</si>
  <si>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</si>
  <si>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</si>
  <si>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</si>
  <si>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</si>
  <si>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</si>
  <si>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</si>
  <si>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</si>
  <si>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</si>
  <si>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</si>
  <si>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</si>
  <si>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</si>
  <si>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</si>
  <si>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</si>
  <si>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PWRHTH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</si>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</sst>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-* #,##0.00_-;\-* #,##0.00_-;_-* &quot;-&quot;??_-;_-@_-"/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0"/>
    <numFmt numFmtId="173" formatCode="#,##0.00000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</font>
    <font>
      <sz val="10"/>
      <name val="MS Sans Serif"/>
      <family val="2"/>
    </font>
    <font>
      <sz val="10"/>
      <name val="Myriad Pro"/>
    </font>
    <font>
      <b/>
      <sz val="10"/>
      <name val="Myriad Pro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7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43" fontId="97" fillId="0" borderId="0" applyFont="0" applyFill="0" applyBorder="0" applyAlignment="0" applyProtection="0"/>
    <xf numFmtId="0" fontId="98" fillId="0" borderId="0"/>
    <xf numFmtId="0" fontId="28" fillId="0" borderId="0"/>
  </cellStyleXfs>
  <cellXfs count="1077">
    <xf numFmtId="0" fontId="0" fillId="0" borderId="0" xfId="0"/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0" xfId="0" applyNumberFormat="1" applyFont="1" applyFill="1"/>
    <xf numFmtId="38" fontId="33" fillId="6" borderId="0" xfId="0" applyNumberFormat="1" applyFont="1" applyFill="1"/>
    <xf numFmtId="38" fontId="34" fillId="6" borderId="0" xfId="0" applyNumberFormat="1" applyFont="1" applyFill="1"/>
    <xf numFmtId="38" fontId="31" fillId="0" borderId="0" xfId="0" applyNumberFormat="1" applyFont="1" applyFill="1"/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0" xfId="0" applyNumberFormat="1" applyFont="1"/>
    <xf numFmtId="38" fontId="0" fillId="0" borderId="0" xfId="0" applyNumberFormat="1"/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38" fontId="0" fillId="9" borderId="0" xfId="0" applyNumberForma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29" fillId="21" borderId="0" xfId="0" applyNumberFormat="1" applyFont="1" applyFill="1" applyAlignment="1">
      <alignment horizontal="left"/>
    </xf>
    <xf numFmtId="38" fontId="29" fillId="0" borderId="0" xfId="0" applyNumberFormat="1" applyFont="1"/>
    <xf numFmtId="38" fontId="29" fillId="22" borderId="0" xfId="0" applyNumberFormat="1" applyFont="1" applyFill="1" applyAlignment="1">
      <alignment horizontal="left"/>
    </xf>
    <xf numFmtId="38" fontId="31" fillId="25" borderId="0" xfId="0" applyNumberFormat="1" applyFont="1" applyFill="1"/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7" xfId="0" applyFont="1" applyBorder="1"/>
    <xf numFmtId="0" fontId="24" fillId="0" borderId="151" xfId="0" applyFont="1" applyBorder="1" applyAlignment="1">
      <alignment horizontal="right"/>
    </xf>
    <xf numFmtId="0" fontId="24" fillId="0" borderId="158" xfId="0" applyFont="1" applyBorder="1" applyAlignment="1">
      <alignment horizontal="right"/>
    </xf>
    <xf numFmtId="0" fontId="24" fillId="0" borderId="155" xfId="0" applyFont="1" applyBorder="1" applyAlignment="1">
      <alignment horizontal="right" vertical="top"/>
    </xf>
    <xf numFmtId="0" fontId="24" fillId="0" borderId="25" xfId="0" applyFont="1" applyBorder="1"/>
    <xf numFmtId="0" fontId="24" fillId="0" borderId="153" xfId="0" applyFont="1" applyBorder="1"/>
    <xf numFmtId="0" fontId="35" fillId="25" borderId="142" xfId="0" applyFont="1" applyFill="1" applyBorder="1"/>
    <xf numFmtId="0" fontId="65" fillId="27" borderId="152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35" fillId="25" borderId="154" xfId="0" applyFont="1" applyFill="1" applyBorder="1" applyAlignment="1">
      <alignment horizontal="center"/>
    </xf>
    <xf numFmtId="0" fontId="35" fillId="25" borderId="155" xfId="0" applyFont="1" applyFill="1" applyBorder="1" applyAlignment="1">
      <alignment horizontal="center"/>
    </xf>
    <xf numFmtId="0" fontId="35" fillId="25" borderId="154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59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1" fontId="0" fillId="0" borderId="95" xfId="0" applyNumberFormat="1" applyFill="1" applyBorder="1"/>
    <xf numFmtId="0" fontId="24" fillId="0" borderId="151" xfId="0" applyFont="1" applyBorder="1" applyAlignment="1">
      <alignment horizontal="right" vertical="top"/>
    </xf>
    <xf numFmtId="3" fontId="24" fillId="25" borderId="160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1" xfId="0" applyNumberFormat="1" applyFont="1" applyFill="1" applyBorder="1"/>
    <xf numFmtId="3" fontId="24" fillId="25" borderId="108" xfId="0" applyNumberFormat="1" applyFont="1" applyFill="1" applyBorder="1"/>
    <xf numFmtId="3" fontId="36" fillId="25" borderId="151" xfId="0" applyNumberFormat="1" applyFont="1" applyFill="1" applyBorder="1"/>
    <xf numFmtId="171" fontId="36" fillId="25" borderId="151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5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5" xfId="0" applyFont="1" applyBorder="1" applyAlignment="1">
      <alignment horizontal="right" vertical="top"/>
    </xf>
    <xf numFmtId="0" fontId="63" fillId="27" borderId="155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5" xfId="0" applyFont="1" applyFill="1" applyBorder="1" applyAlignment="1">
      <alignment horizontal="right"/>
    </xf>
    <xf numFmtId="0" fontId="65" fillId="0" borderId="155" xfId="0" applyFont="1" applyBorder="1" applyAlignment="1">
      <alignment horizontal="right" vertical="top"/>
    </xf>
    <xf numFmtId="0" fontId="65" fillId="27" borderId="155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5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1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1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1" xfId="0" applyFont="1" applyBorder="1" applyAlignment="1">
      <alignment horizontal="center"/>
    </xf>
    <xf numFmtId="0" fontId="36" fillId="25" borderId="0" xfId="0" applyFont="1" applyFill="1"/>
    <xf numFmtId="167" fontId="65" fillId="0" borderId="161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2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1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3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1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3" xfId="0" quotePrefix="1" applyFont="1" applyFill="1" applyBorder="1" applyAlignment="1">
      <alignment horizontal="center"/>
    </xf>
    <xf numFmtId="0" fontId="20" fillId="29" borderId="165" xfId="0" applyNumberFormat="1" applyFont="1" applyFill="1" applyBorder="1" applyAlignment="1"/>
    <xf numFmtId="0" fontId="20" fillId="27" borderId="165" xfId="0" applyNumberFormat="1" applyFont="1" applyFill="1" applyBorder="1" applyAlignment="1"/>
    <xf numFmtId="3" fontId="20" fillId="27" borderId="165" xfId="0" applyNumberFormat="1" applyFont="1" applyFill="1" applyBorder="1" applyAlignment="1"/>
    <xf numFmtId="3" fontId="20" fillId="29" borderId="165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6" xfId="0" applyNumberFormat="1" applyFont="1" applyBorder="1" applyAlignment="1"/>
    <xf numFmtId="0" fontId="53" fillId="34" borderId="166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6" xfId="0" applyNumberFormat="1" applyFont="1" applyBorder="1" applyAlignment="1"/>
    <xf numFmtId="2" fontId="53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5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5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5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3" xfId="0" quotePrefix="1" applyFont="1" applyFill="1" applyBorder="1" applyAlignment="1">
      <alignment horizontal="center" wrapText="1"/>
    </xf>
    <xf numFmtId="0" fontId="68" fillId="26" borderId="164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5" xfId="0" applyNumberFormat="1" applyFont="1" applyFill="1" applyBorder="1" applyAlignment="1"/>
    <xf numFmtId="0" fontId="19" fillId="27" borderId="165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2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2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1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2" xfId="0" applyFont="1" applyFill="1" applyBorder="1"/>
    <xf numFmtId="4" fontId="23" fillId="0" borderId="172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2" fontId="20" fillId="17" borderId="118" xfId="0" applyNumberFormat="1" applyFont="1" applyFill="1" applyBorder="1" applyAlignment="1">
      <alignment vertical="center"/>
    </xf>
    <xf numFmtId="172" fontId="20" fillId="33" borderId="1" xfId="0" quotePrefix="1" applyNumberFormat="1" applyFont="1" applyFill="1" applyBorder="1" applyAlignment="1">
      <alignment horizontal="right" vertical="top"/>
    </xf>
    <xf numFmtId="172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2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2" fontId="35" fillId="31" borderId="159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0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3" xfId="0" applyNumberFormat="1" applyFont="1" applyBorder="1" applyAlignment="1"/>
    <xf numFmtId="2" fontId="53" fillId="0" borderId="173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5" xfId="0" applyNumberFormat="1" applyFont="1" applyBorder="1" applyAlignment="1">
      <alignment horizontal="left"/>
    </xf>
    <xf numFmtId="0" fontId="40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5" xfId="0" applyNumberFormat="1" applyFont="1" applyFill="1" applyBorder="1" applyAlignment="1">
      <alignment horizontal="left"/>
    </xf>
    <xf numFmtId="166" fontId="53" fillId="0" borderId="155" xfId="0" applyNumberFormat="1" applyFont="1" applyBorder="1" applyAlignment="1">
      <alignment horizontal="left"/>
    </xf>
    <xf numFmtId="165" fontId="47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68" xfId="0" applyNumberFormat="1" applyFont="1" applyBorder="1" applyAlignment="1">
      <alignment horizontal="left"/>
    </xf>
    <xf numFmtId="2" fontId="40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68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5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68" xfId="0" applyNumberFormat="1" applyFont="1" applyFill="1" applyBorder="1" applyAlignment="1">
      <alignment horizontal="left"/>
    </xf>
    <xf numFmtId="2" fontId="53" fillId="24" borderId="155" xfId="0" applyNumberFormat="1" applyFont="1" applyFill="1" applyBorder="1" applyAlignment="1">
      <alignment horizontal="left"/>
    </xf>
    <xf numFmtId="2" fontId="40" fillId="24" borderId="158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4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5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4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5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5" xfId="0" applyNumberFormat="1" applyFont="1" applyFill="1" applyBorder="1" applyAlignment="1">
      <alignment vertical="center"/>
    </xf>
    <xf numFmtId="0" fontId="89" fillId="20" borderId="155" xfId="0" applyFont="1" applyFill="1" applyBorder="1" applyAlignment="1">
      <alignment vertical="center"/>
    </xf>
    <xf numFmtId="0" fontId="89" fillId="25" borderId="155" xfId="0" applyFont="1" applyFill="1" applyBorder="1" applyAlignment="1">
      <alignment vertical="center"/>
    </xf>
    <xf numFmtId="0" fontId="23" fillId="5" borderId="155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7" xfId="0" applyFont="1" applyBorder="1" applyAlignment="1">
      <alignment vertical="center"/>
    </xf>
    <xf numFmtId="0" fontId="63" fillId="0" borderId="168" xfId="0" applyFont="1" applyBorder="1" applyAlignment="1">
      <alignment vertical="center"/>
    </xf>
    <xf numFmtId="0" fontId="63" fillId="0" borderId="169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6" xfId="6" applyNumberFormat="1" applyFont="1" applyFill="1" applyBorder="1" applyAlignment="1">
      <alignment horizontal="left" vertical="center"/>
    </xf>
    <xf numFmtId="49" fontId="95" fillId="44" borderId="176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6" xfId="12" applyNumberFormat="1" applyFont="1" applyFill="1" applyBorder="1" applyAlignment="1">
      <alignment horizontal="left" vertical="center"/>
    </xf>
    <xf numFmtId="0" fontId="95" fillId="46" borderId="176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6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2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172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2" fontId="69" fillId="12" borderId="0" xfId="0" applyNumberFormat="1" applyFont="1" applyFill="1" applyBorder="1" applyAlignment="1">
      <alignment vertical="center"/>
    </xf>
    <xf numFmtId="172" fontId="69" fillId="6" borderId="0" xfId="0" applyNumberFormat="1" applyFont="1" applyFill="1" applyBorder="1" applyAlignment="1">
      <alignment vertical="center"/>
    </xf>
    <xf numFmtId="172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38" fontId="30" fillId="0" borderId="0" xfId="15" applyNumberFormat="1" applyFont="1" applyAlignment="1">
      <alignment horizontal="left" wrapText="1"/>
    </xf>
    <xf numFmtId="38" fontId="31" fillId="0" borderId="20" xfId="15" applyNumberFormat="1" applyFont="1" applyBorder="1" applyAlignment="1">
      <alignment horizontal="center" wrapText="1"/>
    </xf>
    <xf numFmtId="38" fontId="31" fillId="0" borderId="26" xfId="15" applyNumberFormat="1" applyFont="1" applyBorder="1" applyAlignment="1">
      <alignment horizontal="center" textRotation="90" wrapText="1"/>
    </xf>
    <xf numFmtId="38" fontId="29" fillId="0" borderId="27" xfId="15" applyNumberFormat="1" applyFont="1" applyBorder="1" applyAlignment="1">
      <alignment horizontal="left"/>
    </xf>
    <xf numFmtId="38" fontId="31" fillId="0" borderId="28" xfId="15" applyNumberFormat="1" applyFont="1" applyBorder="1" applyAlignment="1">
      <alignment horizontal="center"/>
    </xf>
    <xf numFmtId="38" fontId="31" fillId="0" borderId="29" xfId="15" applyNumberFormat="1" applyFont="1" applyBorder="1" applyAlignment="1">
      <alignment horizontal="center"/>
    </xf>
    <xf numFmtId="38" fontId="31" fillId="0" borderId="30" xfId="15" applyNumberFormat="1" applyFont="1" applyBorder="1" applyAlignment="1">
      <alignment horizontal="center"/>
    </xf>
    <xf numFmtId="38" fontId="31" fillId="0" borderId="31" xfId="15" applyNumberFormat="1" applyFont="1" applyBorder="1" applyAlignment="1">
      <alignment horizontal="center"/>
    </xf>
    <xf numFmtId="38" fontId="29" fillId="0" borderId="32" xfId="15" applyNumberFormat="1" applyFont="1" applyBorder="1" applyAlignment="1">
      <alignment horizontal="center"/>
    </xf>
    <xf numFmtId="38" fontId="31" fillId="0" borderId="33" xfId="15" applyNumberFormat="1" applyFont="1" applyBorder="1" applyAlignment="1">
      <alignment horizontal="center"/>
    </xf>
    <xf numFmtId="38" fontId="29" fillId="0" borderId="30" xfId="15" applyNumberFormat="1" applyFont="1" applyBorder="1" applyAlignment="1">
      <alignment horizontal="center"/>
    </xf>
    <xf numFmtId="38" fontId="29" fillId="0" borderId="31" xfId="15" applyNumberFormat="1" applyFont="1" applyBorder="1" applyAlignment="1">
      <alignment horizontal="center"/>
    </xf>
    <xf numFmtId="38" fontId="29" fillId="0" borderId="57" xfId="15" applyNumberFormat="1" applyFont="1" applyBorder="1" applyAlignment="1">
      <alignment horizontal="center"/>
    </xf>
    <xf numFmtId="38" fontId="29" fillId="0" borderId="34" xfId="15" applyNumberFormat="1" applyFont="1" applyBorder="1" applyAlignment="1">
      <alignment horizontal="center"/>
    </xf>
    <xf numFmtId="38" fontId="31" fillId="0" borderId="27" xfId="15" applyNumberFormat="1" applyFont="1" applyBorder="1" applyAlignment="1">
      <alignment horizontal="center"/>
    </xf>
    <xf numFmtId="38" fontId="29" fillId="0" borderId="35" xfId="15" applyNumberFormat="1" applyFont="1" applyBorder="1" applyAlignment="1">
      <alignment horizontal="center"/>
    </xf>
    <xf numFmtId="38" fontId="29" fillId="0" borderId="33" xfId="15" applyNumberFormat="1" applyFont="1" applyBorder="1" applyAlignment="1">
      <alignment horizontal="center"/>
    </xf>
    <xf numFmtId="38" fontId="29" fillId="0" borderId="36" xfId="15" applyNumberFormat="1" applyFont="1" applyBorder="1" applyAlignment="1">
      <alignment horizontal="center"/>
    </xf>
    <xf numFmtId="38" fontId="29" fillId="0" borderId="37" xfId="15" applyNumberFormat="1" applyFont="1" applyBorder="1" applyAlignment="1">
      <alignment horizontal="left"/>
    </xf>
    <xf numFmtId="38" fontId="31" fillId="0" borderId="38" xfId="15" applyNumberFormat="1" applyFont="1" applyBorder="1" applyAlignment="1">
      <alignment horizontal="center"/>
    </xf>
    <xf numFmtId="38" fontId="31" fillId="0" borderId="39" xfId="15" applyNumberFormat="1" applyFont="1" applyBorder="1" applyAlignment="1">
      <alignment horizontal="center"/>
    </xf>
    <xf numFmtId="38" fontId="31" fillId="0" borderId="40" xfId="15" applyNumberFormat="1" applyFont="1" applyBorder="1" applyAlignment="1">
      <alignment horizontal="center"/>
    </xf>
    <xf numFmtId="38" fontId="31" fillId="0" borderId="41" xfId="15" applyNumberFormat="1" applyFont="1" applyBorder="1" applyAlignment="1">
      <alignment horizontal="center"/>
    </xf>
    <xf numFmtId="38" fontId="29" fillId="0" borderId="41" xfId="15" applyNumberFormat="1" applyFont="1" applyBorder="1" applyAlignment="1">
      <alignment horizontal="center"/>
    </xf>
    <xf numFmtId="38" fontId="31" fillId="0" borderId="42" xfId="15" applyNumberFormat="1" applyFont="1" applyBorder="1" applyAlignment="1">
      <alignment horizontal="center"/>
    </xf>
    <xf numFmtId="38" fontId="29" fillId="0" borderId="40" xfId="15" applyNumberFormat="1" applyFont="1" applyBorder="1" applyAlignment="1">
      <alignment horizontal="center"/>
    </xf>
    <xf numFmtId="38" fontId="29" fillId="0" borderId="43" xfId="15" applyNumberFormat="1" applyFont="1" applyBorder="1" applyAlignment="1">
      <alignment horizontal="center"/>
    </xf>
    <xf numFmtId="38" fontId="31" fillId="0" borderId="37" xfId="15" applyNumberFormat="1" applyFont="1" applyBorder="1" applyAlignment="1">
      <alignment horizontal="center"/>
    </xf>
    <xf numFmtId="38" fontId="29" fillId="0" borderId="44" xfId="15" applyNumberFormat="1" applyFont="1" applyBorder="1" applyAlignment="1">
      <alignment horizontal="center"/>
    </xf>
    <xf numFmtId="38" fontId="29" fillId="0" borderId="42" xfId="15" applyNumberFormat="1" applyFont="1" applyBorder="1" applyAlignment="1">
      <alignment horizontal="center"/>
    </xf>
    <xf numFmtId="38" fontId="29" fillId="0" borderId="45" xfId="15" applyNumberFormat="1" applyFont="1" applyBorder="1" applyAlignment="1">
      <alignment horizontal="center"/>
    </xf>
    <xf numFmtId="38" fontId="31" fillId="0" borderId="43" xfId="15" applyNumberFormat="1" applyFont="1" applyBorder="1" applyAlignment="1">
      <alignment horizontal="center"/>
    </xf>
    <xf numFmtId="38" fontId="29" fillId="0" borderId="46" xfId="15" applyNumberFormat="1" applyFont="1" applyBorder="1" applyAlignment="1">
      <alignment horizontal="left"/>
    </xf>
    <xf numFmtId="38" fontId="31" fillId="0" borderId="47" xfId="15" applyNumberFormat="1" applyFont="1" applyBorder="1" applyAlignment="1">
      <alignment horizontal="center"/>
    </xf>
    <xf numFmtId="38" fontId="31" fillId="0" borderId="48" xfId="15" applyNumberFormat="1" applyFont="1" applyBorder="1" applyAlignment="1">
      <alignment horizontal="center"/>
    </xf>
    <xf numFmtId="38" fontId="29" fillId="0" borderId="49" xfId="15" applyNumberFormat="1" applyFont="1" applyBorder="1" applyAlignment="1">
      <alignment horizontal="center"/>
    </xf>
    <xf numFmtId="38" fontId="31" fillId="0" borderId="50" xfId="15" applyNumberFormat="1" applyFont="1" applyBorder="1" applyAlignment="1">
      <alignment horizontal="center"/>
    </xf>
    <xf numFmtId="38" fontId="29" fillId="0" borderId="48" xfId="15" applyNumberFormat="1" applyFont="1" applyBorder="1" applyAlignment="1">
      <alignment horizontal="center"/>
    </xf>
    <xf numFmtId="38" fontId="31" fillId="0" borderId="46" xfId="15" applyNumberFormat="1" applyFont="1" applyBorder="1" applyAlignment="1">
      <alignment horizontal="center"/>
    </xf>
    <xf numFmtId="38" fontId="29" fillId="0" borderId="51" xfId="15" applyNumberFormat="1" applyFont="1" applyBorder="1" applyAlignment="1">
      <alignment horizontal="center"/>
    </xf>
    <xf numFmtId="38" fontId="29" fillId="0" borderId="52" xfId="15" applyNumberFormat="1" applyFont="1" applyBorder="1" applyAlignment="1">
      <alignment horizontal="center"/>
    </xf>
    <xf numFmtId="38" fontId="29" fillId="0" borderId="50" xfId="15" applyNumberFormat="1" applyFont="1" applyBorder="1" applyAlignment="1">
      <alignment horizontal="center"/>
    </xf>
    <xf numFmtId="38" fontId="29" fillId="0" borderId="53" xfId="15" applyNumberFormat="1" applyFont="1" applyBorder="1" applyAlignment="1">
      <alignment horizontal="center"/>
    </xf>
    <xf numFmtId="38" fontId="31" fillId="0" borderId="18" xfId="15" applyNumberFormat="1" applyFont="1" applyBorder="1" applyAlignment="1">
      <alignment horizontal="left"/>
    </xf>
    <xf numFmtId="38" fontId="31" fillId="0" borderId="54" xfId="15" applyNumberFormat="1" applyFont="1" applyBorder="1" applyAlignment="1">
      <alignment horizontal="center"/>
    </xf>
    <xf numFmtId="38" fontId="31" fillId="0" borderId="55" xfId="15" applyNumberFormat="1" applyFont="1" applyBorder="1" applyAlignment="1">
      <alignment horizontal="center"/>
    </xf>
    <xf numFmtId="38" fontId="31" fillId="0" borderId="18" xfId="15" applyNumberFormat="1" applyFont="1" applyBorder="1" applyAlignment="1">
      <alignment horizontal="center"/>
    </xf>
    <xf numFmtId="38" fontId="31" fillId="0" borderId="34" xfId="15" applyNumberFormat="1" applyFont="1" applyBorder="1" applyAlignment="1">
      <alignment horizontal="center"/>
    </xf>
    <xf numFmtId="38" fontId="31" fillId="0" borderId="56" xfId="15" applyNumberFormat="1" applyFont="1" applyBorder="1" applyAlignment="1">
      <alignment horizontal="center"/>
    </xf>
    <xf numFmtId="38" fontId="31" fillId="0" borderId="57" xfId="15" applyNumberFormat="1" applyFont="1" applyBorder="1" applyAlignment="1">
      <alignment horizontal="center"/>
    </xf>
    <xf numFmtId="38" fontId="31" fillId="0" borderId="58" xfId="15" applyNumberFormat="1" applyFont="1" applyBorder="1" applyAlignment="1">
      <alignment horizontal="center"/>
    </xf>
    <xf numFmtId="38" fontId="31" fillId="0" borderId="59" xfId="15" applyNumberFormat="1" applyFont="1" applyBorder="1" applyAlignment="1">
      <alignment horizontal="center"/>
    </xf>
    <xf numFmtId="38" fontId="31" fillId="0" borderId="4" xfId="15" applyNumberFormat="1" applyFont="1" applyBorder="1" applyAlignment="1">
      <alignment horizontal="left"/>
    </xf>
    <xf numFmtId="38" fontId="31" fillId="0" borderId="60" xfId="15" applyNumberFormat="1" applyFont="1" applyBorder="1" applyAlignment="1">
      <alignment horizontal="center"/>
    </xf>
    <xf numFmtId="38" fontId="31" fillId="0" borderId="61" xfId="15" applyNumberFormat="1" applyFont="1" applyBorder="1" applyAlignment="1">
      <alignment horizontal="center"/>
    </xf>
    <xf numFmtId="38" fontId="31" fillId="0" borderId="4" xfId="15" applyNumberFormat="1" applyFont="1" applyBorder="1" applyAlignment="1">
      <alignment horizontal="center"/>
    </xf>
    <xf numFmtId="38" fontId="31" fillId="0" borderId="62" xfId="15" applyNumberFormat="1" applyFont="1" applyBorder="1" applyAlignment="1">
      <alignment horizontal="center"/>
    </xf>
    <xf numFmtId="38" fontId="31" fillId="0" borderId="63" xfId="15" applyNumberFormat="1" applyFont="1" applyBorder="1" applyAlignment="1">
      <alignment horizontal="center"/>
    </xf>
    <xf numFmtId="38" fontId="31" fillId="0" borderId="11" xfId="15" applyNumberFormat="1" applyFont="1" applyBorder="1" applyAlignment="1">
      <alignment horizontal="center"/>
    </xf>
    <xf numFmtId="38" fontId="29" fillId="0" borderId="11" xfId="15" applyNumberFormat="1" applyFont="1" applyBorder="1" applyAlignment="1">
      <alignment horizontal="center"/>
    </xf>
    <xf numFmtId="38" fontId="31" fillId="0" borderId="64" xfId="15" applyNumberFormat="1" applyFont="1" applyBorder="1" applyAlignment="1">
      <alignment horizontal="center"/>
    </xf>
    <xf numFmtId="38" fontId="31" fillId="0" borderId="65" xfId="15" applyNumberFormat="1" applyFont="1" applyBorder="1" applyAlignment="1">
      <alignment horizontal="center"/>
    </xf>
    <xf numFmtId="38" fontId="31" fillId="0" borderId="66" xfId="15" applyNumberFormat="1" applyFont="1" applyBorder="1" applyAlignment="1">
      <alignment horizontal="center"/>
    </xf>
    <xf numFmtId="38" fontId="31" fillId="0" borderId="67" xfId="15" applyNumberFormat="1" applyFont="1" applyBorder="1" applyAlignment="1">
      <alignment horizontal="center"/>
    </xf>
    <xf numFmtId="38" fontId="31" fillId="0" borderId="68" xfId="15" applyNumberFormat="1" applyFont="1" applyBorder="1" applyAlignment="1">
      <alignment horizontal="center"/>
    </xf>
    <xf numFmtId="38" fontId="29" fillId="0" borderId="69" xfId="15" applyNumberFormat="1" applyFont="1" applyBorder="1" applyAlignment="1">
      <alignment horizontal="left"/>
    </xf>
    <xf numFmtId="38" fontId="31" fillId="0" borderId="70" xfId="15" applyNumberFormat="1" applyFont="1" applyBorder="1" applyAlignment="1">
      <alignment horizontal="center"/>
    </xf>
    <xf numFmtId="38" fontId="31" fillId="0" borderId="71" xfId="15" applyNumberFormat="1" applyFont="1" applyBorder="1" applyAlignment="1">
      <alignment horizontal="center"/>
    </xf>
    <xf numFmtId="38" fontId="29" fillId="0" borderId="72" xfId="15" applyNumberFormat="1" applyFont="1" applyBorder="1" applyAlignment="1">
      <alignment horizontal="center"/>
    </xf>
    <xf numFmtId="38" fontId="29" fillId="0" borderId="73" xfId="15" applyNumberFormat="1" applyFont="1" applyBorder="1" applyAlignment="1">
      <alignment horizontal="center"/>
    </xf>
    <xf numFmtId="38" fontId="29" fillId="0" borderId="74" xfId="15" applyNumberFormat="1" applyFont="1" applyBorder="1" applyAlignment="1">
      <alignment horizontal="center"/>
    </xf>
    <xf numFmtId="38" fontId="31" fillId="0" borderId="75" xfId="15" applyNumberFormat="1" applyFont="1" applyBorder="1" applyAlignment="1">
      <alignment horizontal="center"/>
    </xf>
    <xf numFmtId="38" fontId="31" fillId="0" borderId="69" xfId="15" applyNumberFormat="1" applyFont="1" applyBorder="1" applyAlignment="1">
      <alignment horizontal="center"/>
    </xf>
    <xf numFmtId="38" fontId="29" fillId="0" borderId="76" xfId="15" applyNumberFormat="1" applyFont="1" applyBorder="1" applyAlignment="1">
      <alignment horizontal="center"/>
    </xf>
    <xf numFmtId="38" fontId="29" fillId="0" borderId="75" xfId="15" applyNumberFormat="1" applyFont="1" applyBorder="1" applyAlignment="1">
      <alignment horizontal="center"/>
    </xf>
    <xf numFmtId="38" fontId="29" fillId="0" borderId="77" xfId="15" applyNumberFormat="1" applyFont="1" applyBorder="1" applyAlignment="1">
      <alignment horizontal="center"/>
    </xf>
    <xf numFmtId="38" fontId="29" fillId="0" borderId="78" xfId="15" applyNumberFormat="1" applyFont="1" applyBorder="1" applyAlignment="1">
      <alignment horizontal="center"/>
    </xf>
    <xf numFmtId="38" fontId="29" fillId="0" borderId="79" xfId="15" applyNumberFormat="1" applyFont="1" applyBorder="1" applyAlignment="1">
      <alignment horizontal="left"/>
    </xf>
    <xf numFmtId="38" fontId="31" fillId="0" borderId="80" xfId="15" applyNumberFormat="1" applyFont="1" applyBorder="1" applyAlignment="1">
      <alignment horizontal="center"/>
    </xf>
    <xf numFmtId="38" fontId="31" fillId="0" borderId="81" xfId="15" applyNumberFormat="1" applyFont="1" applyBorder="1" applyAlignment="1">
      <alignment horizontal="center"/>
    </xf>
    <xf numFmtId="38" fontId="29" fillId="0" borderId="82" xfId="15" applyNumberFormat="1" applyFont="1" applyBorder="1" applyAlignment="1">
      <alignment horizontal="center"/>
    </xf>
    <xf numFmtId="38" fontId="29" fillId="0" borderId="83" xfId="15" applyNumberFormat="1" applyFont="1" applyBorder="1" applyAlignment="1">
      <alignment horizontal="center"/>
    </xf>
    <xf numFmtId="38" fontId="29" fillId="0" borderId="84" xfId="15" applyNumberFormat="1" applyFont="1" applyBorder="1" applyAlignment="1">
      <alignment horizontal="center"/>
    </xf>
    <xf numFmtId="38" fontId="31" fillId="0" borderId="85" xfId="15" applyNumberFormat="1" applyFont="1" applyBorder="1" applyAlignment="1">
      <alignment horizontal="center"/>
    </xf>
    <xf numFmtId="38" fontId="31" fillId="0" borderId="79" xfId="15" applyNumberFormat="1" applyFont="1" applyBorder="1" applyAlignment="1">
      <alignment horizontal="center"/>
    </xf>
    <xf numFmtId="38" fontId="29" fillId="0" borderId="86" xfId="15" applyNumberFormat="1" applyFont="1" applyBorder="1" applyAlignment="1">
      <alignment horizontal="center"/>
    </xf>
    <xf numFmtId="38" fontId="29" fillId="0" borderId="85" xfId="15" applyNumberFormat="1" applyFont="1" applyBorder="1" applyAlignment="1">
      <alignment horizontal="center"/>
    </xf>
    <xf numFmtId="38" fontId="29" fillId="0" borderId="87" xfId="15" applyNumberFormat="1" applyFont="1" applyBorder="1" applyAlignment="1">
      <alignment horizontal="center"/>
    </xf>
    <xf numFmtId="38" fontId="31" fillId="0" borderId="0" xfId="15" applyNumberFormat="1" applyFont="1" applyAlignment="1">
      <alignment horizontal="left"/>
    </xf>
    <xf numFmtId="38" fontId="31" fillId="0" borderId="20" xfId="15" applyNumberFormat="1" applyFont="1" applyBorder="1" applyAlignment="1">
      <alignment horizontal="center"/>
    </xf>
    <xf numFmtId="38" fontId="31" fillId="0" borderId="88" xfId="15" applyNumberFormat="1" applyFont="1" applyBorder="1" applyAlignment="1">
      <alignment horizontal="center"/>
    </xf>
    <xf numFmtId="38" fontId="31" fillId="0" borderId="89" xfId="15" applyNumberFormat="1" applyFont="1" applyBorder="1" applyAlignment="1">
      <alignment horizontal="center"/>
    </xf>
    <xf numFmtId="38" fontId="31" fillId="0" borderId="90" xfId="15" applyNumberFormat="1" applyFont="1" applyBorder="1" applyAlignment="1">
      <alignment horizontal="center"/>
    </xf>
    <xf numFmtId="38" fontId="31" fillId="0" borderId="91" xfId="15" applyNumberFormat="1" applyFont="1" applyBorder="1" applyAlignment="1">
      <alignment horizontal="center"/>
    </xf>
    <xf numFmtId="38" fontId="31" fillId="0" borderId="13" xfId="15" applyNumberFormat="1" applyFont="1" applyBorder="1" applyAlignment="1">
      <alignment horizontal="center"/>
    </xf>
    <xf numFmtId="38" fontId="31" fillId="0" borderId="0" xfId="15" applyNumberFormat="1" applyFont="1" applyAlignment="1">
      <alignment horizontal="center"/>
    </xf>
    <xf numFmtId="38" fontId="31" fillId="0" borderId="12" xfId="15" applyNumberFormat="1" applyFont="1" applyBorder="1" applyAlignment="1">
      <alignment horizontal="center"/>
    </xf>
    <xf numFmtId="38" fontId="31" fillId="0" borderId="92" xfId="15" applyNumberFormat="1" applyFont="1" applyBorder="1" applyAlignment="1">
      <alignment horizontal="center"/>
    </xf>
    <xf numFmtId="38" fontId="31" fillId="0" borderId="93" xfId="15" applyNumberFormat="1" applyFont="1" applyBorder="1" applyAlignment="1">
      <alignment horizontal="center"/>
    </xf>
    <xf numFmtId="38" fontId="29" fillId="0" borderId="94" xfId="15" applyNumberFormat="1" applyFont="1" applyBorder="1" applyAlignment="1">
      <alignment horizontal="center"/>
    </xf>
    <xf numFmtId="1" fontId="29" fillId="0" borderId="42" xfId="15" applyNumberFormat="1" applyFont="1" applyBorder="1" applyAlignment="1">
      <alignment horizontal="center"/>
    </xf>
    <xf numFmtId="38" fontId="31" fillId="0" borderId="3" xfId="15" applyNumberFormat="1" applyFont="1" applyBorder="1" applyAlignment="1">
      <alignment horizontal="left"/>
    </xf>
    <xf numFmtId="38" fontId="31" fillId="0" borderId="95" xfId="15" applyNumberFormat="1" applyFont="1" applyBorder="1" applyAlignment="1">
      <alignment horizontal="center"/>
    </xf>
    <xf numFmtId="38" fontId="31" fillId="0" borderId="96" xfId="15" applyNumberFormat="1" applyFont="1" applyBorder="1" applyAlignment="1">
      <alignment horizontal="center"/>
    </xf>
    <xf numFmtId="38" fontId="29" fillId="0" borderId="97" xfId="15" applyNumberFormat="1" applyFont="1" applyBorder="1" applyAlignment="1">
      <alignment horizontal="center"/>
    </xf>
    <xf numFmtId="38" fontId="29" fillId="0" borderId="98" xfId="15" applyNumberFormat="1" applyFont="1" applyBorder="1" applyAlignment="1">
      <alignment horizontal="center"/>
    </xf>
    <xf numFmtId="38" fontId="29" fillId="0" borderId="99" xfId="15" applyNumberFormat="1" applyFont="1" applyBorder="1" applyAlignment="1">
      <alignment horizontal="center"/>
    </xf>
    <xf numFmtId="38" fontId="31" fillId="0" borderId="14" xfId="15" applyNumberFormat="1" applyFont="1" applyBorder="1" applyAlignment="1">
      <alignment horizontal="center"/>
    </xf>
    <xf numFmtId="38" fontId="31" fillId="0" borderId="3" xfId="15" applyNumberFormat="1" applyFont="1" applyBorder="1" applyAlignment="1">
      <alignment horizontal="center"/>
    </xf>
    <xf numFmtId="38" fontId="29" fillId="0" borderId="16" xfId="15" applyNumberFormat="1" applyFont="1" applyBorder="1" applyAlignment="1">
      <alignment horizontal="center"/>
    </xf>
    <xf numFmtId="38" fontId="29" fillId="0" borderId="92" xfId="15" applyNumberFormat="1" applyFont="1" applyBorder="1" applyAlignment="1">
      <alignment horizontal="center"/>
    </xf>
    <xf numFmtId="38" fontId="29" fillId="0" borderId="14" xfId="15" applyNumberFormat="1" applyFont="1" applyBorder="1" applyAlignment="1">
      <alignment horizontal="center"/>
    </xf>
    <xf numFmtId="38" fontId="29" fillId="0" borderId="100" xfId="15" applyNumberFormat="1" applyFont="1" applyBorder="1" applyAlignment="1">
      <alignment horizontal="center"/>
    </xf>
    <xf numFmtId="38" fontId="31" fillId="0" borderId="101" xfId="15" applyNumberFormat="1" applyFont="1" applyBorder="1" applyAlignment="1">
      <alignment horizontal="center"/>
    </xf>
    <xf numFmtId="38" fontId="99" fillId="0" borderId="102" xfId="15" applyNumberFormat="1" applyFont="1" applyBorder="1" applyAlignment="1">
      <alignment horizontal="center"/>
    </xf>
    <xf numFmtId="38" fontId="31" fillId="0" borderId="73" xfId="15" applyNumberFormat="1" applyFont="1" applyBorder="1" applyAlignment="1">
      <alignment horizontal="center"/>
    </xf>
    <xf numFmtId="38" fontId="29" fillId="0" borderId="69" xfId="15" applyNumberFormat="1" applyFont="1" applyBorder="1" applyAlignment="1">
      <alignment horizontal="center"/>
    </xf>
    <xf numFmtId="38" fontId="29" fillId="0" borderId="0" xfId="15" applyNumberFormat="1" applyFont="1" applyAlignment="1">
      <alignment horizontal="left"/>
    </xf>
    <xf numFmtId="38" fontId="31" fillId="0" borderId="17" xfId="15" applyNumberFormat="1" applyFont="1" applyBorder="1" applyAlignment="1">
      <alignment horizontal="center"/>
    </xf>
    <xf numFmtId="38" fontId="31" fillId="0" borderId="103" xfId="15" applyNumberFormat="1" applyFont="1" applyBorder="1" applyAlignment="1">
      <alignment horizontal="center"/>
    </xf>
    <xf numFmtId="38" fontId="29" fillId="0" borderId="91" xfId="15" applyNumberFormat="1" applyFont="1" applyBorder="1" applyAlignment="1">
      <alignment horizontal="center"/>
    </xf>
    <xf numFmtId="38" fontId="29" fillId="0" borderId="0" xfId="15" applyNumberFormat="1" applyFont="1" applyAlignment="1">
      <alignment horizontal="center"/>
    </xf>
    <xf numFmtId="38" fontId="29" fillId="0" borderId="90" xfId="15" applyNumberFormat="1" applyFont="1" applyBorder="1" applyAlignment="1">
      <alignment horizontal="center"/>
    </xf>
    <xf numFmtId="38" fontId="29" fillId="0" borderId="12" xfId="15" applyNumberFormat="1" applyFont="1" applyBorder="1" applyAlignment="1">
      <alignment horizontal="center"/>
    </xf>
    <xf numFmtId="38" fontId="29" fillId="0" borderId="89" xfId="15" applyNumberFormat="1" applyFont="1" applyBorder="1" applyAlignment="1">
      <alignment horizontal="center"/>
    </xf>
    <xf numFmtId="38" fontId="29" fillId="0" borderId="13" xfId="15" applyNumberFormat="1" applyFont="1" applyBorder="1" applyAlignment="1">
      <alignment horizontal="center"/>
    </xf>
    <xf numFmtId="38" fontId="29" fillId="0" borderId="93" xfId="15" applyNumberFormat="1" applyFont="1" applyBorder="1" applyAlignment="1">
      <alignment horizontal="center"/>
    </xf>
    <xf numFmtId="38" fontId="31" fillId="0" borderId="104" xfId="15" applyNumberFormat="1" applyFont="1" applyBorder="1" applyAlignment="1">
      <alignment horizontal="center"/>
    </xf>
    <xf numFmtId="38" fontId="29" fillId="0" borderId="105" xfId="15" applyNumberFormat="1" applyFont="1" applyBorder="1" applyAlignment="1">
      <alignment horizontal="center"/>
    </xf>
    <xf numFmtId="38" fontId="29" fillId="0" borderId="46" xfId="15" applyNumberFormat="1" applyFont="1" applyBorder="1" applyAlignment="1">
      <alignment horizontal="center"/>
    </xf>
    <xf numFmtId="38" fontId="31" fillId="0" borderId="106" xfId="15" applyNumberFormat="1" applyFont="1" applyBorder="1" applyAlignment="1">
      <alignment horizontal="left"/>
    </xf>
    <xf numFmtId="38" fontId="31" fillId="0" borderId="107" xfId="15" applyNumberFormat="1" applyFont="1" applyBorder="1" applyAlignment="1">
      <alignment horizontal="center"/>
    </xf>
    <xf numFmtId="38" fontId="31" fillId="0" borderId="108" xfId="15" applyNumberFormat="1" applyFont="1" applyBorder="1" applyAlignment="1">
      <alignment horizontal="center"/>
    </xf>
    <xf numFmtId="38" fontId="31" fillId="0" borderId="109" xfId="15" applyNumberFormat="1" applyFont="1" applyBorder="1" applyAlignment="1">
      <alignment horizontal="center"/>
    </xf>
    <xf numFmtId="38" fontId="31" fillId="0" borderId="110" xfId="15" applyNumberFormat="1" applyFont="1" applyBorder="1" applyAlignment="1">
      <alignment horizontal="center"/>
    </xf>
    <xf numFmtId="38" fontId="31" fillId="0" borderId="111" xfId="15" applyNumberFormat="1" applyFont="1" applyBorder="1" applyAlignment="1">
      <alignment horizontal="center"/>
    </xf>
    <xf numFmtId="38" fontId="31" fillId="0" borderId="106" xfId="15" applyNumberFormat="1" applyFont="1" applyBorder="1" applyAlignment="1">
      <alignment horizontal="center"/>
    </xf>
    <xf numFmtId="38" fontId="31" fillId="0" borderId="112" xfId="15" applyNumberFormat="1" applyFont="1" applyBorder="1" applyAlignment="1">
      <alignment horizontal="center"/>
    </xf>
    <xf numFmtId="38" fontId="31" fillId="0" borderId="113" xfId="15" applyNumberFormat="1" applyFont="1" applyBorder="1" applyAlignment="1">
      <alignment horizontal="center"/>
    </xf>
    <xf numFmtId="38" fontId="29" fillId="0" borderId="3" xfId="15" applyNumberFormat="1" applyFont="1" applyBorder="1" applyAlignment="1">
      <alignment horizontal="left"/>
    </xf>
    <xf numFmtId="38" fontId="29" fillId="0" borderId="95" xfId="15" applyNumberFormat="1" applyFont="1" applyBorder="1" applyAlignment="1">
      <alignment horizontal="center"/>
    </xf>
    <xf numFmtId="38" fontId="29" fillId="0" borderId="96" xfId="15" applyNumberFormat="1" applyFont="1" applyBorder="1" applyAlignment="1">
      <alignment horizontal="center"/>
    </xf>
    <xf numFmtId="38" fontId="29" fillId="0" borderId="3" xfId="15" applyNumberFormat="1" applyFont="1" applyBorder="1" applyAlignment="1">
      <alignment horizontal="center"/>
    </xf>
    <xf numFmtId="38" fontId="31" fillId="0" borderId="114" xfId="15" applyNumberFormat="1" applyFont="1" applyBorder="1" applyAlignment="1">
      <alignment horizontal="center"/>
    </xf>
    <xf numFmtId="38" fontId="31" fillId="0" borderId="115" xfId="15" applyNumberFormat="1" applyFont="1" applyBorder="1" applyAlignment="1">
      <alignment horizontal="center"/>
    </xf>
    <xf numFmtId="38" fontId="31" fillId="0" borderId="116" xfId="15" applyNumberFormat="1" applyFont="1" applyBorder="1" applyAlignment="1">
      <alignment horizontal="center"/>
    </xf>
    <xf numFmtId="38" fontId="31" fillId="0" borderId="117" xfId="15" applyNumberFormat="1" applyFont="1" applyBorder="1" applyAlignment="1">
      <alignment horizontal="center"/>
    </xf>
    <xf numFmtId="38" fontId="31" fillId="0" borderId="118" xfId="15" applyNumberFormat="1" applyFont="1" applyBorder="1" applyAlignment="1">
      <alignment horizontal="center"/>
    </xf>
    <xf numFmtId="38" fontId="31" fillId="0" borderId="119" xfId="15" applyNumberFormat="1" applyFont="1" applyBorder="1" applyAlignment="1">
      <alignment horizontal="center"/>
    </xf>
    <xf numFmtId="38" fontId="31" fillId="0" borderId="10" xfId="15" applyNumberFormat="1" applyFont="1" applyBorder="1" applyAlignment="1">
      <alignment horizontal="center"/>
    </xf>
    <xf numFmtId="38" fontId="31" fillId="0" borderId="120" xfId="15" applyNumberFormat="1" applyFont="1" applyBorder="1" applyAlignment="1">
      <alignment horizontal="center"/>
    </xf>
    <xf numFmtId="38" fontId="31" fillId="0" borderId="177" xfId="15" applyNumberFormat="1" applyFont="1" applyBorder="1" applyAlignment="1">
      <alignment horizontal="center"/>
    </xf>
    <xf numFmtId="38" fontId="29" fillId="0" borderId="121" xfId="16" applyNumberFormat="1" applyFont="1" applyBorder="1" applyAlignment="1">
      <alignment horizontal="left" vertical="top" wrapText="1"/>
    </xf>
    <xf numFmtId="38" fontId="29" fillId="0" borderId="122" xfId="16" applyNumberFormat="1" applyFont="1" applyBorder="1" applyAlignment="1">
      <alignment vertical="top"/>
    </xf>
    <xf numFmtId="38" fontId="31" fillId="0" borderId="123" xfId="15" applyNumberFormat="1" applyFont="1" applyBorder="1" applyAlignment="1">
      <alignment horizontal="center"/>
    </xf>
    <xf numFmtId="38" fontId="29" fillId="0" borderId="121" xfId="15" applyNumberFormat="1" applyFont="1" applyBorder="1" applyAlignment="1">
      <alignment horizontal="center"/>
    </xf>
    <xf numFmtId="38" fontId="29" fillId="0" borderId="178" xfId="15" applyNumberFormat="1" applyFont="1" applyBorder="1" applyAlignment="1">
      <alignment horizontal="center"/>
    </xf>
    <xf numFmtId="38" fontId="31" fillId="0" borderId="125" xfId="15" applyNumberFormat="1" applyFont="1" applyBorder="1" applyAlignment="1">
      <alignment horizontal="center"/>
    </xf>
    <xf numFmtId="38" fontId="29" fillId="0" borderId="126" xfId="15" applyNumberFormat="1" applyFont="1" applyBorder="1" applyAlignment="1">
      <alignment horizontal="center"/>
    </xf>
    <xf numFmtId="38" fontId="29" fillId="0" borderId="124" xfId="15" applyNumberFormat="1" applyFont="1" applyBorder="1" applyAlignment="1">
      <alignment horizontal="center"/>
    </xf>
    <xf numFmtId="38" fontId="31" fillId="0" borderId="121" xfId="15" applyNumberFormat="1" applyFont="1" applyBorder="1" applyAlignment="1">
      <alignment horizontal="center"/>
    </xf>
    <xf numFmtId="38" fontId="29" fillId="0" borderId="127" xfId="15" applyNumberFormat="1" applyFont="1" applyBorder="1" applyAlignment="1">
      <alignment horizontal="center"/>
    </xf>
    <xf numFmtId="38" fontId="29" fillId="0" borderId="37" xfId="16" applyNumberFormat="1" applyFont="1" applyBorder="1" applyAlignment="1">
      <alignment horizontal="left" vertical="top" wrapText="1"/>
    </xf>
    <xf numFmtId="38" fontId="29" fillId="0" borderId="38" xfId="16" applyNumberFormat="1" applyFont="1" applyBorder="1" applyAlignment="1">
      <alignment horizontal="left" vertical="top"/>
    </xf>
    <xf numFmtId="38" fontId="29" fillId="0" borderId="37" xfId="15" applyNumberFormat="1" applyFont="1" applyBorder="1" applyAlignment="1">
      <alignment horizontal="center"/>
    </xf>
    <xf numFmtId="38" fontId="29" fillId="0" borderId="179" xfId="15" applyNumberFormat="1" applyFont="1" applyBorder="1" applyAlignment="1">
      <alignment horizontal="center"/>
    </xf>
    <xf numFmtId="38" fontId="29" fillId="0" borderId="38" xfId="16" applyNumberFormat="1" applyFont="1" applyBorder="1" applyAlignment="1">
      <alignment vertical="top"/>
    </xf>
    <xf numFmtId="38" fontId="29" fillId="0" borderId="125" xfId="15" applyNumberFormat="1" applyFont="1" applyBorder="1" applyAlignment="1">
      <alignment horizontal="center"/>
    </xf>
    <xf numFmtId="38" fontId="29" fillId="0" borderId="79" xfId="16" applyNumberFormat="1" applyFont="1" applyBorder="1" applyAlignment="1">
      <alignment horizontal="left" vertical="top" wrapText="1"/>
    </xf>
    <xf numFmtId="38" fontId="29" fillId="0" borderId="80" xfId="16" applyNumberFormat="1" applyFont="1" applyBorder="1" applyAlignment="1">
      <alignment vertical="top"/>
    </xf>
    <xf numFmtId="38" fontId="29" fillId="0" borderId="79" xfId="15" applyNumberFormat="1" applyFont="1" applyBorder="1" applyAlignment="1">
      <alignment horizontal="center"/>
    </xf>
    <xf numFmtId="38" fontId="29" fillId="0" borderId="180" xfId="15" applyNumberFormat="1" applyFont="1" applyBorder="1" applyAlignment="1">
      <alignment horizontal="center"/>
    </xf>
    <xf numFmtId="38" fontId="31" fillId="0" borderId="181" xfId="15" applyNumberFormat="1" applyFont="1" applyBorder="1" applyAlignment="1">
      <alignment horizontal="center"/>
    </xf>
    <xf numFmtId="38" fontId="31" fillId="0" borderId="182" xfId="15" applyNumberFormat="1" applyFont="1" applyBorder="1" applyAlignment="1">
      <alignment horizontal="center"/>
    </xf>
    <xf numFmtId="38" fontId="31" fillId="0" borderId="183" xfId="15" applyNumberFormat="1" applyFont="1" applyBorder="1" applyAlignment="1">
      <alignment horizontal="center"/>
    </xf>
    <xf numFmtId="38" fontId="31" fillId="0" borderId="148" xfId="15" applyNumberFormat="1" applyFont="1" applyBorder="1" applyAlignment="1">
      <alignment horizontal="center"/>
    </xf>
    <xf numFmtId="38" fontId="31" fillId="0" borderId="184" xfId="15" applyNumberFormat="1" applyFont="1" applyBorder="1" applyAlignment="1">
      <alignment horizontal="center"/>
    </xf>
    <xf numFmtId="38" fontId="31" fillId="0" borderId="6" xfId="15" applyNumberFormat="1" applyFont="1" applyBorder="1" applyAlignment="1">
      <alignment horizontal="center"/>
    </xf>
    <xf numFmtId="38" fontId="31" fillId="0" borderId="150" xfId="15" applyNumberFormat="1" applyFont="1" applyBorder="1" applyAlignment="1">
      <alignment horizontal="center"/>
    </xf>
    <xf numFmtId="38" fontId="31" fillId="0" borderId="171" xfId="15" applyNumberFormat="1" applyFont="1" applyBorder="1" applyAlignment="1">
      <alignment horizontal="center"/>
    </xf>
    <xf numFmtId="38" fontId="29" fillId="0" borderId="69" xfId="16" applyNumberFormat="1" applyFont="1" applyBorder="1" applyAlignment="1">
      <alignment horizontal="left" vertical="top" wrapText="1"/>
    </xf>
    <xf numFmtId="38" fontId="31" fillId="0" borderId="72" xfId="15" applyNumberFormat="1" applyFont="1" applyBorder="1" applyAlignment="1">
      <alignment horizontal="center"/>
    </xf>
    <xf numFmtId="38" fontId="31" fillId="0" borderId="122" xfId="15" applyNumberFormat="1" applyFont="1" applyBorder="1" applyAlignment="1">
      <alignment horizontal="center"/>
    </xf>
    <xf numFmtId="38" fontId="31" fillId="0" borderId="126" xfId="15" applyNumberFormat="1" applyFont="1" applyBorder="1" applyAlignment="1">
      <alignment horizontal="center"/>
    </xf>
    <xf numFmtId="38" fontId="31" fillId="0" borderId="78" xfId="15" applyNumberFormat="1" applyFont="1" applyBorder="1" applyAlignment="1">
      <alignment horizontal="center"/>
    </xf>
    <xf numFmtId="38" fontId="29" fillId="0" borderId="129" xfId="15" applyNumberFormat="1" applyFont="1" applyBorder="1" applyAlignment="1">
      <alignment horizontal="center"/>
    </xf>
    <xf numFmtId="38" fontId="31" fillId="0" borderId="128" xfId="15" applyNumberFormat="1" applyFont="1" applyBorder="1" applyAlignment="1">
      <alignment horizontal="center"/>
    </xf>
    <xf numFmtId="38" fontId="29" fillId="0" borderId="130" xfId="15" applyNumberFormat="1" applyFont="1" applyBorder="1" applyAlignment="1">
      <alignment horizontal="center"/>
    </xf>
    <xf numFmtId="38" fontId="31" fillId="0" borderId="131" xfId="15" applyNumberFormat="1" applyFont="1" applyBorder="1" applyAlignment="1">
      <alignment horizontal="center"/>
    </xf>
    <xf numFmtId="38" fontId="29" fillId="0" borderId="132" xfId="15" applyNumberFormat="1" applyFont="1" applyBorder="1" applyAlignment="1">
      <alignment horizontal="center"/>
    </xf>
    <xf numFmtId="38" fontId="31" fillId="0" borderId="133" xfId="15" applyNumberFormat="1" applyFont="1" applyBorder="1" applyAlignment="1">
      <alignment horizontal="center"/>
    </xf>
    <xf numFmtId="38" fontId="29" fillId="0" borderId="134" xfId="15" applyNumberFormat="1" applyFont="1" applyBorder="1" applyAlignment="1">
      <alignment horizontal="center"/>
    </xf>
    <xf numFmtId="38" fontId="29" fillId="0" borderId="135" xfId="15" applyNumberFormat="1" applyFont="1" applyBorder="1" applyAlignment="1">
      <alignment horizontal="center"/>
    </xf>
    <xf numFmtId="38" fontId="31" fillId="0" borderId="82" xfId="15" applyNumberFormat="1" applyFont="1" applyBorder="1" applyAlignment="1">
      <alignment horizontal="center"/>
    </xf>
    <xf numFmtId="38" fontId="31" fillId="0" borderId="83" xfId="15" applyNumberFormat="1" applyFont="1" applyBorder="1" applyAlignment="1">
      <alignment horizontal="center"/>
    </xf>
    <xf numFmtId="38" fontId="31" fillId="0" borderId="5" xfId="15" applyNumberFormat="1" applyFont="1" applyBorder="1" applyAlignment="1">
      <alignment horizontal="left"/>
    </xf>
    <xf numFmtId="38" fontId="31" fillId="0" borderId="140" xfId="15" applyNumberFormat="1" applyFont="1" applyBorder="1" applyAlignment="1">
      <alignment horizontal="center"/>
    </xf>
    <xf numFmtId="38" fontId="31" fillId="0" borderId="136" xfId="15" applyNumberFormat="1" applyFont="1" applyBorder="1" applyAlignment="1">
      <alignment horizontal="center"/>
    </xf>
    <xf numFmtId="38" fontId="31" fillId="0" borderId="138" xfId="15" applyNumberFormat="1" applyFont="1" applyBorder="1" applyAlignment="1">
      <alignment horizontal="center"/>
    </xf>
    <xf numFmtId="38" fontId="31" fillId="0" borderId="137" xfId="15" applyNumberFormat="1" applyFont="1" applyBorder="1" applyAlignment="1">
      <alignment horizontal="center"/>
    </xf>
    <xf numFmtId="38" fontId="31" fillId="0" borderId="1" xfId="15" applyNumberFormat="1" applyFont="1" applyBorder="1" applyAlignment="1">
      <alignment horizontal="center"/>
    </xf>
    <xf numFmtId="38" fontId="31" fillId="0" borderId="5" xfId="15" applyNumberFormat="1" applyFont="1" applyBorder="1" applyAlignment="1">
      <alignment horizontal="center"/>
    </xf>
    <xf numFmtId="38" fontId="31" fillId="0" borderId="19" xfId="15" applyNumberFormat="1" applyFont="1" applyBorder="1" applyAlignment="1">
      <alignment horizontal="center"/>
    </xf>
    <xf numFmtId="38" fontId="31" fillId="0" borderId="139" xfId="15" applyNumberFormat="1" applyFont="1" applyBorder="1" applyAlignment="1">
      <alignment horizontal="center"/>
    </xf>
    <xf numFmtId="38" fontId="31" fillId="0" borderId="15" xfId="15" applyNumberFormat="1" applyFont="1" applyBorder="1" applyAlignment="1">
      <alignment horizontal="center"/>
    </xf>
    <xf numFmtId="38" fontId="99" fillId="0" borderId="37" xfId="15" applyNumberFormat="1" applyFont="1" applyBorder="1" applyAlignment="1">
      <alignment horizontal="left"/>
    </xf>
    <xf numFmtId="38" fontId="99" fillId="0" borderId="38" xfId="15" applyNumberFormat="1" applyFont="1" applyBorder="1" applyAlignment="1">
      <alignment horizontal="left" vertical="top"/>
    </xf>
    <xf numFmtId="38" fontId="99" fillId="0" borderId="44" xfId="15" applyNumberFormat="1" applyFont="1" applyBorder="1" applyAlignment="1">
      <alignment horizontal="center"/>
    </xf>
    <xf numFmtId="38" fontId="31" fillId="0" borderId="74" xfId="15" applyNumberFormat="1" applyFont="1" applyBorder="1" applyAlignment="1">
      <alignment horizontal="center"/>
    </xf>
    <xf numFmtId="38" fontId="99" fillId="0" borderId="37" xfId="15" applyNumberFormat="1" applyFont="1" applyBorder="1" applyAlignment="1">
      <alignment horizontal="center"/>
    </xf>
    <xf numFmtId="38" fontId="99" fillId="0" borderId="42" xfId="15" applyNumberFormat="1" applyFont="1" applyBorder="1" applyAlignment="1">
      <alignment horizontal="center"/>
    </xf>
    <xf numFmtId="38" fontId="31" fillId="0" borderId="76" xfId="15" applyNumberFormat="1" applyFont="1" applyBorder="1" applyAlignment="1">
      <alignment horizontal="center"/>
    </xf>
    <xf numFmtId="38" fontId="99" fillId="0" borderId="73" xfId="15" applyNumberFormat="1" applyFont="1" applyBorder="1" applyAlignment="1">
      <alignment horizontal="center"/>
    </xf>
    <xf numFmtId="38" fontId="99" fillId="0" borderId="74" xfId="15" applyNumberFormat="1" applyFont="1" applyBorder="1" applyAlignment="1">
      <alignment horizontal="center"/>
    </xf>
    <xf numFmtId="38" fontId="99" fillId="0" borderId="94" xfId="15" applyNumberFormat="1" applyFont="1" applyBorder="1" applyAlignment="1">
      <alignment horizontal="center"/>
    </xf>
    <xf numFmtId="38" fontId="31" fillId="0" borderId="179" xfId="15" applyNumberFormat="1" applyFont="1" applyBorder="1" applyAlignment="1">
      <alignment horizontal="center"/>
    </xf>
    <xf numFmtId="38" fontId="31" fillId="0" borderId="44" xfId="15" applyNumberFormat="1" applyFont="1" applyBorder="1" applyAlignment="1">
      <alignment horizontal="center"/>
    </xf>
    <xf numFmtId="38" fontId="99" fillId="0" borderId="43" xfId="15" applyNumberFormat="1" applyFont="1" applyBorder="1" applyAlignment="1">
      <alignment horizontal="center"/>
    </xf>
    <xf numFmtId="38" fontId="99" fillId="0" borderId="41" xfId="15" applyNumberFormat="1" applyFont="1" applyBorder="1" applyAlignment="1">
      <alignment horizontal="center"/>
    </xf>
    <xf numFmtId="38" fontId="99" fillId="0" borderId="45" xfId="15" applyNumberFormat="1" applyFont="1" applyBorder="1" applyAlignment="1">
      <alignment horizontal="center"/>
    </xf>
    <xf numFmtId="38" fontId="99" fillId="0" borderId="134" xfId="15" applyNumberFormat="1" applyFont="1" applyBorder="1" applyAlignment="1">
      <alignment horizontal="center"/>
    </xf>
    <xf numFmtId="38" fontId="99" fillId="0" borderId="133" xfId="15" applyNumberFormat="1" applyFont="1" applyBorder="1" applyAlignment="1">
      <alignment horizontal="center"/>
    </xf>
    <xf numFmtId="38" fontId="99" fillId="0" borderId="131" xfId="15" applyNumberFormat="1" applyFont="1" applyBorder="1" applyAlignment="1">
      <alignment horizontal="center"/>
    </xf>
    <xf numFmtId="38" fontId="99" fillId="0" borderId="79" xfId="15" applyNumberFormat="1" applyFont="1" applyBorder="1" applyAlignment="1">
      <alignment horizontal="left"/>
    </xf>
    <xf numFmtId="38" fontId="99" fillId="0" borderId="80" xfId="15" applyNumberFormat="1" applyFont="1" applyBorder="1" applyAlignment="1">
      <alignment horizontal="left" vertical="top"/>
    </xf>
    <xf numFmtId="38" fontId="31" fillId="0" borderId="180" xfId="15" applyNumberFormat="1" applyFont="1" applyBorder="1" applyAlignment="1">
      <alignment horizontal="center"/>
    </xf>
    <xf numFmtId="38" fontId="31" fillId="0" borderId="84" xfId="15" applyNumberFormat="1" applyFont="1" applyBorder="1" applyAlignment="1">
      <alignment horizontal="center"/>
    </xf>
    <xf numFmtId="38" fontId="31" fillId="0" borderId="86" xfId="15" applyNumberFormat="1" applyFont="1" applyBorder="1" applyAlignment="1">
      <alignment horizontal="center"/>
    </xf>
    <xf numFmtId="38" fontId="99" fillId="0" borderId="83" xfId="15" applyNumberFormat="1" applyFont="1" applyBorder="1" applyAlignment="1">
      <alignment horizontal="center"/>
    </xf>
    <xf numFmtId="38" fontId="99" fillId="0" borderId="84" xfId="15" applyNumberFormat="1" applyFont="1" applyBorder="1" applyAlignment="1">
      <alignment horizontal="center"/>
    </xf>
    <xf numFmtId="38" fontId="99" fillId="0" borderId="87" xfId="15" applyNumberFormat="1" applyFont="1" applyBorder="1" applyAlignment="1">
      <alignment horizontal="center"/>
    </xf>
    <xf numFmtId="38" fontId="100" fillId="0" borderId="87" xfId="15" applyNumberFormat="1" applyFont="1" applyBorder="1" applyAlignment="1">
      <alignment horizontal="center"/>
    </xf>
    <xf numFmtId="38" fontId="99" fillId="0" borderId="69" xfId="15" applyNumberFormat="1" applyFont="1" applyBorder="1" applyAlignment="1">
      <alignment horizontal="left"/>
    </xf>
    <xf numFmtId="38" fontId="99" fillId="0" borderId="70" xfId="15" applyNumberFormat="1" applyFont="1" applyBorder="1" applyAlignment="1">
      <alignment horizontal="left" vertical="top"/>
    </xf>
    <xf numFmtId="38" fontId="99" fillId="0" borderId="76" xfId="15" applyNumberFormat="1" applyFont="1" applyBorder="1" applyAlignment="1">
      <alignment horizontal="center"/>
    </xf>
    <xf numFmtId="38" fontId="29" fillId="0" borderId="101" xfId="15" applyNumberFormat="1" applyFont="1" applyBorder="1" applyAlignment="1">
      <alignment horizontal="center"/>
    </xf>
    <xf numFmtId="38" fontId="29" fillId="0" borderId="102" xfId="15" applyNumberFormat="1" applyFont="1" applyBorder="1" applyAlignment="1">
      <alignment horizontal="center"/>
    </xf>
    <xf numFmtId="38" fontId="29" fillId="0" borderId="185" xfId="15" applyNumberFormat="1" applyFont="1" applyBorder="1" applyAlignment="1">
      <alignment horizontal="center"/>
    </xf>
    <xf numFmtId="38" fontId="99" fillId="0" borderId="69" xfId="15" applyNumberFormat="1" applyFont="1" applyBorder="1" applyAlignment="1">
      <alignment horizontal="center"/>
    </xf>
    <xf numFmtId="38" fontId="99" fillId="0" borderId="75" xfId="15" applyNumberFormat="1" applyFont="1" applyBorder="1" applyAlignment="1">
      <alignment horizontal="center"/>
    </xf>
    <xf numFmtId="38" fontId="99" fillId="0" borderId="121" xfId="15" applyNumberFormat="1" applyFont="1" applyBorder="1" applyAlignment="1">
      <alignment horizontal="left"/>
    </xf>
    <xf numFmtId="38" fontId="99" fillId="0" borderId="122" xfId="15" applyNumberFormat="1" applyFont="1" applyBorder="1" applyAlignment="1">
      <alignment horizontal="left" vertical="top"/>
    </xf>
    <xf numFmtId="38" fontId="99" fillId="0" borderId="127" xfId="15" applyNumberFormat="1" applyFont="1" applyBorder="1" applyAlignment="1">
      <alignment horizontal="center"/>
    </xf>
    <xf numFmtId="38" fontId="29" fillId="0" borderId="186" xfId="15" applyNumberFormat="1" applyFont="1" applyBorder="1" applyAlignment="1">
      <alignment horizontal="center"/>
    </xf>
    <xf numFmtId="38" fontId="29" fillId="0" borderId="187" xfId="15" applyNumberFormat="1" applyFont="1" applyBorder="1" applyAlignment="1">
      <alignment horizontal="center"/>
    </xf>
    <xf numFmtId="38" fontId="99" fillId="0" borderId="121" xfId="15" applyNumberFormat="1" applyFont="1" applyBorder="1" applyAlignment="1">
      <alignment horizontal="center"/>
    </xf>
    <xf numFmtId="38" fontId="99" fillId="0" borderId="125" xfId="15" applyNumberFormat="1" applyFont="1" applyBorder="1" applyAlignment="1">
      <alignment horizontal="center"/>
    </xf>
    <xf numFmtId="38" fontId="99" fillId="0" borderId="86" xfId="15" applyNumberFormat="1" applyFont="1" applyBorder="1" applyAlignment="1">
      <alignment horizontal="center"/>
    </xf>
    <xf numFmtId="38" fontId="29" fillId="0" borderId="188" xfId="15" applyNumberFormat="1" applyFont="1" applyBorder="1" applyAlignment="1">
      <alignment horizontal="center"/>
    </xf>
    <xf numFmtId="38" fontId="29" fillId="0" borderId="189" xfId="15" applyNumberFormat="1" applyFont="1" applyBorder="1" applyAlignment="1">
      <alignment horizontal="center"/>
    </xf>
    <xf numFmtId="38" fontId="99" fillId="0" borderId="79" xfId="15" applyNumberFormat="1" applyFont="1" applyBorder="1" applyAlignment="1">
      <alignment horizontal="center"/>
    </xf>
    <xf numFmtId="38" fontId="99" fillId="0" borderId="85" xfId="15" applyNumberFormat="1" applyFont="1" applyBorder="1" applyAlignment="1">
      <alignment horizontal="center"/>
    </xf>
    <xf numFmtId="38" fontId="31" fillId="0" borderId="97" xfId="15" applyNumberFormat="1" applyFont="1" applyBorder="1" applyAlignment="1">
      <alignment horizontal="center"/>
    </xf>
    <xf numFmtId="38" fontId="31" fillId="0" borderId="98" xfId="15" applyNumberFormat="1" applyFont="1" applyBorder="1" applyAlignment="1">
      <alignment horizontal="center"/>
    </xf>
    <xf numFmtId="38" fontId="31" fillId="0" borderId="99" xfId="15" applyNumberFormat="1" applyFont="1" applyBorder="1" applyAlignment="1">
      <alignment horizontal="center"/>
    </xf>
    <xf numFmtId="43" fontId="31" fillId="0" borderId="98" xfId="14" applyFont="1" applyFill="1" applyBorder="1" applyAlignment="1">
      <alignment horizontal="center"/>
    </xf>
    <xf numFmtId="38" fontId="31" fillId="0" borderId="16" xfId="15" applyNumberFormat="1" applyFont="1" applyBorder="1" applyAlignment="1">
      <alignment horizontal="center"/>
    </xf>
    <xf numFmtId="38" fontId="31" fillId="0" borderId="87" xfId="15" applyNumberFormat="1" applyFont="1" applyBorder="1" applyAlignment="1">
      <alignment horizontal="center"/>
    </xf>
    <xf numFmtId="38" fontId="31" fillId="0" borderId="141" xfId="15" applyNumberFormat="1" applyFont="1" applyBorder="1" applyAlignment="1">
      <alignment horizontal="center"/>
    </xf>
    <xf numFmtId="170" fontId="31" fillId="0" borderId="0" xfId="15" applyNumberFormat="1" applyFont="1" applyAlignment="1">
      <alignment horizontal="left"/>
    </xf>
    <xf numFmtId="170" fontId="29" fillId="23" borderId="0" xfId="15" applyNumberFormat="1" applyFont="1" applyFill="1" applyAlignment="1">
      <alignment horizontal="left"/>
    </xf>
    <xf numFmtId="170" fontId="31" fillId="9" borderId="0" xfId="15" applyNumberFormat="1" applyFont="1" applyFill="1" applyAlignment="1">
      <alignment horizontal="left"/>
    </xf>
    <xf numFmtId="170" fontId="29" fillId="7" borderId="0" xfId="15" applyNumberFormat="1" applyFont="1" applyFill="1" applyAlignment="1">
      <alignment horizontal="left"/>
    </xf>
    <xf numFmtId="170" fontId="29" fillId="9" borderId="0" xfId="15" applyNumberFormat="1" applyFont="1" applyFill="1" applyAlignment="1">
      <alignment horizontal="left"/>
    </xf>
    <xf numFmtId="38" fontId="31" fillId="9" borderId="0" xfId="15" applyNumberFormat="1" applyFont="1" applyFill="1"/>
    <xf numFmtId="38" fontId="29" fillId="0" borderId="0" xfId="15" applyNumberFormat="1" applyFont="1"/>
    <xf numFmtId="38" fontId="31" fillId="0" borderId="0" xfId="15" applyNumberFormat="1" applyFont="1"/>
    <xf numFmtId="40" fontId="29" fillId="0" borderId="0" xfId="15" applyNumberFormat="1" applyFont="1"/>
    <xf numFmtId="40" fontId="31" fillId="0" borderId="0" xfId="15" applyNumberFormat="1" applyFont="1"/>
    <xf numFmtId="38" fontId="31" fillId="25" borderId="162" xfId="15" applyNumberFormat="1" applyFont="1" applyFill="1" applyBorder="1" applyAlignment="1">
      <alignment horizontal="center" textRotation="90" wrapText="1"/>
    </xf>
    <xf numFmtId="38" fontId="31" fillId="25" borderId="24" xfId="15" applyNumberFormat="1" applyFont="1" applyFill="1" applyBorder="1" applyAlignment="1">
      <alignment horizontal="center" textRotation="90" wrapText="1"/>
    </xf>
    <xf numFmtId="38" fontId="31" fillId="25" borderId="2" xfId="15" applyNumberFormat="1" applyFont="1" applyFill="1" applyBorder="1" applyAlignment="1">
      <alignment horizontal="center" textRotation="90" wrapText="1"/>
    </xf>
    <xf numFmtId="38" fontId="31" fillId="21" borderId="21" xfId="15" applyNumberFormat="1" applyFont="1" applyFill="1" applyBorder="1" applyAlignment="1">
      <alignment horizontal="center" textRotation="90" wrapText="1"/>
    </xf>
    <xf numFmtId="38" fontId="31" fillId="21" borderId="22" xfId="15" applyNumberFormat="1" applyFont="1" applyFill="1" applyBorder="1" applyAlignment="1">
      <alignment horizontal="center" textRotation="90" wrapText="1"/>
    </xf>
    <xf numFmtId="38" fontId="31" fillId="21" borderId="23" xfId="15" applyNumberFormat="1" applyFont="1" applyFill="1" applyBorder="1" applyAlignment="1">
      <alignment horizontal="center" textRotation="90" wrapText="1"/>
    </xf>
    <xf numFmtId="38" fontId="31" fillId="21" borderId="25" xfId="15" applyNumberFormat="1" applyFont="1" applyFill="1" applyBorder="1" applyAlignment="1">
      <alignment horizontal="center" textRotation="90" wrapText="1"/>
    </xf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7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7">
    <cellStyle name="20% - Accent5" xfId="4" builtinId="46"/>
    <cellStyle name="Accent1" xfId="2" builtinId="29"/>
    <cellStyle name="Comma" xfId="14" builtinId="3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Normal_1990 and 1998 CIP - Prices Quantity and CO2(MH)" xfId="16" xr:uid="{40BD7C02-96A0-4952-A147-DCA53E07CEAB}"/>
    <cellStyle name="Normal_2000balx" xfId="15" xr:uid="{31A85B47-5DB5-4288-9B72-F8A5710A0F86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70.115796792331736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1" t="s">
        <v>898</v>
      </c>
      <c r="B17" s="1021"/>
      <c r="C17" s="1021"/>
      <c r="D17" s="1021"/>
      <c r="E17" s="1021"/>
      <c r="F17" s="102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2" t="s">
        <v>658</v>
      </c>
      <c r="C20" s="1022"/>
      <c r="D20" s="1022"/>
      <c r="E20" s="1022"/>
      <c r="F20" s="102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3" t="s">
        <v>1</v>
      </c>
      <c r="C21" s="1023"/>
      <c r="D21" s="1023"/>
      <c r="E21" s="1023"/>
      <c r="F21" s="102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3" t="s">
        <v>660</v>
      </c>
      <c r="C22" s="1023"/>
      <c r="D22" s="1023"/>
      <c r="E22" s="1023"/>
      <c r="F22" s="1023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899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4"/>
      <c r="B25" s="1024"/>
      <c r="C25" s="1024"/>
      <c r="D25" s="1024"/>
      <c r="E25" s="1024"/>
      <c r="F25" s="1024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0"/>
      <c r="B26" s="1020"/>
      <c r="C26" s="1020"/>
      <c r="D26" s="1020"/>
      <c r="E26" s="1020"/>
      <c r="F26" s="1020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5" t="s">
        <v>4</v>
      </c>
      <c r="C2" s="1026"/>
      <c r="D2" s="1026"/>
      <c r="E2" s="1027"/>
      <c r="G2" s="1025" t="s">
        <v>5</v>
      </c>
      <c r="H2" s="1027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902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900</v>
      </c>
      <c r="C4" s="660" t="s">
        <v>901</v>
      </c>
      <c r="D4" s="661">
        <v>44136</v>
      </c>
      <c r="E4" s="662" t="s">
        <v>903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904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905</v>
      </c>
      <c r="C6" s="635" t="s">
        <v>906</v>
      </c>
      <c r="D6" s="639">
        <v>44166</v>
      </c>
      <c r="E6" s="664" t="s">
        <v>904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908</v>
      </c>
      <c r="C7" s="635" t="s">
        <v>667</v>
      </c>
      <c r="D7" s="636">
        <v>43862</v>
      </c>
      <c r="E7" s="664" t="s">
        <v>904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907</v>
      </c>
      <c r="D8" s="636">
        <v>44166</v>
      </c>
      <c r="E8" s="664" t="s">
        <v>904</v>
      </c>
      <c r="G8" s="643"/>
      <c r="H8" s="691" t="s">
        <v>932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909</v>
      </c>
      <c r="C9" s="635" t="s">
        <v>910</v>
      </c>
      <c r="D9" s="636">
        <v>44044</v>
      </c>
      <c r="E9" s="664" t="s">
        <v>904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911</v>
      </c>
      <c r="C10" s="635" t="s">
        <v>671</v>
      </c>
      <c r="D10" s="636">
        <v>44136</v>
      </c>
      <c r="E10" s="664" t="s">
        <v>904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912</v>
      </c>
      <c r="C11" s="635" t="s">
        <v>673</v>
      </c>
      <c r="D11" s="636">
        <v>44013</v>
      </c>
      <c r="E11" s="664" t="s">
        <v>904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913</v>
      </c>
      <c r="C12" s="635" t="s">
        <v>674</v>
      </c>
      <c r="D12" s="636">
        <v>44136</v>
      </c>
      <c r="E12" s="664" t="s">
        <v>903</v>
      </c>
    </row>
    <row r="13" spans="2:20">
      <c r="B13" s="663" t="s">
        <v>914</v>
      </c>
      <c r="C13" s="635" t="s">
        <v>916</v>
      </c>
      <c r="D13" s="636">
        <v>44136</v>
      </c>
      <c r="E13" s="664" t="s">
        <v>904</v>
      </c>
    </row>
    <row r="14" spans="2:20">
      <c r="B14" s="663" t="s">
        <v>915</v>
      </c>
      <c r="C14" s="635" t="s">
        <v>917</v>
      </c>
      <c r="D14" s="636">
        <v>44105</v>
      </c>
      <c r="E14" s="664" t="s">
        <v>904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904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904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904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904</v>
      </c>
    </row>
    <row r="19" spans="2:8" ht="15" thickBot="1"/>
    <row r="20" spans="2:8" ht="19.5" thickBot="1">
      <c r="B20" s="1028" t="s">
        <v>683</v>
      </c>
      <c r="C20" s="1029"/>
      <c r="D20" s="1029"/>
      <c r="E20" s="1030"/>
      <c r="G20" s="1025" t="s">
        <v>14</v>
      </c>
      <c r="H20" s="1027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902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918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904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904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904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904</v>
      </c>
    </row>
    <row r="28" spans="2:8" ht="15" customHeight="1">
      <c r="B28" s="681" t="s">
        <v>920</v>
      </c>
      <c r="C28" s="679" t="s">
        <v>923</v>
      </c>
      <c r="D28" s="678">
        <v>43983</v>
      </c>
      <c r="E28" s="664" t="s">
        <v>904</v>
      </c>
    </row>
    <row r="29" spans="2:8" ht="15" customHeight="1">
      <c r="B29" s="681" t="s">
        <v>921</v>
      </c>
      <c r="C29" s="679" t="s">
        <v>922</v>
      </c>
      <c r="D29" s="678">
        <v>43983</v>
      </c>
      <c r="E29" s="664" t="s">
        <v>904</v>
      </c>
    </row>
    <row r="30" spans="2:8" ht="15">
      <c r="B30" s="681" t="s">
        <v>924</v>
      </c>
      <c r="C30" s="680" t="s">
        <v>654</v>
      </c>
      <c r="D30" s="678">
        <v>43983</v>
      </c>
      <c r="E30" s="664" t="s">
        <v>904</v>
      </c>
    </row>
    <row r="31" spans="2:8" ht="15">
      <c r="B31" s="681" t="s">
        <v>925</v>
      </c>
      <c r="C31" s="679" t="s">
        <v>654</v>
      </c>
      <c r="D31" s="678">
        <v>43983</v>
      </c>
      <c r="E31" s="664" t="s">
        <v>904</v>
      </c>
    </row>
    <row r="32" spans="2:8" ht="15">
      <c r="B32" s="681" t="s">
        <v>927</v>
      </c>
      <c r="C32" s="679" t="s">
        <v>655</v>
      </c>
      <c r="D32" s="678">
        <v>43983</v>
      </c>
      <c r="E32" s="664" t="s">
        <v>904</v>
      </c>
    </row>
    <row r="33" spans="1:8" ht="17.25" customHeight="1">
      <c r="B33" s="681" t="s">
        <v>926</v>
      </c>
      <c r="C33" s="680" t="s">
        <v>653</v>
      </c>
      <c r="D33" s="678">
        <v>43983</v>
      </c>
      <c r="E33" s="664" t="s">
        <v>904</v>
      </c>
    </row>
    <row r="34" spans="1:8" ht="15">
      <c r="B34" s="681" t="s">
        <v>928</v>
      </c>
      <c r="C34" s="680" t="s">
        <v>929</v>
      </c>
      <c r="D34" s="678">
        <v>44044</v>
      </c>
      <c r="E34" s="664" t="s">
        <v>904</v>
      </c>
    </row>
    <row r="35" spans="1:8" ht="15">
      <c r="B35" s="681" t="s">
        <v>931</v>
      </c>
      <c r="C35" s="679" t="s">
        <v>930</v>
      </c>
      <c r="D35" s="678">
        <v>44044</v>
      </c>
      <c r="E35" s="664" t="s">
        <v>904</v>
      </c>
    </row>
    <row r="36" spans="1:8" ht="15.75" thickBot="1">
      <c r="B36" s="683" t="s">
        <v>931</v>
      </c>
      <c r="C36" s="685" t="s">
        <v>930</v>
      </c>
      <c r="D36" s="684">
        <v>44044</v>
      </c>
      <c r="E36" s="668" t="s">
        <v>904</v>
      </c>
    </row>
    <row r="37" spans="1:8" ht="15" thickBot="1"/>
    <row r="38" spans="1:8" ht="19.5" thickBot="1">
      <c r="B38" s="1025" t="s">
        <v>691</v>
      </c>
      <c r="C38" s="1026"/>
      <c r="D38" s="1026"/>
      <c r="E38" s="1027"/>
      <c r="G38" s="1031" t="s">
        <v>685</v>
      </c>
      <c r="H38" s="1032"/>
    </row>
    <row r="39" spans="1:8" ht="15">
      <c r="B39" s="653" t="s">
        <v>692</v>
      </c>
      <c r="C39" s="654" t="s">
        <v>6</v>
      </c>
      <c r="D39" s="633" t="s">
        <v>7</v>
      </c>
      <c r="E39" s="633" t="s">
        <v>902</v>
      </c>
      <c r="G39" s="674" t="s">
        <v>20</v>
      </c>
      <c r="H39" s="674" t="s">
        <v>933</v>
      </c>
    </row>
    <row r="40" spans="1:8" ht="15">
      <c r="B40" s="674" t="s">
        <v>26</v>
      </c>
      <c r="C40" s="675" t="s">
        <v>919</v>
      </c>
      <c r="D40" s="688">
        <v>44166</v>
      </c>
      <c r="E40" s="689" t="s">
        <v>904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4"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B10" sqref="B10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6" t="s">
        <v>27</v>
      </c>
      <c r="B1" s="1037"/>
      <c r="C1" s="1037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3" t="s">
        <v>29</v>
      </c>
      <c r="B7" s="1034"/>
      <c r="C7" s="1035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3" t="s">
        <v>30</v>
      </c>
      <c r="B28" s="1034"/>
      <c r="C28" s="1035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3" t="s">
        <v>43</v>
      </c>
      <c r="B35" s="1034"/>
      <c r="C35" s="1035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3" t="s">
        <v>51</v>
      </c>
      <c r="B39" s="1034"/>
      <c r="C39" s="1035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3" t="s">
        <v>70</v>
      </c>
      <c r="B49" s="1034"/>
      <c r="C49" s="1035"/>
    </row>
    <row r="50" spans="1:3">
      <c r="A50" s="315"/>
      <c r="B50" s="294" t="s">
        <v>883</v>
      </c>
      <c r="C50" s="293" t="s">
        <v>224</v>
      </c>
    </row>
    <row r="51" spans="1:3">
      <c r="A51" s="577" t="s">
        <v>261</v>
      </c>
      <c r="B51" s="294" t="s">
        <v>884</v>
      </c>
      <c r="C51" s="293" t="s">
        <v>894</v>
      </c>
    </row>
    <row r="52" spans="1:3">
      <c r="A52" s="315"/>
      <c r="B52" s="294" t="s">
        <v>885</v>
      </c>
      <c r="C52" s="293" t="s">
        <v>225</v>
      </c>
    </row>
    <row r="53" spans="1:3">
      <c r="A53" s="315"/>
      <c r="B53" s="294" t="s">
        <v>887</v>
      </c>
      <c r="C53" s="293" t="s">
        <v>226</v>
      </c>
    </row>
    <row r="54" spans="1:3">
      <c r="A54" s="315"/>
      <c r="B54" s="294" t="s">
        <v>886</v>
      </c>
      <c r="C54" s="293" t="s">
        <v>227</v>
      </c>
    </row>
    <row r="55" spans="1:3">
      <c r="A55" s="315"/>
      <c r="B55" s="294" t="s">
        <v>888</v>
      </c>
      <c r="C55" s="293" t="s">
        <v>229</v>
      </c>
    </row>
    <row r="56" spans="1:3">
      <c r="A56" s="315"/>
      <c r="B56" s="294" t="s">
        <v>889</v>
      </c>
      <c r="C56" s="293" t="s">
        <v>228</v>
      </c>
    </row>
    <row r="57" spans="1:3">
      <c r="A57" s="315"/>
      <c r="B57" s="294" t="s">
        <v>890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891</v>
      </c>
      <c r="C59" s="293" t="s">
        <v>232</v>
      </c>
    </row>
    <row r="60" spans="1:3">
      <c r="A60" s="315"/>
      <c r="B60" s="294" t="s">
        <v>892</v>
      </c>
      <c r="C60" s="293" t="s">
        <v>895</v>
      </c>
    </row>
    <row r="61" spans="1:3">
      <c r="A61" s="577" t="s">
        <v>261</v>
      </c>
      <c r="B61" s="294" t="s">
        <v>893</v>
      </c>
      <c r="C61" s="293" t="s">
        <v>896</v>
      </c>
    </row>
    <row r="62" spans="1:3">
      <c r="A62" s="1033" t="s">
        <v>72</v>
      </c>
      <c r="B62" s="1034"/>
      <c r="C62" s="1035"/>
    </row>
    <row r="63" spans="1:3">
      <c r="A63" s="1033" t="s">
        <v>73</v>
      </c>
      <c r="B63" s="1034"/>
      <c r="C63" s="1035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3" t="s">
        <v>80</v>
      </c>
      <c r="B70" s="1034"/>
      <c r="C70" s="1035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3" t="s">
        <v>535</v>
      </c>
      <c r="B76" s="1034"/>
      <c r="C76" s="1035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3" t="s">
        <v>880</v>
      </c>
      <c r="B84" s="1034"/>
      <c r="C84" s="1035"/>
    </row>
    <row r="85" spans="1:3">
      <c r="B85" s="81" t="s">
        <v>881</v>
      </c>
      <c r="C85" s="81" t="s">
        <v>882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O16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974</v>
      </c>
      <c r="B1" s="745" t="s">
        <v>975</v>
      </c>
      <c r="C1" s="1013" t="s">
        <v>92</v>
      </c>
      <c r="D1" s="1016" t="s">
        <v>93</v>
      </c>
      <c r="E1" s="1017" t="s">
        <v>976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977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978</v>
      </c>
      <c r="AF1" s="1017" t="s">
        <v>979</v>
      </c>
      <c r="AG1" s="1017" t="s">
        <v>118</v>
      </c>
      <c r="AH1" s="1017" t="s">
        <v>119</v>
      </c>
      <c r="AI1" s="1017" t="s">
        <v>980</v>
      </c>
      <c r="AJ1" s="1017" t="s">
        <v>981</v>
      </c>
      <c r="AK1" s="1017" t="s">
        <v>982</v>
      </c>
      <c r="AL1" s="1017" t="s">
        <v>983</v>
      </c>
      <c r="AM1" s="1018" t="s">
        <v>984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985</v>
      </c>
      <c r="B44" s="913" t="s">
        <v>986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987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988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989</v>
      </c>
      <c r="B59" s="950" t="s">
        <v>990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991</v>
      </c>
      <c r="B60" s="950" t="s">
        <v>992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993</v>
      </c>
      <c r="B61" s="950" t="s">
        <v>994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995</v>
      </c>
      <c r="B62" s="950" t="s">
        <v>996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997</v>
      </c>
      <c r="B63" s="950" t="s">
        <v>998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999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1000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1001</v>
      </c>
      <c r="B66" s="977" t="s">
        <v>1002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1003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1004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1005</v>
      </c>
      <c r="B69" s="968" t="s">
        <v>1006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1007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1008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D1" workbookViewId="0">
      <selection activeCell="E29" sqref="E29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44" t="s">
        <v>808</v>
      </c>
      <c r="G1" s="1045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51" t="s">
        <v>792</v>
      </c>
      <c r="G2" s="1052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53" t="s">
        <v>542</v>
      </c>
      <c r="G3" s="1054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959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5" t="s">
        <v>213</v>
      </c>
      <c r="G4" s="1056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955</v>
      </c>
    </row>
    <row r="5" spans="1:45" ht="13.5" thickBot="1">
      <c r="A5" s="55"/>
      <c r="B5" s="55"/>
      <c r="C5" s="64"/>
      <c r="D5" s="64"/>
      <c r="E5" s="64"/>
      <c r="F5" s="1057" t="s">
        <v>550</v>
      </c>
      <c r="G5" s="1058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953</v>
      </c>
      <c r="AF6" s="718" t="s">
        <v>951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50" t="s">
        <v>225</v>
      </c>
      <c r="J7" s="1048"/>
      <c r="K7" s="1049"/>
      <c r="L7" s="1050" t="s">
        <v>226</v>
      </c>
      <c r="M7" s="1048"/>
      <c r="N7" s="1049"/>
      <c r="O7" s="1050" t="s">
        <v>227</v>
      </c>
      <c r="P7" s="1048"/>
      <c r="Q7" s="1048"/>
      <c r="R7" s="1046" t="s">
        <v>228</v>
      </c>
      <c r="S7" s="1048" t="s">
        <v>807</v>
      </c>
      <c r="T7" s="1048"/>
      <c r="U7" s="1048"/>
      <c r="V7" s="1048"/>
      <c r="W7" s="1048"/>
      <c r="X7" s="1049"/>
      <c r="Y7" s="1038" t="s">
        <v>877</v>
      </c>
      <c r="Z7" s="1038" t="s">
        <v>552</v>
      </c>
      <c r="AA7" s="1040" t="s">
        <v>944</v>
      </c>
      <c r="AB7" s="1040" t="s">
        <v>943</v>
      </c>
      <c r="AC7" s="1040" t="s">
        <v>945</v>
      </c>
      <c r="AE7" s="1040" t="s">
        <v>949</v>
      </c>
      <c r="AF7" s="1041"/>
      <c r="AG7" s="1041"/>
      <c r="AH7" s="1041"/>
      <c r="AI7" s="1041"/>
      <c r="AJ7" s="1041"/>
      <c r="AK7" s="1041"/>
      <c r="AL7" s="1041"/>
      <c r="AM7" s="1041"/>
      <c r="AN7" s="1041"/>
      <c r="AO7" s="104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7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39"/>
      <c r="Z8" s="1039"/>
      <c r="AA8" s="1042" t="s">
        <v>816</v>
      </c>
      <c r="AB8" s="1042"/>
      <c r="AC8" s="1042" t="s">
        <v>816</v>
      </c>
      <c r="AE8" s="1042"/>
      <c r="AF8" s="1043"/>
      <c r="AG8" s="1043"/>
      <c r="AH8" s="1043"/>
      <c r="AI8" s="1043"/>
      <c r="AJ8" s="1043"/>
      <c r="AK8" s="1043"/>
      <c r="AL8" s="1043"/>
      <c r="AM8" s="1043"/>
      <c r="AN8" s="1043"/>
      <c r="AO8" s="1043"/>
    </row>
    <row r="9" spans="1:45" s="81" customFormat="1" ht="12" customHeight="1">
      <c r="A9" s="508" t="s">
        <v>792</v>
      </c>
      <c r="B9" s="509" t="s">
        <v>633</v>
      </c>
      <c r="C9" s="509">
        <f>SUM('EB2018'!D56:'EB2018'!G56)*RSD_Balance!B4</f>
        <v>10.270341048136247</v>
      </c>
      <c r="D9" s="64"/>
      <c r="E9" s="578" t="s">
        <v>792</v>
      </c>
      <c r="F9" s="595">
        <f>'SHWLP-Apt'!$AA$7+'SHWLP-Apt'!AA19</f>
        <v>8.5334395921791248E-2</v>
      </c>
      <c r="G9" s="589">
        <f>'SHWLP-Att'!$AA$7+'SHWLP-Att'!$AA$19</f>
        <v>2.7701886848236001</v>
      </c>
      <c r="H9" s="596">
        <f>'SHWLP-Det'!$AA$7+'SHWLP-Det'!$AA$19</f>
        <v>3.206216324625665</v>
      </c>
      <c r="I9" s="595">
        <f>'SHWLP-Apt'!$AA$33+'SHWLP-Apt'!$AA$45</f>
        <v>2.4991812811631701E-3</v>
      </c>
      <c r="J9" s="589">
        <f>'SHWLP-Att'!$AA$33+'SHWLP-Att'!$AA$45</f>
        <v>0.2750134292388709</v>
      </c>
      <c r="K9" s="596">
        <f>'SHWLP-Det'!$AA$33+'SHWLP-Det'!$AA$45</f>
        <v>0.15814361799245538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6.4973956338835457</v>
      </c>
      <c r="Z9" s="542">
        <f>C9</f>
        <v>10.270341048136247</v>
      </c>
      <c r="AA9" s="428">
        <f>ABS(Z9-Y9)/Z9</f>
        <v>0.3673632060093443</v>
      </c>
      <c r="AB9" s="703">
        <f>AF13</f>
        <v>6.4973956338835404</v>
      </c>
      <c r="AC9" s="428">
        <f>ABS(AB9-Y9)/AB9</f>
        <v>8.2018562797837928E-16</v>
      </c>
      <c r="AF9" s="704" t="s">
        <v>952</v>
      </c>
      <c r="AG9" s="704" t="s">
        <v>948</v>
      </c>
      <c r="AH9" s="704" t="s">
        <v>957</v>
      </c>
      <c r="AI9" s="704" t="s">
        <v>228</v>
      </c>
      <c r="AK9" s="704" t="s">
        <v>946</v>
      </c>
      <c r="AL9" s="704" t="s">
        <v>947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8.22841291156168</v>
      </c>
      <c r="AC10" s="428">
        <f>ABS(AB10-Y10)/AB10</f>
        <v>8.6352343203599088E-16</v>
      </c>
      <c r="AE10" s="707" t="s">
        <v>651</v>
      </c>
      <c r="AF10" s="722">
        <v>2.4381198480163E-4</v>
      </c>
      <c r="AG10" s="81">
        <v>1.9000000000000001E-4</v>
      </c>
      <c r="AH10" s="719">
        <v>5.1999999999999997E-5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959</v>
      </c>
      <c r="AS10" s="81" t="s">
        <v>958</v>
      </c>
    </row>
    <row r="11" spans="1:45" s="81" customFormat="1" ht="12" customHeight="1">
      <c r="A11" s="305" t="s">
        <v>962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6.2699491377557662E-2</v>
      </c>
      <c r="G11" s="589">
        <f>'SHWLP-Att'!$AA$10</f>
        <v>0.25252091542318</v>
      </c>
      <c r="H11" s="596">
        <f>'SHWLP-Det'!$AA$10</f>
        <v>1.074735008078707</v>
      </c>
      <c r="I11" s="595">
        <f>'SHWLP-Apt'!$AA$36</f>
        <v>2.9221417979611884E-2</v>
      </c>
      <c r="J11" s="589">
        <f>'SHWLP-Att'!$AA$36</f>
        <v>0.11011048922069677</v>
      </c>
      <c r="K11" s="596">
        <f>'SHWLP-Det'!$AA$36</f>
        <v>0.25759124423742613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1.8263709726629151</v>
      </c>
      <c r="Z11" s="542">
        <f t="shared" si="0"/>
        <v>2.2542368842613176</v>
      </c>
      <c r="AA11" s="428">
        <f>ABS(Z11-Y11)/Z11</f>
        <v>0.1898052128352998</v>
      </c>
      <c r="AB11" s="721">
        <f>AF18</f>
        <v>1.82389251792318</v>
      </c>
      <c r="AC11" s="428">
        <f>ABS(AB11-Y11)/AB11</f>
        <v>1.3588820149102504E-3</v>
      </c>
      <c r="AD11" s="428"/>
      <c r="AE11" s="707" t="s">
        <v>650</v>
      </c>
      <c r="AF11" s="722">
        <v>1.3994741658566301E-4</v>
      </c>
      <c r="AG11" s="719">
        <v>1.3999999999999999E-4</v>
      </c>
      <c r="AH11" s="719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961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722">
        <v>1.1663087225055899</v>
      </c>
      <c r="AG12" s="719">
        <v>0.13880999999999999</v>
      </c>
      <c r="AH12" s="719">
        <v>1.027501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0.22904314927329883</v>
      </c>
      <c r="G13" s="589">
        <f>'SHWLP-Att'!$AA$13</f>
        <v>6.6978412716502147</v>
      </c>
      <c r="H13" s="596">
        <f>'SHWLP-Det'!$AA$13</f>
        <v>25.388899193879137</v>
      </c>
      <c r="I13" s="595">
        <f>'SHWLP-Apt'!$AA$39</f>
        <v>5.9339455985880335E-2</v>
      </c>
      <c r="J13" s="589">
        <f>'SHWLP-Att'!$AA$39</f>
        <v>2.6239567853145891</v>
      </c>
      <c r="K13" s="596">
        <f>'SHWLP-Det'!$AA$39</f>
        <v>7.5135071118768257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42.512586967979942</v>
      </c>
      <c r="Z13" s="573">
        <f t="shared" si="0"/>
        <v>36.148841345600246</v>
      </c>
      <c r="AA13" s="428">
        <f>ABS(Z13+Z14+Z16-Y13)/(Z13+Z14+Z16)</f>
        <v>0.11780788604411613</v>
      </c>
      <c r="AB13" s="703">
        <f>AF17</f>
        <v>42.5125869679799</v>
      </c>
      <c r="AC13" s="428">
        <f t="shared" ref="AC13:AC27" si="2">ABS(AB13-Y13)/AB13</f>
        <v>1.0028221565936809E-15</v>
      </c>
      <c r="AD13" s="55"/>
      <c r="AE13" s="707" t="s">
        <v>897</v>
      </c>
      <c r="AF13" s="722">
        <v>6.4973956338835404</v>
      </c>
      <c r="AG13" s="719">
        <v>0.43565999999999999</v>
      </c>
      <c r="AH13" s="719">
        <v>6.0617390000000002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0.11780788604411613</v>
      </c>
      <c r="AB14" s="55"/>
      <c r="AC14" s="55"/>
      <c r="AD14" s="55"/>
      <c r="AE14" s="707" t="s">
        <v>459</v>
      </c>
      <c r="AF14" s="722">
        <v>29.471665926863601</v>
      </c>
      <c r="AG14" s="719">
        <v>2.0117799999999999</v>
      </c>
      <c r="AH14" s="719">
        <v>3.171421</v>
      </c>
      <c r="AI14" s="719">
        <v>2.0926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965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0.11780788604411613</v>
      </c>
      <c r="AD15" s="55"/>
      <c r="AE15" s="707" t="s">
        <v>644</v>
      </c>
      <c r="AF15" s="722">
        <v>25.249696509276699</v>
      </c>
      <c r="AG15" s="719">
        <v>7.0470600000000001</v>
      </c>
      <c r="AH15" s="719">
        <v>17.574746999999999</v>
      </c>
      <c r="AI15" s="719">
        <v>0.62790000000000001</v>
      </c>
      <c r="AS15" s="81">
        <v>10.843443600000001</v>
      </c>
    </row>
    <row r="16" spans="1:45" s="81" customFormat="1" ht="12" customHeight="1">
      <c r="A16" s="306" t="s">
        <v>966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0.11780788604411613</v>
      </c>
      <c r="AD16" s="55"/>
      <c r="AE16" s="707" t="s">
        <v>456</v>
      </c>
      <c r="AF16" s="722">
        <v>0.245097802600691</v>
      </c>
      <c r="AG16" s="719">
        <v>1.357E-2</v>
      </c>
      <c r="AH16" s="719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25.249696509276699</v>
      </c>
      <c r="AC17" s="428">
        <f t="shared" si="2"/>
        <v>1.6651326301470634E-3</v>
      </c>
      <c r="AD17" s="55"/>
      <c r="AE17" s="707" t="s">
        <v>640</v>
      </c>
      <c r="AF17" s="722">
        <v>42.5125869679799</v>
      </c>
      <c r="AG17" s="719">
        <v>10.1968</v>
      </c>
      <c r="AH17" s="719">
        <v>32.315784000000001</v>
      </c>
    </row>
    <row r="18" spans="1:45" s="81" customFormat="1" ht="12" customHeight="1">
      <c r="A18" s="306" t="s">
        <v>968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0.54660530768551896</v>
      </c>
      <c r="AC18" s="428">
        <f t="shared" si="2"/>
        <v>2.0311237542243304E-16</v>
      </c>
      <c r="AD18" s="55"/>
      <c r="AE18" s="707" t="s">
        <v>638</v>
      </c>
      <c r="AF18" s="722">
        <v>1.82389251792318</v>
      </c>
      <c r="AG18" s="719">
        <v>0.39692</v>
      </c>
      <c r="AH18" s="719">
        <v>1.3899550000000001</v>
      </c>
      <c r="AI18" s="719">
        <v>3.6999999999999998E-2</v>
      </c>
      <c r="AS18" s="81">
        <f>SUM(AS11:AS16)</f>
        <v>19.019561849999999</v>
      </c>
    </row>
    <row r="19" spans="1:45" s="81" customFormat="1" ht="12" customHeight="1">
      <c r="A19" s="305" t="s">
        <v>969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1.0298937985414789E-2</v>
      </c>
      <c r="G19" s="589">
        <f>'SHWLP-Att'!$AA$21+'SHWLP-Att'!$AA$22</f>
        <v>0.22863830440973262</v>
      </c>
      <c r="H19" s="596">
        <f>'SHWLP-Det'!$AA$21+'SHWLP-Det'!$AA$22</f>
        <v>0.78856328005425225</v>
      </c>
      <c r="I19" s="595">
        <f>'SHWLP-Apt'!$AA$48+'SHWLP-Apt'!$AA$47</f>
        <v>3.5855018610318609E-3</v>
      </c>
      <c r="J19" s="589">
        <f>'SHWLP-Att'!$AA$48+'SHWLP-Att'!$AA$47</f>
        <v>4.1562072672763774E-2</v>
      </c>
      <c r="K19" s="596">
        <f>'SHWLP-Det'!$AA$48+'SHWLP-Det'!$AA$47</f>
        <v>9.366062552240062E-2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1.1663087225055957</v>
      </c>
      <c r="Z19" s="542">
        <f t="shared" si="0"/>
        <v>1.2806945652086403</v>
      </c>
      <c r="AA19" s="428">
        <f>ABS(Z19-Y19)/Z19</f>
        <v>8.9315474438989143E-2</v>
      </c>
      <c r="AB19" s="704">
        <f>AF12</f>
        <v>1.1663087225055899</v>
      </c>
      <c r="AC19" s="428">
        <f t="shared" si="2"/>
        <v>4.9499413119780939E-15</v>
      </c>
      <c r="AD19" s="55"/>
      <c r="AE19" s="707" t="s">
        <v>460</v>
      </c>
      <c r="AF19" s="722">
        <v>8.22841291156168</v>
      </c>
      <c r="AG19" s="719">
        <v>0.83143999999999996</v>
      </c>
      <c r="AH19" s="719">
        <v>7.3969699999999996</v>
      </c>
    </row>
    <row r="20" spans="1:45" s="81" customFormat="1" ht="12" customHeight="1">
      <c r="A20" s="306" t="s">
        <v>970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722">
        <v>0.90518357455631904</v>
      </c>
      <c r="AH20" s="719">
        <v>0.90518399999999999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722">
        <v>0.54660530768551896</v>
      </c>
      <c r="AG21" s="81">
        <v>0.54661000000000004</v>
      </c>
      <c r="AS21" s="81">
        <f>AF24-AS18</f>
        <v>97.627667784238099</v>
      </c>
    </row>
    <row r="22" spans="1:45" s="81" customFormat="1" ht="12" customHeight="1">
      <c r="A22" s="306" t="s">
        <v>971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0.90518357455631904</v>
      </c>
      <c r="AC22" s="428">
        <f t="shared" si="2"/>
        <v>4.5204626064630563E-2</v>
      </c>
      <c r="AD22" s="55"/>
      <c r="AE22" s="55"/>
    </row>
    <row r="23" spans="1:45" s="81" customFormat="1" ht="12" customHeight="1">
      <c r="A23" s="305" t="s">
        <v>972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973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116.6472296342381</v>
      </c>
      <c r="AG24" s="709">
        <f>SUM(AG10:AG21)</f>
        <v>21.618980000000001</v>
      </c>
      <c r="AH24" s="709">
        <f>SUM(AH10:AH21)</f>
        <v>70.074878999999996</v>
      </c>
      <c r="AI24" s="709">
        <f t="shared" ref="AI24" si="3">SUM(AI10:AI21)</f>
        <v>2.7574999999999998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3.8173578143090665E-4</v>
      </c>
      <c r="AG25" s="712">
        <f>ABS(AG24-I30)/AG24</f>
        <v>2.8145318387042098E-7</v>
      </c>
      <c r="AH25" s="712">
        <f>ABS(AH24-F30)/AH24</f>
        <v>5.8391527628239058E-4</v>
      </c>
      <c r="AI25" s="713">
        <f>ABS(AI24-R29)/AI24</f>
        <v>1.3256396619998276E-3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29.471665926863601</v>
      </c>
      <c r="AC26" s="428">
        <f t="shared" si="2"/>
        <v>1.3882015374266847E-3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4">SUM(F9:F27)</f>
        <v>2.892534759658949</v>
      </c>
      <c r="G29" s="547">
        <f t="shared" si="4"/>
        <v>24.657978000947008</v>
      </c>
      <c r="H29" s="547">
        <f t="shared" si="4"/>
        <v>42.565284031725781</v>
      </c>
      <c r="I29" s="547">
        <f t="shared" si="4"/>
        <v>1.8438837291499246</v>
      </c>
      <c r="J29" s="547">
        <f t="shared" si="4"/>
        <v>8.9801192795333638</v>
      </c>
      <c r="K29" s="547">
        <f t="shared" si="4"/>
        <v>10.794983076047465</v>
      </c>
      <c r="L29" s="547">
        <f t="shared" si="4"/>
        <v>0.33324972411353743</v>
      </c>
      <c r="M29" s="547">
        <f t="shared" si="4"/>
        <v>1.7527820568537191</v>
      </c>
      <c r="N29" s="547">
        <f t="shared" si="4"/>
        <v>2.7292596494240944</v>
      </c>
      <c r="O29" s="547">
        <f t="shared" si="4"/>
        <v>6.8669034558234018E-2</v>
      </c>
      <c r="P29" s="547">
        <f t="shared" si="4"/>
        <v>0.48537443842897676</v>
      </c>
      <c r="Q29" s="547">
        <f t="shared" si="4"/>
        <v>0.56807842105210182</v>
      </c>
      <c r="R29" s="720">
        <f t="shared" si="4"/>
        <v>2.7611554513679644</v>
      </c>
      <c r="S29" s="547">
        <f t="shared" si="4"/>
        <v>1.4117078065859998</v>
      </c>
      <c r="T29" s="547">
        <f t="shared" si="4"/>
        <v>1.1023237905322498</v>
      </c>
      <c r="U29" s="547">
        <f t="shared" si="4"/>
        <v>1.7147299705763039</v>
      </c>
      <c r="V29" s="547">
        <f t="shared" si="4"/>
        <v>1.1862012348845998</v>
      </c>
      <c r="W29" s="717">
        <f t="shared" si="4"/>
        <v>10.843443600154002</v>
      </c>
      <c r="X29" s="547">
        <f t="shared" si="4"/>
        <v>0</v>
      </c>
      <c r="Y29" s="615">
        <f t="shared" si="4"/>
        <v>116.69175805559428</v>
      </c>
      <c r="Z29" s="616">
        <f t="shared" si="4"/>
        <v>126.68456757434075</v>
      </c>
      <c r="AA29" s="428">
        <f>ABS(Z29-Y29)/Z29</f>
        <v>7.8879453986236414E-2</v>
      </c>
      <c r="AB29" s="40">
        <f>SUM(AB9:AB27)</f>
        <v>116.64684587483674</v>
      </c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70.115796792331736</v>
      </c>
      <c r="G30" s="546">
        <f>F30/$Y$29</f>
        <v>0.60086331683277217</v>
      </c>
      <c r="H30" s="370"/>
      <c r="I30" s="547">
        <f>SUM(I29:K29)</f>
        <v>21.618986084730754</v>
      </c>
      <c r="J30" s="546">
        <f>I30/$Y$29</f>
        <v>0.1852657500834895</v>
      </c>
      <c r="K30" s="370"/>
      <c r="L30" s="547">
        <f>SUM(L29:N29)</f>
        <v>4.8152914303913512</v>
      </c>
      <c r="M30" s="546">
        <f>L30/$Y$29</f>
        <v>4.1265051710826485E-2</v>
      </c>
      <c r="N30" s="370"/>
      <c r="O30" s="547">
        <f>SUM(O29:Q29)</f>
        <v>1.1221218940393127</v>
      </c>
      <c r="P30" s="546">
        <f>O30/$Y$29</f>
        <v>9.6161195335210514E-3</v>
      </c>
      <c r="Q30" s="370"/>
      <c r="R30" s="546">
        <f>R29/$Y$29</f>
        <v>2.3661957771280599E-2</v>
      </c>
      <c r="S30" s="547">
        <f>SUM(S29:X29)</f>
        <v>16.258406402733154</v>
      </c>
      <c r="T30" s="546">
        <f>S30/$Y$29</f>
        <v>0.13932780406811016</v>
      </c>
      <c r="U30" s="370"/>
      <c r="V30" s="370"/>
      <c r="W30" s="370"/>
      <c r="X30" s="370"/>
      <c r="Y30" s="548">
        <f>T30+R30+P30++M30+J30+G30</f>
        <v>1</v>
      </c>
      <c r="Z30" s="371"/>
      <c r="AA30" s="55"/>
      <c r="AF30" s="81"/>
      <c r="AG30" s="81"/>
      <c r="AH30" s="81"/>
    </row>
    <row r="31" spans="1:45" s="81" customFormat="1">
      <c r="A31" s="81" t="s">
        <v>551</v>
      </c>
      <c r="B31" s="369"/>
      <c r="D31" s="68"/>
      <c r="H31" s="368">
        <f>SUM(F19:H19)</f>
        <v>1.0275005224493996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70.115796792331736</v>
      </c>
      <c r="AA33" s="55"/>
      <c r="AB33" s="55"/>
      <c r="AC33" s="55"/>
      <c r="AD33" s="55"/>
      <c r="AE33" s="81"/>
      <c r="AF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21.618986084730754</v>
      </c>
      <c r="AA34" s="55"/>
      <c r="AB34" s="55"/>
      <c r="AC34" s="55"/>
      <c r="AD34" s="55"/>
      <c r="AE34" s="81"/>
      <c r="AF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 t="shared" ref="D44:D47" si="5">C45/$C$49</f>
        <v>0.1875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si="5"/>
        <v>2.2559171597633133E-2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5"/>
        <v>0.16974852071005916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5"/>
        <v>9.2455621301775152E-3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59" t="s">
        <v>608</v>
      </c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M4" s="373"/>
      <c r="O4" s="1059" t="s">
        <v>610</v>
      </c>
      <c r="P4" s="1059"/>
      <c r="Q4" s="1059"/>
      <c r="R4" s="1059"/>
      <c r="S4" s="1059"/>
      <c r="T4" s="1059"/>
      <c r="U4" s="1059"/>
      <c r="V4" s="1059"/>
      <c r="W4" s="1059"/>
      <c r="X4" s="1059"/>
      <c r="Y4" s="1059"/>
      <c r="Z4" s="1059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0" t="s">
        <v>617</v>
      </c>
      <c r="AZ18" s="1060"/>
      <c r="BA18" s="1060"/>
      <c r="BB18" s="1060"/>
      <c r="BC18" s="1060"/>
      <c r="BD18" s="1060"/>
      <c r="BE18" s="1060"/>
      <c r="BF18" s="1060"/>
      <c r="BG18" s="1060"/>
      <c r="BH18" s="1060"/>
      <c r="BI18" s="1060"/>
      <c r="BJ18" s="1060"/>
      <c r="BL18" s="1060" t="s">
        <v>618</v>
      </c>
      <c r="BM18" s="1060"/>
      <c r="BN18" s="1060"/>
      <c r="BO18" s="1060"/>
      <c r="BP18" s="1060"/>
      <c r="BQ18" s="1060"/>
      <c r="BR18" s="1060"/>
      <c r="BS18" s="1060"/>
      <c r="BT18" s="1060"/>
      <c r="BU18" s="1060"/>
      <c r="BV18" s="1060"/>
      <c r="BW18" s="1060"/>
      <c r="BX18" s="1060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59" t="s">
        <v>609</v>
      </c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373"/>
      <c r="O19" s="1059" t="s">
        <v>610</v>
      </c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B19" s="1059" t="s">
        <v>611</v>
      </c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N19" s="1059" t="s">
        <v>612</v>
      </c>
      <c r="AO19" s="1059"/>
      <c r="AP19" s="1059"/>
      <c r="AQ19" s="1059"/>
      <c r="AR19" s="1059"/>
      <c r="AS19" s="1059"/>
      <c r="AT19" s="1059"/>
      <c r="AU19" s="1059"/>
      <c r="AV19" s="1059"/>
      <c r="AW19" s="1059"/>
      <c r="AY19" s="1059" t="s">
        <v>613</v>
      </c>
      <c r="AZ19" s="1059"/>
      <c r="BA19" s="1059"/>
      <c r="BB19" s="1059"/>
      <c r="BC19" s="1059"/>
      <c r="BD19" s="1059"/>
      <c r="BE19" s="1059"/>
      <c r="BF19" s="1059"/>
      <c r="BG19" s="1059"/>
      <c r="BH19" s="1059"/>
      <c r="BI19" s="1059"/>
      <c r="BJ19" s="1059"/>
      <c r="BL19" s="1059" t="s">
        <v>619</v>
      </c>
      <c r="BM19" s="1059"/>
      <c r="BN19" s="1059"/>
      <c r="BO19" s="1059"/>
      <c r="BP19" s="1059"/>
      <c r="BQ19" s="1059"/>
      <c r="BR19" s="1059"/>
      <c r="BS19" s="1059"/>
      <c r="BT19" s="1059"/>
      <c r="BU19" s="1059"/>
      <c r="BV19" s="1059"/>
      <c r="BW19" s="1059"/>
      <c r="BX19" s="1059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8" sqref="E8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936</v>
      </c>
      <c r="D3" s="34"/>
      <c r="E3" s="701"/>
      <c r="F3" s="701"/>
      <c r="G3" s="701"/>
      <c r="H3" s="701"/>
      <c r="I3" s="701"/>
      <c r="J3" s="701"/>
      <c r="K3" s="700"/>
      <c r="M3" s="34" t="s">
        <v>936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937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937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938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938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/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/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/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939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937</v>
      </c>
      <c r="C5" s="349" t="s">
        <v>238</v>
      </c>
      <c r="D5" s="626" t="s">
        <v>897</v>
      </c>
      <c r="E5" s="434" t="s">
        <v>460</v>
      </c>
      <c r="F5" s="434" t="s">
        <v>638</v>
      </c>
      <c r="G5" s="434" t="s">
        <v>640</v>
      </c>
      <c r="H5" s="434" t="s">
        <v>644</v>
      </c>
      <c r="I5" s="434" t="s">
        <v>646</v>
      </c>
      <c r="J5" s="434" t="s">
        <v>650</v>
      </c>
      <c r="K5" s="434" t="s">
        <v>651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F25" sqref="F25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12.140625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941</v>
      </c>
      <c r="F2" s="557"/>
      <c r="H2" s="557"/>
      <c r="K2" s="558" t="s">
        <v>940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937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935</v>
      </c>
      <c r="H3" s="562" t="s">
        <v>934</v>
      </c>
      <c r="I3" s="562" t="s">
        <v>853</v>
      </c>
      <c r="K3" s="563" t="s">
        <v>268</v>
      </c>
      <c r="L3" s="563" t="s">
        <v>937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938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938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213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871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872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870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960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topLeftCell="A5" zoomScale="110" zoomScaleNormal="110" workbookViewId="0">
      <selection activeCell="I12" sqref="I12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70" t="s">
        <v>942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1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1" ht="21">
      <c r="B3" s="70" t="s">
        <v>819</v>
      </c>
      <c r="C3" s="70"/>
      <c r="D3" s="70"/>
      <c r="E3" s="70"/>
      <c r="F3" s="43" t="s">
        <v>941</v>
      </c>
      <c r="G3" s="43"/>
      <c r="H3" s="43"/>
      <c r="I3" s="43"/>
      <c r="J3" s="43"/>
      <c r="K3" s="43"/>
      <c r="L3" s="32"/>
      <c r="M3" s="34" t="s">
        <v>940</v>
      </c>
      <c r="N3" s="34"/>
      <c r="O3" s="34"/>
      <c r="P3" s="34"/>
      <c r="Q3" s="34"/>
      <c r="R3" s="34"/>
      <c r="S3" s="34"/>
      <c r="T3" s="34"/>
      <c r="U3" s="323"/>
      <c r="V3" s="323"/>
      <c r="W3" s="323"/>
      <c r="X3" s="323"/>
      <c r="Y3" s="323"/>
      <c r="Z3" s="323"/>
      <c r="AA3" s="323"/>
      <c r="AB3" s="323"/>
      <c r="AC3" s="323"/>
      <c r="AD3" s="466" t="str">
        <f>"*H_"&amp;"*"&amp;RIGHT(AG3,LEN(AG3)-3)&amp;"_"&amp;SETUP!B64</f>
        <v>*H_*COABIT_X0</v>
      </c>
      <c r="AE3" s="466" t="str">
        <f>COMM!F6&amp;"_"&amp;SETUP!C64</f>
        <v>Coal to Residential_Existing 00</v>
      </c>
      <c r="AF3" s="466" t="e">
        <f>RSD_Balance!#REF!</f>
        <v>#REF!</v>
      </c>
      <c r="AG3" s="466" t="s">
        <v>634</v>
      </c>
      <c r="AH3" s="466">
        <v>1</v>
      </c>
      <c r="AI3" s="466"/>
      <c r="AJ3" s="466"/>
      <c r="AK3" s="466"/>
      <c r="AL3" s="466">
        <v>5.2909653443917494E-2</v>
      </c>
      <c r="AM3" s="466">
        <v>0.1130595111768057</v>
      </c>
      <c r="AN3" s="466">
        <v>0.18480169736713609</v>
      </c>
      <c r="AO3" s="466">
        <v>9.1980608893918028E-2</v>
      </c>
      <c r="AP3" s="466">
        <v>4.0248445684114405E-2</v>
      </c>
      <c r="AQ3" s="466">
        <v>6.6194646918417144E-2</v>
      </c>
      <c r="AR3" s="466">
        <v>0.12021532312122017</v>
      </c>
      <c r="AS3" s="466">
        <v>5.2154967135292975E-2</v>
      </c>
      <c r="AT3" s="466">
        <v>1.3178805351752886E-2</v>
      </c>
      <c r="AU3" s="466">
        <v>1.4108453121111133E-2</v>
      </c>
      <c r="AV3" s="466">
        <v>2.1205986611954164E-2</v>
      </c>
      <c r="AW3" s="466">
        <v>7.1491504124769718E-3</v>
      </c>
      <c r="AX3" s="466">
        <v>3.4589279795612465E-2</v>
      </c>
      <c r="AY3" s="466">
        <v>5.5365584468802055E-2</v>
      </c>
      <c r="AZ3" s="466">
        <v>9.9766180708504015E-2</v>
      </c>
      <c r="BA3" s="466">
        <v>4.2243948847130071E-2</v>
      </c>
      <c r="BB3" s="464"/>
      <c r="BC3" s="466">
        <v>5.0264170771721614E-2</v>
      </c>
      <c r="BD3" s="466">
        <v>0.10740653561796541</v>
      </c>
      <c r="BE3" s="466">
        <v>0.17556161249877927</v>
      </c>
      <c r="BF3" s="466">
        <v>8.7381578449222119E-2</v>
      </c>
      <c r="BG3" s="466">
        <v>3.8236023399908683E-2</v>
      </c>
      <c r="BH3" s="466">
        <v>6.2884914572496287E-2</v>
      </c>
      <c r="BI3" s="466">
        <v>0.11420455696515916</v>
      </c>
      <c r="BJ3" s="466">
        <v>4.9547218778528322E-2</v>
      </c>
      <c r="BK3" s="466">
        <v>1.2519865084165241E-2</v>
      </c>
      <c r="BL3" s="466">
        <v>1.3403030465055575E-2</v>
      </c>
      <c r="BM3" s="466">
        <v>2.0145687281356454E-2</v>
      </c>
      <c r="BN3" s="466">
        <v>6.7916928918531228E-3</v>
      </c>
      <c r="BO3" s="466">
        <v>3.2859815805831839E-2</v>
      </c>
      <c r="BP3" s="466">
        <v>5.259730524536195E-2</v>
      </c>
      <c r="BQ3" s="466">
        <v>9.4777871673078815E-2</v>
      </c>
      <c r="BR3" s="466">
        <v>4.0131751404773562E-2</v>
      </c>
      <c r="BS3" s="458" t="s">
        <v>458</v>
      </c>
    </row>
    <row r="4" spans="2:71" ht="12" customHeight="1">
      <c r="B4" s="36" t="s">
        <v>937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954</v>
      </c>
      <c r="I4" s="44" t="s">
        <v>276</v>
      </c>
      <c r="J4" s="44" t="s">
        <v>277</v>
      </c>
      <c r="K4" s="44" t="s">
        <v>878</v>
      </c>
      <c r="L4" s="32"/>
      <c r="M4" s="36" t="s">
        <v>268</v>
      </c>
      <c r="N4" s="36" t="s">
        <v>937</v>
      </c>
      <c r="O4" s="36" t="s">
        <v>262</v>
      </c>
      <c r="P4" s="36" t="s">
        <v>263</v>
      </c>
      <c r="Q4" s="36" t="s">
        <v>269</v>
      </c>
      <c r="R4" s="36" t="s">
        <v>270</v>
      </c>
      <c r="S4" s="36" t="s">
        <v>271</v>
      </c>
      <c r="T4" s="36" t="s">
        <v>272</v>
      </c>
      <c r="U4" s="81"/>
      <c r="V4" s="81"/>
      <c r="W4" s="81"/>
      <c r="X4" s="81"/>
      <c r="Y4" s="81"/>
      <c r="Z4" s="81"/>
      <c r="AA4" s="81"/>
      <c r="AB4" s="81"/>
      <c r="AC4" s="81"/>
      <c r="AD4" s="467" t="str">
        <f>"*H_"&amp;"*"&amp;RIGHT(AG4,LEN(AG4)-3)&amp;"_"&amp;SETUP!B64</f>
        <v>*H_*COAHAR_X0</v>
      </c>
      <c r="AE4" s="467" t="e">
        <f>COMM!#REF!&amp;"_"&amp;SETUP!C64</f>
        <v>#REF!</v>
      </c>
      <c r="AF4" s="467" t="e">
        <f>RSD_Balance!#REF!</f>
        <v>#REF!</v>
      </c>
      <c r="AG4" s="467" t="s">
        <v>635</v>
      </c>
      <c r="AH4" s="467">
        <v>1</v>
      </c>
      <c r="AI4" s="467"/>
      <c r="AJ4" s="467"/>
      <c r="AK4" s="467"/>
      <c r="AL4" s="467">
        <v>5.2909653443917494E-2</v>
      </c>
      <c r="AM4" s="467">
        <v>0.1130595111768057</v>
      </c>
      <c r="AN4" s="467">
        <v>0.18480169736713609</v>
      </c>
      <c r="AO4" s="467">
        <v>9.1980608893918028E-2</v>
      </c>
      <c r="AP4" s="467">
        <v>4.0248445684114405E-2</v>
      </c>
      <c r="AQ4" s="467">
        <v>6.6194646918417144E-2</v>
      </c>
      <c r="AR4" s="467">
        <v>0.12021532312122017</v>
      </c>
      <c r="AS4" s="467">
        <v>5.2154967135292975E-2</v>
      </c>
      <c r="AT4" s="467">
        <v>1.3178805351752886E-2</v>
      </c>
      <c r="AU4" s="467">
        <v>1.4108453121111133E-2</v>
      </c>
      <c r="AV4" s="467">
        <v>2.1205986611954164E-2</v>
      </c>
      <c r="AW4" s="467">
        <v>7.1491504124769718E-3</v>
      </c>
      <c r="AX4" s="467">
        <v>3.4589279795612465E-2</v>
      </c>
      <c r="AY4" s="467">
        <v>5.5365584468802055E-2</v>
      </c>
      <c r="AZ4" s="467">
        <v>9.9766180708504015E-2</v>
      </c>
      <c r="BA4" s="467">
        <v>4.2243948847130071E-2</v>
      </c>
      <c r="BB4" s="464"/>
      <c r="BC4" s="467">
        <v>5.0264170771721614E-2</v>
      </c>
      <c r="BD4" s="467">
        <v>0.10740653561796541</v>
      </c>
      <c r="BE4" s="467">
        <v>0.17556161249877927</v>
      </c>
      <c r="BF4" s="467">
        <v>8.7381578449222119E-2</v>
      </c>
      <c r="BG4" s="467">
        <v>3.8236023399908683E-2</v>
      </c>
      <c r="BH4" s="467">
        <v>6.2884914572496287E-2</v>
      </c>
      <c r="BI4" s="467">
        <v>0.11420455696515916</v>
      </c>
      <c r="BJ4" s="467">
        <v>4.9547218778528322E-2</v>
      </c>
      <c r="BK4" s="467">
        <v>1.2519865084165241E-2</v>
      </c>
      <c r="BL4" s="467">
        <v>1.3403030465055575E-2</v>
      </c>
      <c r="BM4" s="467">
        <v>2.0145687281356454E-2</v>
      </c>
      <c r="BN4" s="467">
        <v>6.7916928918531228E-3</v>
      </c>
      <c r="BO4" s="467">
        <v>3.2859815805831839E-2</v>
      </c>
      <c r="BP4" s="467">
        <v>5.259730524536195E-2</v>
      </c>
      <c r="BQ4" s="467">
        <v>9.4777871673078815E-2</v>
      </c>
      <c r="BR4" s="467">
        <v>4.0131751404773562E-2</v>
      </c>
      <c r="BS4" s="458" t="s">
        <v>458</v>
      </c>
    </row>
    <row r="5" spans="2:71" ht="26.25" thickBot="1">
      <c r="B5" s="37" t="s">
        <v>950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5"/>
      <c r="J5" s="45"/>
      <c r="K5" s="45" t="s">
        <v>879</v>
      </c>
      <c r="L5" s="32"/>
      <c r="M5" s="38" t="s">
        <v>261</v>
      </c>
      <c r="N5" s="38"/>
      <c r="O5" s="38"/>
      <c r="P5" s="37"/>
      <c r="Q5" s="38"/>
      <c r="R5" s="38"/>
      <c r="S5" s="38"/>
      <c r="T5" s="38"/>
      <c r="U5" s="81"/>
      <c r="V5" s="81"/>
      <c r="W5" s="81"/>
      <c r="X5" s="81"/>
      <c r="Y5" s="81"/>
      <c r="Z5" s="81"/>
      <c r="AA5" s="81"/>
      <c r="AB5" s="81"/>
      <c r="AC5" s="81"/>
      <c r="AD5" s="466" t="str">
        <f>"*H_"&amp;"*"&amp;RIGHT(AG5,LEN(AG5)-3)&amp;"_"&amp;SETUP!B65</f>
        <v>*H_*COAHAR_X1</v>
      </c>
      <c r="AE5" s="466" t="e">
        <f>COMM!#REF!&amp;"_"&amp;SETUP!C65</f>
        <v>#REF!</v>
      </c>
      <c r="AF5" s="466" t="e">
        <f>RSD_Balance!#REF!</f>
        <v>#REF!</v>
      </c>
      <c r="AG5" s="466" t="s">
        <v>635</v>
      </c>
      <c r="AH5" s="466">
        <v>1</v>
      </c>
      <c r="AI5" s="466"/>
      <c r="AJ5" s="466"/>
      <c r="AK5" s="466"/>
      <c r="AL5" s="466">
        <v>5.2909653443917494E-2</v>
      </c>
      <c r="AM5" s="466">
        <v>0.1130595111768057</v>
      </c>
      <c r="AN5" s="466">
        <v>0.18480169736713609</v>
      </c>
      <c r="AO5" s="466">
        <v>9.1980608893918028E-2</v>
      </c>
      <c r="AP5" s="466">
        <v>4.0248445684114405E-2</v>
      </c>
      <c r="AQ5" s="466">
        <v>6.6194646918417144E-2</v>
      </c>
      <c r="AR5" s="466">
        <v>0.12021532312122017</v>
      </c>
      <c r="AS5" s="466">
        <v>5.2154967135292975E-2</v>
      </c>
      <c r="AT5" s="466">
        <v>1.3178805351752886E-2</v>
      </c>
      <c r="AU5" s="466">
        <v>1.4108453121111133E-2</v>
      </c>
      <c r="AV5" s="466">
        <v>2.1205986611954164E-2</v>
      </c>
      <c r="AW5" s="466">
        <v>7.1491504124769718E-3</v>
      </c>
      <c r="AX5" s="466">
        <v>3.4589279795612465E-2</v>
      </c>
      <c r="AY5" s="466">
        <v>5.5365584468802055E-2</v>
      </c>
      <c r="AZ5" s="466">
        <v>9.9766180708504015E-2</v>
      </c>
      <c r="BA5" s="466">
        <v>4.2243948847130071E-2</v>
      </c>
      <c r="BB5" s="464"/>
      <c r="BC5" s="466">
        <v>5.0264170771721614E-2</v>
      </c>
      <c r="BD5" s="466">
        <v>0.10740653561796541</v>
      </c>
      <c r="BE5" s="466">
        <v>0.17556161249877927</v>
      </c>
      <c r="BF5" s="466">
        <v>8.7381578449222119E-2</v>
      </c>
      <c r="BG5" s="466">
        <v>3.8236023399908683E-2</v>
      </c>
      <c r="BH5" s="466">
        <v>6.2884914572496287E-2</v>
      </c>
      <c r="BI5" s="466">
        <v>0.11420455696515916</v>
      </c>
      <c r="BJ5" s="466">
        <v>4.9547218778528322E-2</v>
      </c>
      <c r="BK5" s="466">
        <v>1.2519865084165241E-2</v>
      </c>
      <c r="BL5" s="466">
        <v>1.3403030465055575E-2</v>
      </c>
      <c r="BM5" s="466">
        <v>2.0145687281356454E-2</v>
      </c>
      <c r="BN5" s="466">
        <v>6.7916928918531228E-3</v>
      </c>
      <c r="BO5" s="466">
        <v>3.2859815805831839E-2</v>
      </c>
      <c r="BP5" s="466">
        <v>5.259730524536195E-2</v>
      </c>
      <c r="BQ5" s="466">
        <v>9.4777871673078815E-2</v>
      </c>
      <c r="BR5" s="466">
        <v>4.0131751404773562E-2</v>
      </c>
      <c r="BS5" s="458" t="s">
        <v>458</v>
      </c>
    </row>
    <row r="6" spans="2:71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O6</f>
        <v>R-BLD_Apt</v>
      </c>
      <c r="D6" s="360" t="str">
        <f>P6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360">
        <v>100</v>
      </c>
      <c r="J6" s="360">
        <v>1</v>
      </c>
      <c r="K6" s="624">
        <f>'SHWLP-Apt'!$Z$27/$G$6</f>
        <v>1.6027044536098937E-2</v>
      </c>
      <c r="L6" s="556"/>
      <c r="M6" s="360" t="s">
        <v>283</v>
      </c>
      <c r="N6" s="360" t="str">
        <f>_xlfn.TEXTJOIN(",",TRUE,IF(LEFT(Regions!$C$3,1)&lt;&gt;"*",Regions!$C$3,""),IF(LEFT(Regions!$D$3,1)&lt;&gt;"*",Regions!$D$3,""))</f>
        <v>IE,National</v>
      </c>
      <c r="O6" s="360" t="str">
        <f>_xlfn.TEXTJOIN("",TRUE,LEFT(SETUP!B$3,1),"-",SETUP!B$85,"_",SETUP!B$36)</f>
        <v>R-BLD_Apt</v>
      </c>
      <c r="P6" s="361" t="str">
        <f>_xlfn.TEXTJOIN(" ",TRUE,SETUP!C$3,SETUP!C$85,SETUP!C$36)</f>
        <v>Residential Building Apartment</v>
      </c>
      <c r="Q6" s="360" t="s">
        <v>282</v>
      </c>
      <c r="R6" s="362" t="s">
        <v>282</v>
      </c>
      <c r="S6" s="360"/>
      <c r="T6" s="360"/>
      <c r="U6" s="81"/>
      <c r="V6" s="81"/>
      <c r="W6" s="81"/>
      <c r="X6" s="81"/>
      <c r="Y6" s="81"/>
      <c r="Z6" s="81"/>
      <c r="AA6" s="81"/>
      <c r="AB6" s="81"/>
      <c r="AC6" s="81"/>
      <c r="AD6" s="467" t="str">
        <f>"*H_"&amp;"*"&amp;RIGHT(AG6,LEN(AG6)-3)&amp;"_"&amp;SETUP!B64</f>
        <v>*H_*COACOK_X0</v>
      </c>
      <c r="AE6" s="467" t="e">
        <f>COMM!#REF!&amp;"_"&amp;SETUP!C64</f>
        <v>#REF!</v>
      </c>
      <c r="AF6" s="467" t="e">
        <f>RSD_Balance!#REF!</f>
        <v>#REF!</v>
      </c>
      <c r="AG6" s="467" t="s">
        <v>636</v>
      </c>
      <c r="AH6" s="467">
        <v>1</v>
      </c>
      <c r="AI6" s="467"/>
      <c r="AJ6" s="467"/>
      <c r="AK6" s="467"/>
      <c r="AL6" s="467">
        <v>5.2909653443917494E-2</v>
      </c>
      <c r="AM6" s="467">
        <v>0.1130595111768057</v>
      </c>
      <c r="AN6" s="467">
        <v>0.18480169736713609</v>
      </c>
      <c r="AO6" s="467">
        <v>9.1980608893918028E-2</v>
      </c>
      <c r="AP6" s="467">
        <v>4.0248445684114405E-2</v>
      </c>
      <c r="AQ6" s="467">
        <v>6.6194646918417144E-2</v>
      </c>
      <c r="AR6" s="467">
        <v>0.12021532312122017</v>
      </c>
      <c r="AS6" s="467">
        <v>5.2154967135292975E-2</v>
      </c>
      <c r="AT6" s="467">
        <v>1.3178805351752886E-2</v>
      </c>
      <c r="AU6" s="467">
        <v>1.4108453121111133E-2</v>
      </c>
      <c r="AV6" s="467">
        <v>2.1205986611954164E-2</v>
      </c>
      <c r="AW6" s="467">
        <v>7.1491504124769718E-3</v>
      </c>
      <c r="AX6" s="467">
        <v>3.4589279795612465E-2</v>
      </c>
      <c r="AY6" s="467">
        <v>5.5365584468802055E-2</v>
      </c>
      <c r="AZ6" s="467">
        <v>9.9766180708504015E-2</v>
      </c>
      <c r="BA6" s="467">
        <v>4.2243948847130071E-2</v>
      </c>
      <c r="BB6" s="464"/>
      <c r="BC6" s="467">
        <v>5.0264170771721614E-2</v>
      </c>
      <c r="BD6" s="467">
        <v>0.10740653561796541</v>
      </c>
      <c r="BE6" s="467">
        <v>0.17556161249877927</v>
      </c>
      <c r="BF6" s="467">
        <v>8.7381578449222119E-2</v>
      </c>
      <c r="BG6" s="467">
        <v>3.8236023399908683E-2</v>
      </c>
      <c r="BH6" s="467">
        <v>6.2884914572496287E-2</v>
      </c>
      <c r="BI6" s="467">
        <v>0.11420455696515916</v>
      </c>
      <c r="BJ6" s="467">
        <v>4.9547218778528322E-2</v>
      </c>
      <c r="BK6" s="467">
        <v>1.2519865084165241E-2</v>
      </c>
      <c r="BL6" s="467">
        <v>1.3403030465055575E-2</v>
      </c>
      <c r="BM6" s="467">
        <v>2.0145687281356454E-2</v>
      </c>
      <c r="BN6" s="467">
        <v>6.7916928918531228E-3</v>
      </c>
      <c r="BO6" s="467">
        <v>3.2859815805831839E-2</v>
      </c>
      <c r="BP6" s="467">
        <v>5.259730524536195E-2</v>
      </c>
      <c r="BQ6" s="467">
        <v>9.4777871673078815E-2</v>
      </c>
      <c r="BR6" s="467">
        <v>4.0131751404773562E-2</v>
      </c>
      <c r="BS6" s="458" t="s">
        <v>458</v>
      </c>
    </row>
    <row r="7" spans="2:71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622"/>
      <c r="J7" s="622"/>
      <c r="K7" s="625">
        <v>0</v>
      </c>
      <c r="L7" s="556"/>
      <c r="M7" s="622" t="s">
        <v>283</v>
      </c>
      <c r="N7" s="622" t="str">
        <f>_xlfn.TEXTJOIN(",",TRUE,IF(LEFT(Regions!$C$3,1)&lt;&gt;"*",Regions!$C$3,""),IF(LEFT(Regions!$D$3,1)&lt;&gt;"*",Regions!$D$3,""))</f>
        <v>IE,National</v>
      </c>
      <c r="O7" s="622" t="str">
        <f>_xlfn.TEXTJOIN("",TRUE,LEFT(SETUP!B$3,1),"-",SETUP!B$85,"_",SETUP!B$37)</f>
        <v>R-BLD_Att</v>
      </c>
      <c r="P7" s="622" t="str">
        <f>_xlfn.TEXTJOIN(" ",TRUE,SETUP!C$3,SETUP!C$85,SETUP!C$37)</f>
        <v>Residential Building Attached</v>
      </c>
      <c r="Q7" s="623" t="s">
        <v>282</v>
      </c>
      <c r="R7" s="622" t="s">
        <v>282</v>
      </c>
      <c r="S7" s="623"/>
      <c r="T7" s="622"/>
      <c r="U7" s="81"/>
      <c r="V7" s="81"/>
      <c r="W7" s="81"/>
      <c r="X7" s="81"/>
      <c r="Y7" s="81"/>
      <c r="Z7" s="81"/>
      <c r="AA7" s="81"/>
      <c r="AB7" s="81"/>
      <c r="AC7" s="81"/>
      <c r="AD7" s="467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4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58"/>
    </row>
    <row r="8" spans="2:71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360"/>
      <c r="J8" s="360"/>
      <c r="K8" s="624">
        <f>'SHWLP-Apt'!$Z$53/$G$6</f>
        <v>1.3011061382857018E-2</v>
      </c>
      <c r="L8" s="556"/>
      <c r="M8" s="360" t="s">
        <v>283</v>
      </c>
      <c r="N8" s="496" t="str">
        <f>_xlfn.TEXTJOIN(",",TRUE,IF(LEFT(Regions!$C$3,1)&lt;&gt;"*",Regions!$C$3,""),IF(LEFT(Regions!$D$3,1)&lt;&gt;"*",Regions!$D$3,""))</f>
        <v>IE,National</v>
      </c>
      <c r="O8" s="496" t="str">
        <f>_xlfn.TEXTJOIN("",TRUE,LEFT(SETUP!B$3,1),"-",SETUP!B$85,"_",SETUP!B$38)</f>
        <v>R-BLD_Det</v>
      </c>
      <c r="P8" s="496" t="str">
        <f>_xlfn.TEXTJOIN(" ",TRUE,SETUP!C$3,SETUP!C$85,SETUP!C$38)</f>
        <v>Residential Building Detached</v>
      </c>
      <c r="Q8" s="360" t="s">
        <v>282</v>
      </c>
      <c r="R8" s="362" t="s">
        <v>282</v>
      </c>
      <c r="S8" s="360"/>
      <c r="T8" s="360"/>
      <c r="U8" s="81"/>
      <c r="V8" s="81"/>
      <c r="W8" s="81"/>
      <c r="X8" s="81"/>
      <c r="Y8" s="81"/>
      <c r="Z8" s="81"/>
      <c r="AA8" s="81"/>
      <c r="AB8" s="81"/>
      <c r="AC8" s="81"/>
      <c r="AD8" s="467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4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58"/>
    </row>
    <row r="9" spans="2:71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622"/>
      <c r="J9" s="622"/>
      <c r="K9" s="625">
        <f>'SHWLP-Apt'!$Z$58/$G$6</f>
        <v>1.6114677026113436E-3</v>
      </c>
      <c r="L9" s="556"/>
      <c r="M9"/>
      <c r="N9"/>
      <c r="O9"/>
      <c r="P9"/>
      <c r="Q9"/>
      <c r="R9"/>
      <c r="S9"/>
      <c r="T9" s="81"/>
      <c r="U9" s="81"/>
      <c r="V9" s="81"/>
      <c r="W9" s="81"/>
      <c r="X9" s="81"/>
      <c r="Y9" s="81"/>
      <c r="Z9" s="81"/>
      <c r="AA9" s="81"/>
      <c r="AB9" s="81"/>
      <c r="AC9" s="81"/>
      <c r="AD9" s="467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4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58"/>
    </row>
    <row r="10" spans="2:71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360"/>
      <c r="J10" s="360"/>
      <c r="K10" s="624">
        <f>'SHWLP-Apt'!$Z$59/$G$6</f>
        <v>3.3205708318124647E-4</v>
      </c>
      <c r="L10" s="556"/>
      <c r="M10"/>
      <c r="N10"/>
      <c r="O10"/>
      <c r="P10"/>
      <c r="Q10"/>
      <c r="R10"/>
      <c r="S10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467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4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58"/>
    </row>
    <row r="11" spans="2:71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O7</f>
        <v>R-BLD_Att</v>
      </c>
      <c r="D11" s="622" t="str">
        <f>P7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622">
        <v>100</v>
      </c>
      <c r="J11" s="622">
        <v>1</v>
      </c>
      <c r="K11" s="625">
        <f>'SHWLP-Att'!$Z$27/$G$11</f>
        <v>2.6889608629817333E-2</v>
      </c>
      <c r="L11" s="556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466" t="str">
        <f>"*H_"&amp;"*"&amp;RIGHT(AG11,LEN(AG11)-3)&amp;"_"&amp;SETUP!B64</f>
        <v>*H_*COALIG_X0</v>
      </c>
      <c r="AE11" s="466" t="e">
        <f>COMM!#REF!&amp;"_"&amp;SETUP!C64</f>
        <v>#REF!</v>
      </c>
      <c r="AF11" s="466" t="e">
        <f>RSD_Balance!#REF!</f>
        <v>#REF!</v>
      </c>
      <c r="AG11" s="466" t="s">
        <v>637</v>
      </c>
      <c r="AH11" s="466">
        <v>1</v>
      </c>
      <c r="AI11" s="466"/>
      <c r="AJ11" s="466"/>
      <c r="AK11" s="466"/>
      <c r="AL11" s="466">
        <v>5.2909653443917494E-2</v>
      </c>
      <c r="AM11" s="466">
        <v>0.1130595111768057</v>
      </c>
      <c r="AN11" s="466">
        <v>0.18480169736713609</v>
      </c>
      <c r="AO11" s="466">
        <v>9.1980608893918028E-2</v>
      </c>
      <c r="AP11" s="466">
        <v>4.0248445684114405E-2</v>
      </c>
      <c r="AQ11" s="466">
        <v>6.6194646918417144E-2</v>
      </c>
      <c r="AR11" s="466">
        <v>0.12021532312122017</v>
      </c>
      <c r="AS11" s="466">
        <v>5.2154967135292975E-2</v>
      </c>
      <c r="AT11" s="466">
        <v>1.3178805351752886E-2</v>
      </c>
      <c r="AU11" s="466">
        <v>1.4108453121111133E-2</v>
      </c>
      <c r="AV11" s="466">
        <v>2.1205986611954164E-2</v>
      </c>
      <c r="AW11" s="466">
        <v>7.1491504124769718E-3</v>
      </c>
      <c r="AX11" s="466">
        <v>3.4589279795612465E-2</v>
      </c>
      <c r="AY11" s="466">
        <v>5.5365584468802055E-2</v>
      </c>
      <c r="AZ11" s="466">
        <v>9.9766180708504015E-2</v>
      </c>
      <c r="BA11" s="466">
        <v>4.2243948847130071E-2</v>
      </c>
      <c r="BB11" s="464"/>
      <c r="BC11" s="466">
        <v>5.0264170771721614E-2</v>
      </c>
      <c r="BD11" s="466">
        <v>0.10740653561796541</v>
      </c>
      <c r="BE11" s="466">
        <v>0.17556161249877927</v>
      </c>
      <c r="BF11" s="466">
        <v>8.7381578449222119E-2</v>
      </c>
      <c r="BG11" s="466">
        <v>3.8236023399908683E-2</v>
      </c>
      <c r="BH11" s="466">
        <v>6.2884914572496287E-2</v>
      </c>
      <c r="BI11" s="466">
        <v>0.11420455696515916</v>
      </c>
      <c r="BJ11" s="466">
        <v>4.9547218778528322E-2</v>
      </c>
      <c r="BK11" s="466">
        <v>1.2519865084165241E-2</v>
      </c>
      <c r="BL11" s="466">
        <v>1.3403030465055575E-2</v>
      </c>
      <c r="BM11" s="466">
        <v>2.0145687281356454E-2</v>
      </c>
      <c r="BN11" s="466">
        <v>6.7916928918531228E-3</v>
      </c>
      <c r="BO11" s="466">
        <v>3.2859815805831839E-2</v>
      </c>
      <c r="BP11" s="466">
        <v>5.259730524536195E-2</v>
      </c>
      <c r="BQ11" s="466">
        <v>9.4777871673078815E-2</v>
      </c>
      <c r="BR11" s="466">
        <v>4.0131751404773562E-2</v>
      </c>
      <c r="BS11" s="458" t="s">
        <v>458</v>
      </c>
    </row>
    <row r="12" spans="2:71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360"/>
      <c r="J12" s="360"/>
      <c r="K12" s="624">
        <v>0</v>
      </c>
      <c r="L12" s="556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467" t="str">
        <f>"*H_"&amp;"*"&amp;RIGHT(AG12,LEN(AG12)-3)&amp;"_"&amp;SETUP!B64</f>
        <v>*H_*PEA_X0</v>
      </c>
      <c r="AE12" s="467" t="str">
        <f>COMM!F7&amp;"_"&amp;SETUP!C64</f>
        <v>Peat to Residential_Existing 00</v>
      </c>
      <c r="AF12" s="467" t="str">
        <f>RSD_Balance!A10</f>
        <v>PEA</v>
      </c>
      <c r="AG12" s="467" t="s">
        <v>460</v>
      </c>
      <c r="AH12" s="467">
        <v>1</v>
      </c>
      <c r="AI12" s="467"/>
      <c r="AJ12" s="467"/>
      <c r="AK12" s="467"/>
      <c r="AL12" s="467">
        <v>5.2909653443917494E-2</v>
      </c>
      <c r="AM12" s="467">
        <v>0.1130595111768057</v>
      </c>
      <c r="AN12" s="467">
        <v>0.18480169736713609</v>
      </c>
      <c r="AO12" s="467">
        <v>9.1980608893918028E-2</v>
      </c>
      <c r="AP12" s="467">
        <v>4.0248445684114405E-2</v>
      </c>
      <c r="AQ12" s="467">
        <v>6.6194646918417144E-2</v>
      </c>
      <c r="AR12" s="467">
        <v>0.12021532312122017</v>
      </c>
      <c r="AS12" s="467">
        <v>5.2154967135292975E-2</v>
      </c>
      <c r="AT12" s="467">
        <v>1.3178805351752886E-2</v>
      </c>
      <c r="AU12" s="467">
        <v>1.4108453121111133E-2</v>
      </c>
      <c r="AV12" s="467">
        <v>2.1205986611954164E-2</v>
      </c>
      <c r="AW12" s="467">
        <v>7.1491504124769718E-3</v>
      </c>
      <c r="AX12" s="467">
        <v>3.4589279795612465E-2</v>
      </c>
      <c r="AY12" s="467">
        <v>5.5365584468802055E-2</v>
      </c>
      <c r="AZ12" s="467">
        <v>9.9766180708504015E-2</v>
      </c>
      <c r="BA12" s="467">
        <v>4.2243948847130071E-2</v>
      </c>
      <c r="BB12" s="464"/>
      <c r="BC12" s="467">
        <v>5.0264170771721614E-2</v>
      </c>
      <c r="BD12" s="467">
        <v>0.10740653561796541</v>
      </c>
      <c r="BE12" s="467">
        <v>0.17556161249877927</v>
      </c>
      <c r="BF12" s="467">
        <v>8.7381578449222119E-2</v>
      </c>
      <c r="BG12" s="467">
        <v>3.8236023399908683E-2</v>
      </c>
      <c r="BH12" s="467">
        <v>6.2884914572496287E-2</v>
      </c>
      <c r="BI12" s="467">
        <v>0.11420455696515916</v>
      </c>
      <c r="BJ12" s="467">
        <v>4.9547218778528322E-2</v>
      </c>
      <c r="BK12" s="467">
        <v>1.2519865084165241E-2</v>
      </c>
      <c r="BL12" s="467">
        <v>1.3403030465055575E-2</v>
      </c>
      <c r="BM12" s="467">
        <v>2.0145687281356454E-2</v>
      </c>
      <c r="BN12" s="467">
        <v>6.7916928918531228E-3</v>
      </c>
      <c r="BO12" s="467">
        <v>3.2859815805831839E-2</v>
      </c>
      <c r="BP12" s="467">
        <v>5.259730524536195E-2</v>
      </c>
      <c r="BQ12" s="467">
        <v>9.4777871673078815E-2</v>
      </c>
      <c r="BR12" s="467">
        <v>4.0131751404773562E-2</v>
      </c>
      <c r="BS12" s="458" t="s">
        <v>458</v>
      </c>
    </row>
    <row r="13" spans="2:71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622"/>
      <c r="J13" s="622"/>
      <c r="K13" s="625">
        <f>'SHWLP-Att'!$Z$53/$G$11</f>
        <v>1.0379714580865323E-2</v>
      </c>
      <c r="L13" s="556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466" t="str">
        <f>"*H_"&amp;"*"&amp;RIGHT(AG13,LEN(AG13)-3)&amp;"_"&amp;SETUP!B65</f>
        <v>*H_*PEA_X1</v>
      </c>
      <c r="AE13" s="466" t="str">
        <f>COMM!F7&amp;"_"&amp;SETUP!C65</f>
        <v>Peat to Residential_Existing 01</v>
      </c>
      <c r="AF13" s="466" t="str">
        <f>RSD_Balance!A10</f>
        <v>PEA</v>
      </c>
      <c r="AG13" s="466" t="s">
        <v>460</v>
      </c>
      <c r="AH13" s="466">
        <v>1</v>
      </c>
      <c r="AI13" s="466"/>
      <c r="AJ13" s="466"/>
      <c r="AK13" s="466"/>
      <c r="AL13" s="466">
        <v>5.2909653443917494E-2</v>
      </c>
      <c r="AM13" s="466">
        <v>0.1130595111768057</v>
      </c>
      <c r="AN13" s="466">
        <v>0.18480169736713609</v>
      </c>
      <c r="AO13" s="466">
        <v>9.1980608893918028E-2</v>
      </c>
      <c r="AP13" s="466">
        <v>4.0248445684114405E-2</v>
      </c>
      <c r="AQ13" s="466">
        <v>6.6194646918417144E-2</v>
      </c>
      <c r="AR13" s="466">
        <v>0.12021532312122017</v>
      </c>
      <c r="AS13" s="466">
        <v>5.2154967135292975E-2</v>
      </c>
      <c r="AT13" s="466">
        <v>1.3178805351752886E-2</v>
      </c>
      <c r="AU13" s="466">
        <v>1.4108453121111133E-2</v>
      </c>
      <c r="AV13" s="466">
        <v>2.1205986611954164E-2</v>
      </c>
      <c r="AW13" s="466">
        <v>7.1491504124769718E-3</v>
      </c>
      <c r="AX13" s="466">
        <v>3.4589279795612465E-2</v>
      </c>
      <c r="AY13" s="466">
        <v>5.5365584468802055E-2</v>
      </c>
      <c r="AZ13" s="466">
        <v>9.9766180708504015E-2</v>
      </c>
      <c r="BA13" s="466">
        <v>4.2243948847130071E-2</v>
      </c>
      <c r="BB13" s="464"/>
      <c r="BC13" s="466">
        <v>5.0264170771721614E-2</v>
      </c>
      <c r="BD13" s="466">
        <v>0.10740653561796541</v>
      </c>
      <c r="BE13" s="466">
        <v>0.17556161249877927</v>
      </c>
      <c r="BF13" s="466">
        <v>8.7381578449222119E-2</v>
      </c>
      <c r="BG13" s="466">
        <v>3.8236023399908683E-2</v>
      </c>
      <c r="BH13" s="466">
        <v>6.2884914572496287E-2</v>
      </c>
      <c r="BI13" s="466">
        <v>0.11420455696515916</v>
      </c>
      <c r="BJ13" s="466">
        <v>4.9547218778528322E-2</v>
      </c>
      <c r="BK13" s="466">
        <v>1.2519865084165241E-2</v>
      </c>
      <c r="BL13" s="466">
        <v>1.3403030465055575E-2</v>
      </c>
      <c r="BM13" s="466">
        <v>2.0145687281356454E-2</v>
      </c>
      <c r="BN13" s="466">
        <v>6.7916928918531228E-3</v>
      </c>
      <c r="BO13" s="466">
        <v>3.2859815805831839E-2</v>
      </c>
      <c r="BP13" s="466">
        <v>5.259730524536195E-2</v>
      </c>
      <c r="BQ13" s="466">
        <v>9.4777871673078815E-2</v>
      </c>
      <c r="BR13" s="466">
        <v>4.0131751404773562E-2</v>
      </c>
      <c r="BS13" s="458" t="s">
        <v>458</v>
      </c>
    </row>
    <row r="14" spans="2:71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360"/>
      <c r="J14" s="360"/>
      <c r="K14" s="624">
        <f>'SHWLP-Att'!Z58/$G$11</f>
        <v>2.2871770348039965E-3</v>
      </c>
      <c r="L14" s="556"/>
      <c r="O14" s="556"/>
      <c r="P14" s="556"/>
      <c r="Q14" s="556"/>
      <c r="R14" s="556"/>
      <c r="S14" s="556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467" t="str">
        <f>"*H_"&amp;"*"&amp;RIGHT(AG14,LEN(AG14)-3)&amp;"_"&amp;SETUP!B64</f>
        <v>*H_*OILLPG_X0</v>
      </c>
      <c r="AE14" s="467" t="str">
        <f>COMM!F8&amp;"_"&amp;SETUP!C64</f>
        <v>LPG to Residential_Existing 00</v>
      </c>
      <c r="AF14" s="467" t="str">
        <f>RSD_Balance!A11</f>
        <v>LPG</v>
      </c>
      <c r="AG14" s="467" t="s">
        <v>638</v>
      </c>
      <c r="AH14" s="467">
        <v>1</v>
      </c>
      <c r="AI14" s="467"/>
      <c r="AJ14" s="467"/>
      <c r="AK14" s="467"/>
      <c r="AL14" s="467">
        <v>5.2909653443917494E-2</v>
      </c>
      <c r="AM14" s="467">
        <v>0.1130595111768057</v>
      </c>
      <c r="AN14" s="467">
        <v>0.18480169736713609</v>
      </c>
      <c r="AO14" s="467">
        <v>9.1980608893918028E-2</v>
      </c>
      <c r="AP14" s="467">
        <v>4.0248445684114405E-2</v>
      </c>
      <c r="AQ14" s="467">
        <v>6.6194646918417144E-2</v>
      </c>
      <c r="AR14" s="467">
        <v>0.12021532312122017</v>
      </c>
      <c r="AS14" s="467">
        <v>5.2154967135292975E-2</v>
      </c>
      <c r="AT14" s="467">
        <v>1.3178805351752886E-2</v>
      </c>
      <c r="AU14" s="467">
        <v>1.4108453121111133E-2</v>
      </c>
      <c r="AV14" s="467">
        <v>2.1205986611954164E-2</v>
      </c>
      <c r="AW14" s="467">
        <v>7.1491504124769718E-3</v>
      </c>
      <c r="AX14" s="467">
        <v>3.4589279795612465E-2</v>
      </c>
      <c r="AY14" s="467">
        <v>5.5365584468802055E-2</v>
      </c>
      <c r="AZ14" s="467">
        <v>9.9766180708504015E-2</v>
      </c>
      <c r="BA14" s="467">
        <v>4.2243948847130071E-2</v>
      </c>
      <c r="BB14" s="464"/>
      <c r="BC14" s="467">
        <v>5.0264170771721614E-2</v>
      </c>
      <c r="BD14" s="467">
        <v>0.10740653561796541</v>
      </c>
      <c r="BE14" s="467">
        <v>0.17556161249877927</v>
      </c>
      <c r="BF14" s="467">
        <v>8.7381578449222119E-2</v>
      </c>
      <c r="BG14" s="467">
        <v>3.8236023399908683E-2</v>
      </c>
      <c r="BH14" s="467">
        <v>6.2884914572496287E-2</v>
      </c>
      <c r="BI14" s="467">
        <v>0.11420455696515916</v>
      </c>
      <c r="BJ14" s="467">
        <v>4.9547218778528322E-2</v>
      </c>
      <c r="BK14" s="467">
        <v>1.2519865084165241E-2</v>
      </c>
      <c r="BL14" s="467">
        <v>1.3403030465055575E-2</v>
      </c>
      <c r="BM14" s="467">
        <v>2.0145687281356454E-2</v>
      </c>
      <c r="BN14" s="467">
        <v>6.7916928918531228E-3</v>
      </c>
      <c r="BO14" s="467">
        <v>3.2859815805831839E-2</v>
      </c>
      <c r="BP14" s="467">
        <v>5.259730524536195E-2</v>
      </c>
      <c r="BQ14" s="467">
        <v>9.4777871673078815E-2</v>
      </c>
      <c r="BR14" s="467">
        <v>4.0131751404773562E-2</v>
      </c>
      <c r="BS14" s="458" t="s">
        <v>458</v>
      </c>
    </row>
    <row r="15" spans="2:71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622"/>
      <c r="J15" s="622"/>
      <c r="K15" s="625">
        <f>'SHWLP-Att'!Z59/$G$11</f>
        <v>6.3335727594585371E-4</v>
      </c>
      <c r="L15" s="556"/>
      <c r="O15" s="556"/>
      <c r="P15" s="556"/>
      <c r="Q15" s="556"/>
      <c r="R15" s="556"/>
      <c r="S15" s="556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466" t="str">
        <f>"*H_"&amp;"*"&amp;RIGHT(AG15,LEN(AG15)-3)&amp;"_"&amp;SETUP!B65</f>
        <v>*H_*OILLPG_X1</v>
      </c>
      <c r="AE15" s="466" t="str">
        <f>COMM!F8&amp;"_"&amp;SETUP!C65</f>
        <v>LPG to Residential_Existing 01</v>
      </c>
      <c r="AF15" s="466" t="str">
        <f>RSD_Balance!A11</f>
        <v>LPG</v>
      </c>
      <c r="AG15" s="466" t="s">
        <v>638</v>
      </c>
      <c r="AH15" s="466">
        <v>1</v>
      </c>
      <c r="AI15" s="466"/>
      <c r="AJ15" s="466"/>
      <c r="AK15" s="466"/>
      <c r="AL15" s="466">
        <v>5.2909653443917494E-2</v>
      </c>
      <c r="AM15" s="466">
        <v>0.1130595111768057</v>
      </c>
      <c r="AN15" s="466">
        <v>0.18480169736713609</v>
      </c>
      <c r="AO15" s="466">
        <v>9.1980608893918028E-2</v>
      </c>
      <c r="AP15" s="466">
        <v>4.0248445684114405E-2</v>
      </c>
      <c r="AQ15" s="466">
        <v>6.6194646918417144E-2</v>
      </c>
      <c r="AR15" s="466">
        <v>0.12021532312122017</v>
      </c>
      <c r="AS15" s="466">
        <v>5.2154967135292975E-2</v>
      </c>
      <c r="AT15" s="466">
        <v>1.3178805351752886E-2</v>
      </c>
      <c r="AU15" s="466">
        <v>1.4108453121111133E-2</v>
      </c>
      <c r="AV15" s="466">
        <v>2.1205986611954164E-2</v>
      </c>
      <c r="AW15" s="466">
        <v>7.1491504124769718E-3</v>
      </c>
      <c r="AX15" s="466">
        <v>3.4589279795612465E-2</v>
      </c>
      <c r="AY15" s="466">
        <v>5.5365584468802055E-2</v>
      </c>
      <c r="AZ15" s="466">
        <v>9.9766180708504015E-2</v>
      </c>
      <c r="BA15" s="466">
        <v>4.2243948847130071E-2</v>
      </c>
      <c r="BB15" s="464"/>
      <c r="BC15" s="466">
        <v>5.0264170771721614E-2</v>
      </c>
      <c r="BD15" s="466">
        <v>0.10740653561796541</v>
      </c>
      <c r="BE15" s="466">
        <v>0.17556161249877927</v>
      </c>
      <c r="BF15" s="466">
        <v>8.7381578449222119E-2</v>
      </c>
      <c r="BG15" s="466">
        <v>3.8236023399908683E-2</v>
      </c>
      <c r="BH15" s="466">
        <v>6.2884914572496287E-2</v>
      </c>
      <c r="BI15" s="466">
        <v>0.11420455696515916</v>
      </c>
      <c r="BJ15" s="466">
        <v>4.9547218778528322E-2</v>
      </c>
      <c r="BK15" s="466">
        <v>1.2519865084165241E-2</v>
      </c>
      <c r="BL15" s="466">
        <v>1.3403030465055575E-2</v>
      </c>
      <c r="BM15" s="466">
        <v>2.0145687281356454E-2</v>
      </c>
      <c r="BN15" s="466">
        <v>6.7916928918531228E-3</v>
      </c>
      <c r="BO15" s="466">
        <v>3.2859815805831839E-2</v>
      </c>
      <c r="BP15" s="466">
        <v>5.259730524536195E-2</v>
      </c>
      <c r="BQ15" s="466">
        <v>9.4777871673078815E-2</v>
      </c>
      <c r="BR15" s="466">
        <v>4.0131751404773562E-2</v>
      </c>
      <c r="BS15" s="458" t="s">
        <v>458</v>
      </c>
    </row>
    <row r="16" spans="2:71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O8</f>
        <v>R-BLD_Det</v>
      </c>
      <c r="D16" s="360" t="str">
        <f>P8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360">
        <v>100</v>
      </c>
      <c r="J16" s="360">
        <v>1</v>
      </c>
      <c r="K16" s="624">
        <f>'SHWLP-Det'!$Z$27/$G$16</f>
        <v>4.7887500694525451E-2</v>
      </c>
      <c r="L16" s="556"/>
      <c r="O16" s="556"/>
      <c r="P16" s="556"/>
      <c r="Q16" s="556"/>
      <c r="R16" s="556"/>
      <c r="S16" s="556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467" t="str">
        <f>"*H_"&amp;"*"&amp;RIGHT(AG16,LEN(AG16)-3)&amp;"_"&amp;SETUP!B64</f>
        <v>*H_*OILGSL_X0</v>
      </c>
      <c r="AE16" s="467" t="str">
        <f>COMM!F9&amp;"_"&amp;SETUP!C64</f>
        <v>Gasoline to Residential_Existing 00</v>
      </c>
      <c r="AF16" s="467" t="str">
        <f>RSD_Balance!A12</f>
        <v>GSL</v>
      </c>
      <c r="AG16" s="467" t="s">
        <v>639</v>
      </c>
      <c r="AH16" s="467">
        <v>1</v>
      </c>
      <c r="AI16" s="467"/>
      <c r="AJ16" s="467"/>
      <c r="AK16" s="467"/>
      <c r="AL16" s="467">
        <v>5.2909653443917494E-2</v>
      </c>
      <c r="AM16" s="467">
        <v>0.1130595111768057</v>
      </c>
      <c r="AN16" s="467">
        <v>0.18480169736713609</v>
      </c>
      <c r="AO16" s="467">
        <v>9.1980608893918028E-2</v>
      </c>
      <c r="AP16" s="467">
        <v>4.0248445684114405E-2</v>
      </c>
      <c r="AQ16" s="467">
        <v>6.6194646918417144E-2</v>
      </c>
      <c r="AR16" s="467">
        <v>0.12021532312122017</v>
      </c>
      <c r="AS16" s="467">
        <v>5.2154967135292975E-2</v>
      </c>
      <c r="AT16" s="467">
        <v>1.3178805351752886E-2</v>
      </c>
      <c r="AU16" s="467">
        <v>1.4108453121111133E-2</v>
      </c>
      <c r="AV16" s="467">
        <v>2.1205986611954164E-2</v>
      </c>
      <c r="AW16" s="467">
        <v>7.1491504124769718E-3</v>
      </c>
      <c r="AX16" s="467">
        <v>3.4589279795612465E-2</v>
      </c>
      <c r="AY16" s="467">
        <v>5.5365584468802055E-2</v>
      </c>
      <c r="AZ16" s="467">
        <v>9.9766180708504015E-2</v>
      </c>
      <c r="BA16" s="467">
        <v>4.2243948847130071E-2</v>
      </c>
      <c r="BB16" s="464"/>
      <c r="BC16" s="467">
        <v>5.0264170771721614E-2</v>
      </c>
      <c r="BD16" s="467">
        <v>0.10740653561796541</v>
      </c>
      <c r="BE16" s="467">
        <v>0.17556161249877927</v>
      </c>
      <c r="BF16" s="467">
        <v>8.7381578449222119E-2</v>
      </c>
      <c r="BG16" s="467">
        <v>3.8236023399908683E-2</v>
      </c>
      <c r="BH16" s="467">
        <v>6.2884914572496287E-2</v>
      </c>
      <c r="BI16" s="467">
        <v>0.11420455696515916</v>
      </c>
      <c r="BJ16" s="467">
        <v>4.9547218778528322E-2</v>
      </c>
      <c r="BK16" s="467">
        <v>1.2519865084165241E-2</v>
      </c>
      <c r="BL16" s="467">
        <v>1.3403030465055575E-2</v>
      </c>
      <c r="BM16" s="467">
        <v>2.0145687281356454E-2</v>
      </c>
      <c r="BN16" s="467">
        <v>6.7916928918531228E-3</v>
      </c>
      <c r="BO16" s="467">
        <v>3.2859815805831839E-2</v>
      </c>
      <c r="BP16" s="467">
        <v>5.259730524536195E-2</v>
      </c>
      <c r="BQ16" s="467">
        <v>9.4777871673078815E-2</v>
      </c>
      <c r="BR16" s="467">
        <v>4.0131751404773562E-2</v>
      </c>
      <c r="BS16" s="458" t="s">
        <v>458</v>
      </c>
    </row>
    <row r="17" spans="2:71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2"/>
      <c r="J17" s="622"/>
      <c r="K17" s="625">
        <v>0</v>
      </c>
      <c r="L17" s="290"/>
      <c r="O17" s="556"/>
      <c r="P17" s="556"/>
      <c r="Q17" s="556"/>
      <c r="R17" s="556"/>
      <c r="S17" s="556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466" t="str">
        <f>"*H_"&amp;"*"&amp;RIGHT(AG17,LEN(AG17)-3)&amp;"_"&amp;SETUP!B64</f>
        <v>*H_*OILKER_X0</v>
      </c>
      <c r="AE17" s="466" t="str">
        <f>COMM!F10&amp;"_"&amp;SETUP!C64</f>
        <v>Kerosene to Residential_Existing 00</v>
      </c>
      <c r="AF17" s="466" t="str">
        <f>RSD_Balance!A13</f>
        <v>KER</v>
      </c>
      <c r="AG17" s="466" t="s">
        <v>640</v>
      </c>
      <c r="AH17" s="466">
        <v>0.84</v>
      </c>
      <c r="AI17" s="466"/>
      <c r="AJ17" s="466"/>
      <c r="AK17" s="466"/>
      <c r="AL17" s="466">
        <v>5.2909653443917494E-2</v>
      </c>
      <c r="AM17" s="466">
        <v>0.1130595111768057</v>
      </c>
      <c r="AN17" s="466">
        <v>0.18480169736713609</v>
      </c>
      <c r="AO17" s="466">
        <v>9.1980608893918028E-2</v>
      </c>
      <c r="AP17" s="466">
        <v>4.0248445684114405E-2</v>
      </c>
      <c r="AQ17" s="466">
        <v>6.6194646918417144E-2</v>
      </c>
      <c r="AR17" s="466">
        <v>0.12021532312122017</v>
      </c>
      <c r="AS17" s="466">
        <v>5.2154967135292975E-2</v>
      </c>
      <c r="AT17" s="466">
        <v>1.3178805351752886E-2</v>
      </c>
      <c r="AU17" s="466">
        <v>1.4108453121111133E-2</v>
      </c>
      <c r="AV17" s="466">
        <v>2.1205986611954164E-2</v>
      </c>
      <c r="AW17" s="466">
        <v>7.1491504124769718E-3</v>
      </c>
      <c r="AX17" s="466">
        <v>3.4589279795612465E-2</v>
      </c>
      <c r="AY17" s="466">
        <v>5.5365584468802055E-2</v>
      </c>
      <c r="AZ17" s="466">
        <v>9.9766180708504015E-2</v>
      </c>
      <c r="BA17" s="466">
        <v>4.2243948847130071E-2</v>
      </c>
      <c r="BB17" s="464"/>
      <c r="BC17" s="466">
        <v>5.0264170771721614E-2</v>
      </c>
      <c r="BD17" s="466">
        <v>0.10740653561796541</v>
      </c>
      <c r="BE17" s="466">
        <v>0.17556161249877927</v>
      </c>
      <c r="BF17" s="466">
        <v>8.7381578449222119E-2</v>
      </c>
      <c r="BG17" s="466">
        <v>3.8236023399908683E-2</v>
      </c>
      <c r="BH17" s="466">
        <v>6.2884914572496287E-2</v>
      </c>
      <c r="BI17" s="466">
        <v>0.11420455696515916</v>
      </c>
      <c r="BJ17" s="466">
        <v>4.9547218778528322E-2</v>
      </c>
      <c r="BK17" s="466">
        <v>1.2519865084165241E-2</v>
      </c>
      <c r="BL17" s="466">
        <v>1.3403030465055575E-2</v>
      </c>
      <c r="BM17" s="466">
        <v>2.0145687281356454E-2</v>
      </c>
      <c r="BN17" s="466">
        <v>6.7916928918531228E-3</v>
      </c>
      <c r="BO17" s="466">
        <v>3.2859815805831839E-2</v>
      </c>
      <c r="BP17" s="466">
        <v>5.259730524536195E-2</v>
      </c>
      <c r="BQ17" s="466">
        <v>9.4777871673078815E-2</v>
      </c>
      <c r="BR17" s="466">
        <v>4.0131751404773562E-2</v>
      </c>
      <c r="BS17" s="458" t="s">
        <v>458</v>
      </c>
    </row>
    <row r="18" spans="2:71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0"/>
      <c r="J18" s="360"/>
      <c r="K18" s="624">
        <f>'SHWLP-Det'!Z53/$G$16</f>
        <v>1.3662048446367654E-2</v>
      </c>
      <c r="L18" s="290"/>
      <c r="O18" s="556"/>
      <c r="P18" s="556"/>
      <c r="Q18" s="556"/>
      <c r="R18" s="556"/>
      <c r="S18" s="556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467" t="str">
        <f>"*H_"&amp;"*"&amp;RIGHT(AG17,LEN(AG17)-3)&amp;"_"&amp;SETUP!B64</f>
        <v>*H_*OILKER_X0</v>
      </c>
      <c r="AE18" s="467" t="str">
        <f>COMM!F10&amp;"_"&amp;SETUP!C64</f>
        <v>Kerosene to Residential_Existing 00</v>
      </c>
      <c r="AF18" s="467"/>
      <c r="AG18" s="467" t="s">
        <v>641</v>
      </c>
      <c r="AH18" s="467">
        <v>0.16</v>
      </c>
      <c r="AI18" s="467"/>
      <c r="AJ18" s="467"/>
      <c r="AK18" s="467"/>
      <c r="AL18" s="467">
        <v>5.2909653443917494E-2</v>
      </c>
      <c r="AM18" s="467">
        <v>0.1130595111768057</v>
      </c>
      <c r="AN18" s="467">
        <v>0.18480169736713609</v>
      </c>
      <c r="AO18" s="467">
        <v>9.1980608893918028E-2</v>
      </c>
      <c r="AP18" s="467">
        <v>4.0248445684114405E-2</v>
      </c>
      <c r="AQ18" s="467">
        <v>6.6194646918417144E-2</v>
      </c>
      <c r="AR18" s="467">
        <v>0.12021532312122017</v>
      </c>
      <c r="AS18" s="467">
        <v>5.2154967135292975E-2</v>
      </c>
      <c r="AT18" s="467">
        <v>1.3178805351752886E-2</v>
      </c>
      <c r="AU18" s="467">
        <v>1.4108453121111133E-2</v>
      </c>
      <c r="AV18" s="467">
        <v>2.1205986611954164E-2</v>
      </c>
      <c r="AW18" s="467">
        <v>7.1491504124769718E-3</v>
      </c>
      <c r="AX18" s="467">
        <v>3.4589279795612465E-2</v>
      </c>
      <c r="AY18" s="467">
        <v>5.5365584468802055E-2</v>
      </c>
      <c r="AZ18" s="467">
        <v>9.9766180708504015E-2</v>
      </c>
      <c r="BA18" s="467">
        <v>4.2243948847130071E-2</v>
      </c>
      <c r="BB18" s="464"/>
      <c r="BC18" s="467">
        <v>5.0264170771721614E-2</v>
      </c>
      <c r="BD18" s="467">
        <v>0.10740653561796541</v>
      </c>
      <c r="BE18" s="467">
        <v>0.17556161249877927</v>
      </c>
      <c r="BF18" s="467">
        <v>8.7381578449222119E-2</v>
      </c>
      <c r="BG18" s="467">
        <v>3.8236023399908683E-2</v>
      </c>
      <c r="BH18" s="467">
        <v>6.2884914572496287E-2</v>
      </c>
      <c r="BI18" s="467">
        <v>0.11420455696515916</v>
      </c>
      <c r="BJ18" s="467">
        <v>4.9547218778528322E-2</v>
      </c>
      <c r="BK18" s="467">
        <v>1.2519865084165241E-2</v>
      </c>
      <c r="BL18" s="467">
        <v>1.3403030465055575E-2</v>
      </c>
      <c r="BM18" s="467">
        <v>2.0145687281356454E-2</v>
      </c>
      <c r="BN18" s="467">
        <v>6.7916928918531228E-3</v>
      </c>
      <c r="BO18" s="467">
        <v>3.2859815805831839E-2</v>
      </c>
      <c r="BP18" s="467">
        <v>5.259730524536195E-2</v>
      </c>
      <c r="BQ18" s="467">
        <v>9.4777871673078815E-2</v>
      </c>
      <c r="BR18" s="467">
        <v>4.0131751404773562E-2</v>
      </c>
      <c r="BS18" s="458" t="s">
        <v>458</v>
      </c>
    </row>
    <row r="19" spans="2:71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2"/>
      <c r="J19" s="622"/>
      <c r="K19" s="625">
        <f>'SHWLP-Det'!Z58/$G$16</f>
        <v>3.7674594790464413E-3</v>
      </c>
      <c r="L19" s="290"/>
      <c r="O19" s="556"/>
      <c r="P19" s="556"/>
      <c r="Q19" s="556"/>
      <c r="R19" s="556"/>
      <c r="S19" s="556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466" t="str">
        <f>"*H_"&amp;"*"&amp;RIGHT(AG19,LEN(AG19)-3)&amp;"_"&amp;SETUP!B64</f>
        <v>*H_*OILHFO_X0</v>
      </c>
      <c r="AE19" s="466" t="str">
        <f>COMM!F12&amp;"_"&amp;SETUP!C64</f>
        <v>Fueloil to Residential_Existing 00</v>
      </c>
      <c r="AF19" s="466" t="str">
        <f>RSD_Balance!A15</f>
        <v>HFO</v>
      </c>
      <c r="AG19" s="466" t="s">
        <v>642</v>
      </c>
      <c r="AH19" s="466">
        <v>1</v>
      </c>
      <c r="AI19" s="466"/>
      <c r="AJ19" s="466"/>
      <c r="AK19" s="466"/>
      <c r="AL19" s="466">
        <v>5.2909653443917494E-2</v>
      </c>
      <c r="AM19" s="466">
        <v>0.1130595111768057</v>
      </c>
      <c r="AN19" s="466">
        <v>0.18480169736713609</v>
      </c>
      <c r="AO19" s="466">
        <v>9.1980608893918028E-2</v>
      </c>
      <c r="AP19" s="466">
        <v>4.0248445684114405E-2</v>
      </c>
      <c r="AQ19" s="466">
        <v>6.6194646918417144E-2</v>
      </c>
      <c r="AR19" s="466">
        <v>0.12021532312122017</v>
      </c>
      <c r="AS19" s="466">
        <v>5.2154967135292975E-2</v>
      </c>
      <c r="AT19" s="466">
        <v>1.3178805351752886E-2</v>
      </c>
      <c r="AU19" s="466">
        <v>1.4108453121111133E-2</v>
      </c>
      <c r="AV19" s="466">
        <v>2.1205986611954164E-2</v>
      </c>
      <c r="AW19" s="466">
        <v>7.1491504124769718E-3</v>
      </c>
      <c r="AX19" s="466">
        <v>3.4589279795612465E-2</v>
      </c>
      <c r="AY19" s="466">
        <v>5.5365584468802055E-2</v>
      </c>
      <c r="AZ19" s="466">
        <v>9.9766180708504015E-2</v>
      </c>
      <c r="BA19" s="466">
        <v>4.2243948847130071E-2</v>
      </c>
      <c r="BB19" s="464"/>
      <c r="BC19" s="466">
        <v>5.0264170771721614E-2</v>
      </c>
      <c r="BD19" s="466">
        <v>0.10740653561796541</v>
      </c>
      <c r="BE19" s="466">
        <v>0.17556161249877927</v>
      </c>
      <c r="BF19" s="466">
        <v>8.7381578449222119E-2</v>
      </c>
      <c r="BG19" s="466">
        <v>3.8236023399908683E-2</v>
      </c>
      <c r="BH19" s="466">
        <v>6.2884914572496287E-2</v>
      </c>
      <c r="BI19" s="466">
        <v>0.11420455696515916</v>
      </c>
      <c r="BJ19" s="466">
        <v>4.9547218778528322E-2</v>
      </c>
      <c r="BK19" s="466">
        <v>1.2519865084165241E-2</v>
      </c>
      <c r="BL19" s="466">
        <v>1.3403030465055575E-2</v>
      </c>
      <c r="BM19" s="466">
        <v>2.0145687281356454E-2</v>
      </c>
      <c r="BN19" s="466">
        <v>6.7916928918531228E-3</v>
      </c>
      <c r="BO19" s="466">
        <v>3.2859815805831839E-2</v>
      </c>
      <c r="BP19" s="466">
        <v>5.259730524536195E-2</v>
      </c>
      <c r="BQ19" s="466">
        <v>9.4777871673078815E-2</v>
      </c>
      <c r="BR19" s="466">
        <v>4.0131751404773562E-2</v>
      </c>
      <c r="BS19" s="458" t="s">
        <v>458</v>
      </c>
    </row>
    <row r="20" spans="2:71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0"/>
      <c r="J20" s="360"/>
      <c r="K20" s="624">
        <f>'SHWLP-Det'!Z59/G16</f>
        <v>7.8417325837286541E-4</v>
      </c>
      <c r="L20" s="290"/>
      <c r="O20" s="556"/>
      <c r="P20" s="556"/>
      <c r="Q20" s="556"/>
      <c r="R20" s="556"/>
      <c r="S20" s="556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467" t="str">
        <f>"*H_"&amp;"*"&amp;RIGHT(AG20,LEN(AG20)-3)&amp;"_"&amp;SETUP!B64</f>
        <v>*H_*OILCOK_X0</v>
      </c>
      <c r="AE20" s="467" t="str">
        <f>COMM!F13&amp;"_"&amp;SETUP!C64</f>
        <v>Petroleum Coke to Residential_Existing 00</v>
      </c>
      <c r="AF20" s="467" t="str">
        <f>RSD_Balance!A16</f>
        <v>COK</v>
      </c>
      <c r="AG20" s="467" t="s">
        <v>643</v>
      </c>
      <c r="AH20" s="467">
        <v>1</v>
      </c>
      <c r="AI20" s="467"/>
      <c r="AJ20" s="467"/>
      <c r="AK20" s="467"/>
      <c r="AL20" s="467">
        <v>5.2909653443917494E-2</v>
      </c>
      <c r="AM20" s="467">
        <v>0.1130595111768057</v>
      </c>
      <c r="AN20" s="467">
        <v>0.18480169736713609</v>
      </c>
      <c r="AO20" s="467">
        <v>9.1980608893918028E-2</v>
      </c>
      <c r="AP20" s="467">
        <v>4.0248445684114405E-2</v>
      </c>
      <c r="AQ20" s="467">
        <v>6.6194646918417144E-2</v>
      </c>
      <c r="AR20" s="467">
        <v>0.12021532312122017</v>
      </c>
      <c r="AS20" s="467">
        <v>5.2154967135292975E-2</v>
      </c>
      <c r="AT20" s="467">
        <v>1.3178805351752886E-2</v>
      </c>
      <c r="AU20" s="467">
        <v>1.4108453121111133E-2</v>
      </c>
      <c r="AV20" s="467">
        <v>2.1205986611954164E-2</v>
      </c>
      <c r="AW20" s="467">
        <v>7.1491504124769718E-3</v>
      </c>
      <c r="AX20" s="467">
        <v>3.4589279795612465E-2</v>
      </c>
      <c r="AY20" s="467">
        <v>5.5365584468802055E-2</v>
      </c>
      <c r="AZ20" s="467">
        <v>9.9766180708504015E-2</v>
      </c>
      <c r="BA20" s="467">
        <v>4.2243948847130071E-2</v>
      </c>
      <c r="BB20" s="464"/>
      <c r="BC20" s="467">
        <v>5.0264170771721614E-2</v>
      </c>
      <c r="BD20" s="467">
        <v>0.10740653561796541</v>
      </c>
      <c r="BE20" s="467">
        <v>0.17556161249877927</v>
      </c>
      <c r="BF20" s="467">
        <v>8.7381578449222119E-2</v>
      </c>
      <c r="BG20" s="467">
        <v>3.8236023399908683E-2</v>
      </c>
      <c r="BH20" s="467">
        <v>6.2884914572496287E-2</v>
      </c>
      <c r="BI20" s="467">
        <v>0.11420455696515916</v>
      </c>
      <c r="BJ20" s="467">
        <v>4.9547218778528322E-2</v>
      </c>
      <c r="BK20" s="467">
        <v>1.2519865084165241E-2</v>
      </c>
      <c r="BL20" s="467">
        <v>1.3403030465055575E-2</v>
      </c>
      <c r="BM20" s="467">
        <v>2.0145687281356454E-2</v>
      </c>
      <c r="BN20" s="467">
        <v>6.7916928918531228E-3</v>
      </c>
      <c r="BO20" s="467">
        <v>3.2859815805831839E-2</v>
      </c>
      <c r="BP20" s="467">
        <v>5.259730524536195E-2</v>
      </c>
      <c r="BQ20" s="467">
        <v>9.4777871673078815E-2</v>
      </c>
      <c r="BR20" s="467">
        <v>4.0131751404773562E-2</v>
      </c>
      <c r="BS20" s="458" t="s">
        <v>458</v>
      </c>
    </row>
    <row r="21" spans="2:71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1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1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1" ht="18.75">
      <c r="B24" s="1061" t="s">
        <v>770</v>
      </c>
      <c r="C24" s="1061"/>
      <c r="D24" s="1061"/>
      <c r="E24" s="1061"/>
      <c r="F24" s="1061"/>
      <c r="G24" s="1061"/>
      <c r="H24" s="1061"/>
      <c r="I24" s="1061"/>
      <c r="J24" s="1061"/>
      <c r="K24" s="1061"/>
      <c r="L24" s="1061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1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1" ht="21">
      <c r="B26" s="70" t="s">
        <v>284</v>
      </c>
      <c r="C26" s="70"/>
      <c r="D26" s="70"/>
      <c r="E26" s="67" t="s">
        <v>941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1" ht="15">
      <c r="B27" s="320" t="s">
        <v>937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1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739">
        <v>343.16240879844895</v>
      </c>
      <c r="H28" s="739">
        <v>451.82524110684687</v>
      </c>
      <c r="I28" s="739">
        <v>536.57262151506029</v>
      </c>
      <c r="J28" s="739">
        <v>618.35384360898615</v>
      </c>
      <c r="K28" s="739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740">
        <v>886.25277079624823</v>
      </c>
      <c r="H29" s="740">
        <v>978.53086502110932</v>
      </c>
      <c r="I29" s="740">
        <v>1047.0297357476454</v>
      </c>
      <c r="J29" s="740">
        <v>1113.1311459987526</v>
      </c>
      <c r="K29" s="740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739">
        <v>765.74984368030255</v>
      </c>
      <c r="H30" s="739">
        <v>794.97814133241855</v>
      </c>
      <c r="I30" s="739">
        <v>813.84519153655606</v>
      </c>
      <c r="J30" s="739">
        <v>832.05189498354878</v>
      </c>
      <c r="K30" s="739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1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1">
      <c r="B32" s="476" t="s">
        <v>740</v>
      </c>
      <c r="C32" s="476"/>
      <c r="D32" s="476"/>
      <c r="E32" s="476"/>
      <c r="F32" s="741">
        <f>SUM(F28:F30)</f>
        <v>1697.5803349999996</v>
      </c>
      <c r="G32" s="741">
        <v>2088.44</v>
      </c>
      <c r="H32" s="741">
        <v>2344.86</v>
      </c>
      <c r="I32" s="741">
        <v>2570.37</v>
      </c>
      <c r="J32" s="741">
        <v>2787.97</v>
      </c>
      <c r="K32" s="741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A13" sqref="A13"/>
    </sheetView>
  </sheetViews>
  <sheetFormatPr defaultRowHeight="12.75"/>
  <cols>
    <col min="2" max="2" width="10.85546875" style="290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290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290" customFormat="1"/>
    <row r="2" spans="2:25" ht="21">
      <c r="B2" s="70" t="s">
        <v>811</v>
      </c>
      <c r="C2" s="70"/>
      <c r="D2" s="70"/>
      <c r="E2" s="70"/>
      <c r="F2" s="74" t="s">
        <v>941</v>
      </c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47"/>
      <c r="R2" s="34" t="s">
        <v>940</v>
      </c>
      <c r="S2" s="34"/>
      <c r="T2" s="34"/>
      <c r="U2" s="34"/>
      <c r="V2" s="34"/>
      <c r="W2" s="34"/>
      <c r="X2" s="34"/>
      <c r="Y2" s="34"/>
    </row>
    <row r="3" spans="2:25" ht="15">
      <c r="B3" s="36" t="s">
        <v>937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873</v>
      </c>
      <c r="J3" s="36" t="s">
        <v>795</v>
      </c>
      <c r="K3" s="44" t="s">
        <v>276</v>
      </c>
      <c r="L3" s="44" t="s">
        <v>277</v>
      </c>
      <c r="M3" s="48" t="s">
        <v>874</v>
      </c>
      <c r="N3" s="48" t="s">
        <v>875</v>
      </c>
      <c r="O3" s="44" t="s">
        <v>794</v>
      </c>
      <c r="P3" s="48" t="s">
        <v>793</v>
      </c>
      <c r="R3" s="36" t="s">
        <v>268</v>
      </c>
      <c r="S3" s="36" t="s">
        <v>937</v>
      </c>
      <c r="T3" s="36" t="s">
        <v>262</v>
      </c>
      <c r="U3" s="36" t="s">
        <v>263</v>
      </c>
      <c r="V3" s="36" t="s">
        <v>269</v>
      </c>
      <c r="W3" s="36" t="s">
        <v>270</v>
      </c>
      <c r="X3" s="36" t="s">
        <v>271</v>
      </c>
      <c r="Y3" s="36" t="s">
        <v>272</v>
      </c>
    </row>
    <row r="4" spans="2:25" ht="26.25" thickBot="1">
      <c r="B4" s="37" t="s">
        <v>950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37"/>
      <c r="K4" s="45"/>
      <c r="L4" s="45"/>
      <c r="M4" s="268" t="s">
        <v>438</v>
      </c>
      <c r="N4" s="45" t="s">
        <v>876</v>
      </c>
      <c r="O4" s="45" t="s">
        <v>16</v>
      </c>
      <c r="P4" s="268" t="s">
        <v>16</v>
      </c>
      <c r="R4" s="38" t="s">
        <v>261</v>
      </c>
      <c r="S4" s="38"/>
      <c r="T4" s="38"/>
      <c r="U4" s="37"/>
      <c r="V4" s="38"/>
      <c r="W4" s="38"/>
      <c r="X4" s="38"/>
      <c r="Y4" s="38"/>
    </row>
    <row r="5" spans="2:25" ht="14.25">
      <c r="B5" s="496" t="str">
        <f>_xlfn.TEXTJOIN(",",TRUE,IF(LEFT(Regions!$C$3,1)&lt;&gt;"*",Regions!$C$3,""),IF(LEFT(Regions!$D$3,1)&lt;&gt;"*",Regions!$D$3,""))</f>
        <v>IE,National</v>
      </c>
      <c r="C5" s="723" t="str">
        <f>T5</f>
        <v>R-RSDRF_X0</v>
      </c>
      <c r="D5" s="723" t="str">
        <f>U5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3"/>
      <c r="J5" s="725">
        <f>O5/G5/L5</f>
        <v>6.6527999999999997E-4</v>
      </c>
      <c r="K5" s="724">
        <v>10</v>
      </c>
      <c r="L5" s="726">
        <v>1</v>
      </c>
      <c r="M5" s="726"/>
      <c r="N5" s="726"/>
      <c r="O5" s="727">
        <f>P5*H5</f>
        <v>1.1293662452687998</v>
      </c>
      <c r="P5" s="728">
        <f>RSD_Balance!S29</f>
        <v>1.4117078065859998</v>
      </c>
      <c r="Q5" s="556"/>
      <c r="R5" s="496" t="s">
        <v>273</v>
      </c>
      <c r="S5" s="360" t="str">
        <f>_xlfn.TEXTJOIN(",",TRUE,IF(LEFT(Regions!$C$3,1)&lt;&gt;"*",Regions!$C$3,""),IF(LEFT(Regions!$D$3,1)&lt;&gt;"*",Regions!$D$3,""))</f>
        <v>IE,National</v>
      </c>
      <c r="T5" s="496" t="str">
        <f>_xlfn.TEXTJOIN("",TRUE,,LEFT(SETUP!B$3,1),"-",COMM!E32,"_",SETUP!$B$64)</f>
        <v>R-RSDRF_X0</v>
      </c>
      <c r="U5" s="496" t="str">
        <f>_xlfn.TEXTJOIN(" ",TRUE,COMM!F32,"Technology")</f>
        <v>Residential Refrigeration Demand Technology</v>
      </c>
      <c r="V5" s="360" t="s">
        <v>16</v>
      </c>
      <c r="W5" s="360" t="s">
        <v>852</v>
      </c>
      <c r="X5" s="360"/>
      <c r="Y5" s="360"/>
    </row>
    <row r="6" spans="2:25">
      <c r="B6" s="623" t="str">
        <f>_xlfn.TEXTJOIN(",",TRUE,IF(LEFT(Regions!$C$3,1)&lt;&gt;"*",Regions!$C$3,""),IF(LEFT(Regions!$D$3,1)&lt;&gt;"*",Regions!$D$3,""))</f>
        <v>IE,National</v>
      </c>
      <c r="C6" s="729" t="str">
        <f>T6</f>
        <v>R-RSDCK_X0</v>
      </c>
      <c r="D6" s="730" t="str">
        <f>U6</f>
        <v>Residential Cooking Demand Technology</v>
      </c>
      <c r="E6" s="730" t="str">
        <f>COMM!E24</f>
        <v>RSDELC</v>
      </c>
      <c r="F6" s="729" t="str">
        <f>COMM!$E$33</f>
        <v>RSDCK</v>
      </c>
      <c r="G6" s="735">
        <f>DwellingStocks!$L$38/1000</f>
        <v>1697.5803349999996</v>
      </c>
      <c r="H6" s="729"/>
      <c r="I6" s="730">
        <v>0.74</v>
      </c>
      <c r="J6" s="731">
        <f>(SUM(O6:O8))/G6/L6</f>
        <v>1.1785537993699773E-3</v>
      </c>
      <c r="K6" s="730">
        <v>15</v>
      </c>
      <c r="L6" s="730">
        <v>1</v>
      </c>
      <c r="M6" s="729">
        <v>0.75888</v>
      </c>
      <c r="N6" s="730">
        <v>5</v>
      </c>
      <c r="O6" s="729">
        <f>P6*I6</f>
        <v>1.5182832416441119</v>
      </c>
      <c r="P6" s="732">
        <f>RSD_Balance!R26</f>
        <v>2.051734110329881</v>
      </c>
      <c r="R6" s="499" t="s">
        <v>273</v>
      </c>
      <c r="S6" s="622" t="str">
        <f>_xlfn.TEXTJOIN(",",TRUE,IF(LEFT(Regions!$C$3,1)&lt;&gt;"*",Regions!$C$3,""),IF(LEFT(Regions!$D$3,1)&lt;&gt;"*",Regions!$D$3,""))</f>
        <v>IE,National</v>
      </c>
      <c r="T6" s="622" t="str">
        <f>_xlfn.TEXTJOIN("",TRUE,,LEFT(SETUP!B$3,1),"-",COMM!E33,"_",SETUP!$B$64)</f>
        <v>R-RSDCK_X0</v>
      </c>
      <c r="U6" s="622" t="str">
        <f>_xlfn.TEXTJOIN(" ",TRUE,COMM!F33,"Technology")</f>
        <v>Residential Cooking Demand Technology</v>
      </c>
      <c r="V6" s="623" t="s">
        <v>16</v>
      </c>
      <c r="W6" s="622" t="s">
        <v>852</v>
      </c>
      <c r="X6" s="623"/>
      <c r="Y6" s="622"/>
    </row>
    <row r="7" spans="2:25" ht="14.25">
      <c r="B7" s="496"/>
      <c r="C7" s="723"/>
      <c r="D7" s="723"/>
      <c r="E7" s="723" t="str">
        <f>COMM!E14</f>
        <v>RSDGAS</v>
      </c>
      <c r="F7" s="723"/>
      <c r="G7" s="734"/>
      <c r="H7" s="723"/>
      <c r="I7" s="723">
        <v>0.68</v>
      </c>
      <c r="J7" s="725"/>
      <c r="K7" s="724"/>
      <c r="L7" s="726"/>
      <c r="M7" s="733">
        <v>0.22769700000000001</v>
      </c>
      <c r="N7" s="726">
        <v>5</v>
      </c>
      <c r="O7" s="727">
        <f>P7*I7</f>
        <v>0.45555167559079646</v>
      </c>
      <c r="P7" s="728">
        <f>RSD_Balance!R17</f>
        <v>0.66992893469234771</v>
      </c>
      <c r="R7" s="496" t="s">
        <v>273</v>
      </c>
      <c r="S7" s="360" t="str">
        <f>_xlfn.TEXTJOIN(",",TRUE,IF(LEFT(Regions!$C$3,1)&lt;&gt;"*",Regions!$C$3,""),IF(LEFT(Regions!$D$3,1)&lt;&gt;"*",Regions!$D$3,""))</f>
        <v>IE,National</v>
      </c>
      <c r="T7" s="496" t="str">
        <f>_xlfn.TEXTJOIN("",TRUE,,LEFT(SETUP!B$3,1),"-",COMM!E34,"_",SETUP!$B$64)</f>
        <v>R-RSDCW_X0</v>
      </c>
      <c r="U7" s="496" t="str">
        <f>_xlfn.TEXTJOIN(" ",TRUE,COMM!F34,"Technology")</f>
        <v>Residential Cloth Washing Demand Technology</v>
      </c>
      <c r="V7" s="360" t="s">
        <v>16</v>
      </c>
      <c r="W7" s="360" t="s">
        <v>852</v>
      </c>
      <c r="X7" s="360"/>
      <c r="Y7" s="360"/>
    </row>
    <row r="8" spans="2:25" s="290" customFormat="1">
      <c r="B8" s="623"/>
      <c r="C8" s="729"/>
      <c r="D8" s="730"/>
      <c r="E8" s="730" t="str">
        <f>COMM!E8</f>
        <v>RSDLPG</v>
      </c>
      <c r="F8" s="729"/>
      <c r="G8" s="735"/>
      <c r="H8" s="729"/>
      <c r="I8" s="730">
        <v>0.68</v>
      </c>
      <c r="J8" s="731"/>
      <c r="K8" s="730"/>
      <c r="L8" s="730"/>
      <c r="M8" s="729">
        <v>1.3422788999999999E-2</v>
      </c>
      <c r="N8" s="730">
        <v>5</v>
      </c>
      <c r="O8" s="729">
        <f>P8*I8</f>
        <v>2.6854836315100172E-2</v>
      </c>
      <c r="P8" s="732">
        <f>RSD_Balance!R11</f>
        <v>3.9492406345735545E-2</v>
      </c>
      <c r="R8" s="499" t="s">
        <v>273</v>
      </c>
      <c r="S8" s="622" t="str">
        <f>_xlfn.TEXTJOIN(",",TRUE,IF(LEFT(Regions!$C$3,1)&lt;&gt;"*",Regions!$C$3,""),IF(LEFT(Regions!$D$3,1)&lt;&gt;"*",Regions!$D$3,""))</f>
        <v>IE,National</v>
      </c>
      <c r="T8" s="622" t="str">
        <f>_xlfn.TEXTJOIN("",TRUE,,LEFT(SETUP!B$3,1),"-",COMM!E35,"_",SETUP!$B$64)</f>
        <v>R-RSDCD_X0</v>
      </c>
      <c r="U8" s="622" t="str">
        <f>_xlfn.TEXTJOIN(" ",TRUE,COMM!F35,"Technology")</f>
        <v>Residential Cloth Drying Demand Technology</v>
      </c>
      <c r="V8" s="623" t="s">
        <v>16</v>
      </c>
      <c r="W8" s="622" t="s">
        <v>852</v>
      </c>
      <c r="X8" s="623"/>
      <c r="Y8" s="622"/>
    </row>
    <row r="9" spans="2:25" s="290" customFormat="1" ht="14.25">
      <c r="B9" s="496" t="str">
        <f>_xlfn.TEXTJOIN(",",TRUE,IF(LEFT(Regions!$C$3,1)&lt;&gt;"*",Regions!$C$3,""),IF(LEFT(Regions!$D$3,1)&lt;&gt;"*",Regions!$D$3,""))</f>
        <v>IE,National</v>
      </c>
      <c r="C9" s="723" t="str">
        <f>T7</f>
        <v>R-RSDCW_X0</v>
      </c>
      <c r="D9" s="723" t="str">
        <f>U7</f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3"/>
      <c r="J9" s="725">
        <f>O9/G9/L9</f>
        <v>4.662E-4</v>
      </c>
      <c r="K9" s="724">
        <v>10</v>
      </c>
      <c r="L9" s="726">
        <v>1</v>
      </c>
      <c r="M9" s="726"/>
      <c r="N9" s="726"/>
      <c r="O9" s="727">
        <f>P9*H9</f>
        <v>0.77162665337257486</v>
      </c>
      <c r="P9" s="728">
        <f>RSD_Balance!T29</f>
        <v>1.1023237905322498</v>
      </c>
      <c r="R9" s="496" t="s">
        <v>273</v>
      </c>
      <c r="S9" s="360" t="str">
        <f>_xlfn.TEXTJOIN(",",TRUE,IF(LEFT(Regions!$C$3,1)&lt;&gt;"*",Regions!$C$3,""),IF(LEFT(Regions!$D$3,1)&lt;&gt;"*",Regions!$D$3,""))</f>
        <v>IE,National</v>
      </c>
      <c r="T9" s="496" t="str">
        <f>_xlfn.TEXTJOIN("",TRUE,,LEFT(SETUP!B$3,1),"-",COMM!E36,"_",SETUP!$B$64)</f>
        <v>R-RSDDW_X0</v>
      </c>
      <c r="U9" s="496" t="str">
        <f>_xlfn.TEXTJOIN(" ",TRUE,COMM!F36,"Technology")</f>
        <v>Residential Dish Washing Demand Technology</v>
      </c>
      <c r="V9" s="360" t="s">
        <v>16</v>
      </c>
      <c r="W9" s="360" t="s">
        <v>852</v>
      </c>
      <c r="X9" s="360"/>
      <c r="Y9" s="360"/>
    </row>
    <row r="10" spans="2:25" s="290" customFormat="1">
      <c r="B10" s="623" t="str">
        <f>_xlfn.TEXTJOIN(",",TRUE,IF(LEFT(Regions!$C$3,1)&lt;&gt;"*",Regions!$C$3,""),IF(LEFT(Regions!$D$3,1)&lt;&gt;"*",Regions!$D$3,""))</f>
        <v>IE,National</v>
      </c>
      <c r="C10" s="729" t="str">
        <f t="shared" ref="C10:D10" si="0">T8</f>
        <v>R-RSDCD_X0</v>
      </c>
      <c r="D10" s="730" t="str">
        <f t="shared" si="0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0"/>
      <c r="J10" s="731">
        <f t="shared" ref="J10:J13" si="1">O10/G10/L10</f>
        <v>9.3528000000000014E-4</v>
      </c>
      <c r="K10" s="730">
        <v>10</v>
      </c>
      <c r="L10" s="730">
        <v>1</v>
      </c>
      <c r="M10" s="729"/>
      <c r="N10" s="730"/>
      <c r="O10" s="729">
        <f>P10*H10</f>
        <v>1.0288379823457823</v>
      </c>
      <c r="P10" s="732">
        <f>RSD_Balance!U26</f>
        <v>1.7147299705763039</v>
      </c>
      <c r="R10" s="499" t="s">
        <v>273</v>
      </c>
      <c r="S10" s="622" t="str">
        <f>_xlfn.TEXTJOIN(",",TRUE,IF(LEFT(Regions!$C$3,1)&lt;&gt;"*",Regions!$C$3,""),IF(LEFT(Regions!$D$3,1)&lt;&gt;"*",Regions!$D$3,""))</f>
        <v>IE,National</v>
      </c>
      <c r="T10" s="622" t="str">
        <f>_xlfn.TEXTJOIN("",TRUE,,LEFT(SETUP!B$3,1),"-",COMM!E37,"_",SETUP!$B$64)</f>
        <v>R-RSDOE_X0</v>
      </c>
      <c r="U10" s="622" t="str">
        <f>_xlfn.TEXTJOIN(" ",TRUE,COMM!F37,"Technology")</f>
        <v>Residential ELC Appliances Demand Technology</v>
      </c>
      <c r="V10" s="623" t="s">
        <v>16</v>
      </c>
      <c r="W10" s="622" t="s">
        <v>852</v>
      </c>
      <c r="X10" s="623"/>
      <c r="Y10" s="622"/>
    </row>
    <row r="11" spans="2:25" ht="14.25">
      <c r="B11" s="496" t="str">
        <f>_xlfn.TEXTJOIN(",",TRUE,IF(LEFT(Regions!$C$3,1)&lt;&gt;"*",Regions!$C$3,""),IF(LEFT(Regions!$D$3,1)&lt;&gt;"*",Regions!$D$3,""))</f>
        <v>IE,National</v>
      </c>
      <c r="C11" s="723" t="str">
        <f t="shared" ref="C11:D11" si="2">T9</f>
        <v>R-RSDDW_X0</v>
      </c>
      <c r="D11" s="723" t="str">
        <f t="shared" si="2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3"/>
      <c r="J11" s="725">
        <f>O11/G11/L11</f>
        <v>7.5599999999999994E-4</v>
      </c>
      <c r="K11" s="724">
        <v>10</v>
      </c>
      <c r="L11" s="726">
        <v>1</v>
      </c>
      <c r="M11" s="726"/>
      <c r="N11" s="726"/>
      <c r="O11" s="727">
        <f>P11*H11</f>
        <v>0.83034086441921984</v>
      </c>
      <c r="P11" s="728">
        <f>RSD_Balance!V29</f>
        <v>1.1862012348845998</v>
      </c>
      <c r="R11" s="496" t="s">
        <v>273</v>
      </c>
      <c r="S11" s="360" t="str">
        <f>_xlfn.TEXTJOIN(",",TRUE,IF(LEFT(Regions!$C$3,1)&lt;&gt;"*",Regions!$C$3,""),IF(LEFT(Regions!$D$3,1)&lt;&gt;"*",Regions!$D$3,""))</f>
        <v>IE,National</v>
      </c>
      <c r="T11" s="496" t="str">
        <f>_xlfn.TEXTJOIN("",TRUE,,LEFT(SETUP!B$3,1),"-",COMM!E38,"_",SETUP!$B$64)</f>
        <v>R-RSDOA_X0</v>
      </c>
      <c r="U11" s="496" t="str">
        <f>_xlfn.TEXTJOIN(" ",TRUE,COMM!F38,"Technology")</f>
        <v>Residential Other Applications Demand Technology</v>
      </c>
      <c r="V11" s="360" t="s">
        <v>16</v>
      </c>
      <c r="W11" s="360" t="s">
        <v>852</v>
      </c>
      <c r="X11" s="360"/>
      <c r="Y11" s="360"/>
    </row>
    <row r="12" spans="2:25">
      <c r="B12" s="623" t="str">
        <f>_xlfn.TEXTJOIN(",",TRUE,IF(LEFT(Regions!$C$3,1)&lt;&gt;"*",Regions!$C$3,""),IF(LEFT(Regions!$D$3,1)&lt;&gt;"*",Regions!$D$3,""))</f>
        <v>IE,National</v>
      </c>
      <c r="C12" s="729" t="str">
        <f t="shared" ref="C12:D12" si="3">T10</f>
        <v>R-RSDOE_X0</v>
      </c>
      <c r="D12" s="730" t="str">
        <f t="shared" si="3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0"/>
      <c r="J12" s="731">
        <f>O12/G12/L12</f>
        <v>5.4294497115100612E-3</v>
      </c>
      <c r="K12" s="730">
        <v>10</v>
      </c>
      <c r="L12" s="730">
        <v>1</v>
      </c>
      <c r="M12" s="729"/>
      <c r="N12" s="730"/>
      <c r="O12" s="729">
        <f>P12*H12</f>
        <v>9.2169270601309012</v>
      </c>
      <c r="P12" s="732">
        <f>RSD_Balance!W26</f>
        <v>10.843443600154002</v>
      </c>
    </row>
    <row r="13" spans="2:25" ht="15">
      <c r="B13" s="496" t="str">
        <f>_xlfn.TEXTJOIN(",",TRUE,IF(LEFT(Regions!$C$3,1)&lt;&gt;"*",Regions!$C$3,""),IF(LEFT(Regions!$D$3,1)&lt;&gt;"*",Regions!$D$3,""))</f>
        <v>IE,National</v>
      </c>
      <c r="C13" s="723" t="str">
        <f t="shared" ref="C13:D13" si="4">T11</f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3"/>
      <c r="J13" s="725">
        <f t="shared" si="1"/>
        <v>0</v>
      </c>
      <c r="K13" s="724">
        <v>10</v>
      </c>
      <c r="L13" s="726">
        <v>1</v>
      </c>
      <c r="M13" s="726"/>
      <c r="N13" s="726"/>
      <c r="O13" s="727">
        <f>P13*H13</f>
        <v>0</v>
      </c>
      <c r="P13" s="728">
        <v>0</v>
      </c>
      <c r="R13" s="474"/>
      <c r="S13" s="474"/>
    </row>
    <row r="14" spans="2:25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5" ht="15">
      <c r="N15" s="474"/>
      <c r="O15" s="474"/>
      <c r="P15" s="474"/>
      <c r="Q15" s="474"/>
    </row>
    <row r="16" spans="2:25" ht="15">
      <c r="M16" s="94"/>
      <c r="N16" s="474"/>
      <c r="O16" s="474"/>
      <c r="P16" s="474"/>
      <c r="Q16" s="474"/>
    </row>
    <row r="17" spans="2:17" ht="18.75">
      <c r="B17" s="1061" t="s">
        <v>769</v>
      </c>
      <c r="C17" s="1061"/>
      <c r="D17" s="1061"/>
      <c r="E17" s="1061"/>
      <c r="F17" s="1061"/>
      <c r="G17" s="1061"/>
      <c r="H17" s="1061"/>
      <c r="I17" s="1061"/>
      <c r="J17" s="1061"/>
      <c r="K17" s="1061"/>
      <c r="L17" s="1061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941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</row>
    <row r="20" spans="2:17" ht="15">
      <c r="B20" s="320" t="s">
        <v>937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O5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SUM(O6:O8)</f>
        <v>2.0006897535500086</v>
      </c>
      <c r="G22" s="479">
        <f>F22*(G28/F28)</f>
        <v>2.4613388967562355</v>
      </c>
      <c r="H22" s="479">
        <f t="shared" ref="H22:K22" si="6">G22*(H28/G28)</f>
        <v>2.7635436619906852</v>
      </c>
      <c r="I22" s="479">
        <f t="shared" si="6"/>
        <v>3.0293193292866087</v>
      </c>
      <c r="J22" s="479">
        <f t="shared" si="6"/>
        <v>3.2857726360295154</v>
      </c>
      <c r="K22" s="479">
        <f t="shared" si="6"/>
        <v>3.5332689338972108</v>
      </c>
      <c r="L22" s="459" t="s">
        <v>16</v>
      </c>
      <c r="M22" s="474"/>
      <c r="N22" s="474"/>
      <c r="O22" s="474"/>
      <c r="P22" s="474"/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O9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O10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O11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O12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O13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0" t="s">
        <v>798</v>
      </c>
      <c r="R26" s="1070"/>
      <c r="S26" s="1070"/>
      <c r="T26" s="1070" t="s">
        <v>799</v>
      </c>
      <c r="U26" s="1070"/>
      <c r="V26" s="1070"/>
    </row>
    <row r="27" spans="1:22" ht="21.75" thickBot="1">
      <c r="A27" s="33"/>
      <c r="B27" s="33"/>
      <c r="C27" s="33"/>
      <c r="D27" s="33"/>
      <c r="E27" s="33"/>
      <c r="F27" s="33"/>
      <c r="H27" s="1070" t="s">
        <v>624</v>
      </c>
      <c r="I27" s="1070"/>
      <c r="J27" s="1070"/>
      <c r="K27" s="1070"/>
      <c r="L27" s="1070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67" t="s">
        <v>295</v>
      </c>
      <c r="C58" s="1068"/>
      <c r="D58" s="1068"/>
      <c r="E58" s="1068"/>
      <c r="F58" s="1068"/>
      <c r="G58" s="1068"/>
      <c r="H58" s="1068"/>
      <c r="I58" s="1068"/>
      <c r="J58" s="1068"/>
      <c r="K58" s="1068"/>
      <c r="L58" s="1069"/>
      <c r="M58" s="1064" t="s">
        <v>296</v>
      </c>
      <c r="N58" s="1065"/>
      <c r="O58" s="1066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1" t="s">
        <v>361</v>
      </c>
      <c r="T92" s="1072"/>
      <c r="U92" s="1072"/>
      <c r="V92" s="1072"/>
      <c r="W92" s="1072"/>
      <c r="X92" s="1072"/>
      <c r="Y92" s="1072"/>
      <c r="Z92" s="1073"/>
      <c r="AB92" s="1062" t="s">
        <v>362</v>
      </c>
      <c r="AC92" s="1062"/>
      <c r="AD92" s="1062"/>
      <c r="AE92" s="1062"/>
      <c r="AF92" s="1063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2"/>
      <c r="AC93" s="1062"/>
      <c r="AD93" s="1062"/>
      <c r="AE93" s="1062"/>
      <c r="AF93" s="1063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abSelected="1" zoomScale="80" zoomScaleNormal="80" workbookViewId="0">
      <selection activeCell="J22" sqref="J2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(R7*1000)/(E7+E14+E16)*DwellingStocks!$T$37-0.0955</f>
        <v>1.0441707013624295</v>
      </c>
      <c r="T7" s="515">
        <f>(G7+G14+G16)/300</f>
        <v>0.59018803418803423</v>
      </c>
      <c r="U7" s="515">
        <f>Z7/R7/W7</f>
        <v>9.2214798735756998E-2</v>
      </c>
      <c r="V7" s="516">
        <v>20</v>
      </c>
      <c r="W7" s="516">
        <v>1</v>
      </c>
      <c r="X7" s="516"/>
      <c r="Y7" s="516"/>
      <c r="Z7" s="517">
        <f t="shared" ref="Z7:Z13" si="0">AA7*T7</f>
        <v>4.1168476881247973E-2</v>
      </c>
      <c r="AA7" s="517">
        <f>IF(((D7+I7+D14+I14+D16+I16)*$B$2)&lt;=0,0,((D7+I7+D14+I14+D16+I16)*S7*$B$2))</f>
        <v>6.975484844908203E-2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(R10*1000)/(E10+E11)*DwellingStocks!$T$37+0.1525</f>
        <v>1.2921707013624293</v>
      </c>
      <c r="T10" s="522">
        <f>(G10+G11)/200</f>
        <v>0.80677902621722841</v>
      </c>
      <c r="U10" s="522">
        <f t="shared" si="2"/>
        <v>1.7299140780158057E-2</v>
      </c>
      <c r="V10" s="523">
        <v>20</v>
      </c>
      <c r="W10" s="523">
        <v>1</v>
      </c>
      <c r="X10" s="523"/>
      <c r="Y10" s="523"/>
      <c r="Z10" s="524">
        <f t="shared" si="0"/>
        <v>5.0584634597901482E-2</v>
      </c>
      <c r="AA10" s="525">
        <f>IF(((D10+I10+D11+I11)*S10*$B$2)&lt;=0,0,((D10+I10+D11+I11)*S10*$B$2))</f>
        <v>6.2699491377557662E-2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</f>
        <v>1.1396707013624292</v>
      </c>
      <c r="T13" s="515">
        <f>G13/100</f>
        <v>0.81016216216216219</v>
      </c>
      <c r="U13" s="515">
        <f t="shared" si="2"/>
        <v>3.0831862922372489E-2</v>
      </c>
      <c r="V13" s="516">
        <v>20</v>
      </c>
      <c r="W13" s="516">
        <v>1</v>
      </c>
      <c r="X13" s="516"/>
      <c r="Y13" s="516"/>
      <c r="Z13" s="517">
        <f t="shared" si="0"/>
        <v>0.18556209304368665</v>
      </c>
      <c r="AA13" s="517">
        <f>IF(((D13+I13)*$B$2)&lt;=0,0,((D13+I13)*S13*$B$2))</f>
        <v>0.22904314927329883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(R22*1000)/(E20+E21+E22+E23)*DwellingStocks!$T$37-0.1368</f>
        <v>1.0028707013624292</v>
      </c>
      <c r="T22" s="531">
        <f>(G21+G22+G23)/300</f>
        <v>0.6880451127819549</v>
      </c>
      <c r="U22" s="515">
        <f>Z22/R22/W22</f>
        <v>1.2758751790818573E-2</v>
      </c>
      <c r="V22" s="516">
        <v>20</v>
      </c>
      <c r="W22" s="516">
        <v>1</v>
      </c>
      <c r="X22" s="516"/>
      <c r="Y22" s="516"/>
      <c r="Z22" s="517">
        <f>AA22*T22</f>
        <v>3.6603362524872942E-3</v>
      </c>
      <c r="AA22" s="517">
        <f>IF(((D20+I20+D21+I21+D22+I22+D23+I23)*$B$2)&lt;=0,0,((D20+I20+D21+I21+D22+I22+D23+I23)*S22*$B$2))</f>
        <v>5.3199073498066893E-3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3.3143749399106022</v>
      </c>
      <c r="AA27" s="504">
        <f>SUM(AA6:AA25)</f>
        <v>2.892534759658949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874</v>
      </c>
      <c r="Y30" s="48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IFERROR((R33*1000)/(E31+E38+E40),0)-0.0955</f>
        <v>0.20986157684223974</v>
      </c>
      <c r="T33" s="515">
        <f t="shared" ref="T33:T39" si="5">T7</f>
        <v>0.59018803418803423</v>
      </c>
      <c r="U33" s="515">
        <f>IFERROR(Z33/R33/W33,0)</f>
        <v>6.3768329096572296E-3</v>
      </c>
      <c r="V33" s="516">
        <v>20</v>
      </c>
      <c r="W33" s="516">
        <v>1</v>
      </c>
      <c r="X33" s="516"/>
      <c r="Y33" s="516"/>
      <c r="Z33" s="517">
        <f t="shared" ref="Z33:Z39" si="6">AA33*T33</f>
        <v>4.6539030086002823E-4</v>
      </c>
      <c r="AA33" s="517">
        <f>IF(((D31+I31+D38+I38+D40+I40)*$B$2)&lt;=0,0,((D31+I31+D38+I38+D40+I40)*S33*$B$2))</f>
        <v>7.8854580896459624E-4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</f>
        <v>1.3879891611957222</v>
      </c>
      <c r="T36" s="522">
        <f t="shared" si="5"/>
        <v>0.80677902621722841</v>
      </c>
      <c r="U36" s="522">
        <f t="shared" si="8"/>
        <v>8.8234631689712521E-3</v>
      </c>
      <c r="V36" s="523">
        <v>20</v>
      </c>
      <c r="W36" s="523">
        <v>1</v>
      </c>
      <c r="X36" s="523"/>
      <c r="Y36" s="523"/>
      <c r="Z36" s="524">
        <f t="shared" si="6"/>
        <v>2.3575227142277885E-2</v>
      </c>
      <c r="AA36" s="525">
        <f>IF(((D34+I34+D35+I35)*$B$2)&lt;=0,0,((D34+I34+D35+I35)*S36*$B$2))</f>
        <v>2.9221417979611884E-2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IFERROR((R39*1000)/E37,0)-0.414</f>
        <v>1.0498363398395394</v>
      </c>
      <c r="T39" s="515">
        <f t="shared" si="5"/>
        <v>0.81016216216216219</v>
      </c>
      <c r="U39" s="515">
        <f t="shared" si="8"/>
        <v>8.6288756048648746E-3</v>
      </c>
      <c r="V39" s="516">
        <v>20</v>
      </c>
      <c r="W39" s="516">
        <v>1</v>
      </c>
      <c r="X39" s="516"/>
      <c r="Y39" s="516"/>
      <c r="Z39" s="517">
        <f t="shared" si="6"/>
        <v>4.8074581963047272E-2</v>
      </c>
      <c r="AA39" s="517">
        <f>IF(((D37+I37)*$B$2)&lt;=0,0,((D37+I37)*S39*$B$2))</f>
        <v>5.9339455985880335E-2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(R48*1000)/(E47+E44+E45+E46)-0.1368</f>
        <v>1.4046577214925684</v>
      </c>
      <c r="T48" s="515">
        <f t="shared" ref="T48:T49" si="11">T22</f>
        <v>0.6880451127819549</v>
      </c>
      <c r="U48" s="515">
        <f>Z48/R48/W48</f>
        <v>7.6632802703553056E-3</v>
      </c>
      <c r="V48" s="516">
        <v>20</v>
      </c>
      <c r="W48" s="516">
        <v>1</v>
      </c>
      <c r="X48" s="516"/>
      <c r="Y48" s="516"/>
      <c r="Z48" s="517">
        <f>AA48*T48</f>
        <v>2.0908341904120492E-3</v>
      </c>
      <c r="AA48" s="517">
        <f>IF(((D44+I44+D45+I45+D46+I46+D47+I47)*$B$2)&lt;=0,0,((D44+I44+D45+I45+D46+I46+D47+I47)*S48*$B$2))</f>
        <v>3.0388039266178836E-3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1.6176363993870024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2.6906729866413892</v>
      </c>
      <c r="AA53" s="504">
        <f>SUM(AA31:AA51)</f>
        <v>1.8438837291499242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1</v>
      </c>
      <c r="U58" s="496">
        <f>Z58/R58/W58</f>
        <v>1.6114677026113436E-3</v>
      </c>
      <c r="V58" s="497">
        <v>10</v>
      </c>
      <c r="W58" s="497">
        <v>1</v>
      </c>
      <c r="X58" s="497"/>
      <c r="Y58" s="497"/>
      <c r="Z58" s="498">
        <f>AA58*T58</f>
        <v>0.33324972411353743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1</v>
      </c>
      <c r="U59" s="499">
        <f>Z59/R59/W59</f>
        <v>3.3205708318124647E-4</v>
      </c>
      <c r="V59" s="500">
        <v>15</v>
      </c>
      <c r="W59" s="500">
        <v>1</v>
      </c>
      <c r="X59" s="500"/>
      <c r="Y59" s="500"/>
      <c r="Z59" s="501">
        <f>AA59*T59</f>
        <v>6.8669034558234018E-2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956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G37" workbookViewId="0">
      <selection activeCell="Z7" sqref="Z7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942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(R7*1000)/(E7+E14+E16)*DwellingStocks!$U$37-0.0955</f>
        <v>1.1966070314999231</v>
      </c>
      <c r="T7" s="515">
        <f>(G7+G14+G16)/300</f>
        <v>0.55798087905732663</v>
      </c>
      <c r="U7" s="515">
        <f>Z7/R7/W7</f>
        <v>0.10012798389155093</v>
      </c>
      <c r="V7" s="516">
        <v>20</v>
      </c>
      <c r="W7" s="516">
        <v>1</v>
      </c>
      <c r="X7" s="516"/>
      <c r="Y7" s="516"/>
      <c r="Z7" s="517">
        <f>AA7*T7</f>
        <v>1.2711363390708219</v>
      </c>
      <c r="AA7" s="517">
        <f>IF(((D7+I7+D14+I14+D16+I16)*$B$2)&lt;=0,0,((D7+I7+D14+I14+D16+I16)*S7*$B$2))</f>
        <v>2.2781001765120092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(R10*1000)/(E10+E11)*DwellingStocks!$U$37+0.1525</f>
        <v>1.4446070314999231</v>
      </c>
      <c r="T10" s="522">
        <f>(G10+G11)/200</f>
        <v>0.8070757743362833</v>
      </c>
      <c r="U10" s="522">
        <f t="shared" ref="U10:U23" si="1">Z10/R10/W10</f>
        <v>2.3818929075767371E-2</v>
      </c>
      <c r="V10" s="523">
        <v>20</v>
      </c>
      <c r="W10" s="523">
        <v>1</v>
      </c>
      <c r="X10" s="523"/>
      <c r="Y10" s="523"/>
      <c r="Z10" s="524">
        <f>AA10*T10</f>
        <v>0.20380351335127012</v>
      </c>
      <c r="AA10" s="525">
        <f>IF(((D10+I10+D11+I11)*S10*$B$2)&lt;=0,0,((D10+I10+D11+I11)*S10*$B$2))</f>
        <v>0.25252091542318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</f>
        <v>1.292107031499923</v>
      </c>
      <c r="T13" s="515">
        <f>G13/100</f>
        <v>0.81941558441558437</v>
      </c>
      <c r="U13" s="515">
        <f t="shared" si="1"/>
        <v>2.3904596338409464E-2</v>
      </c>
      <c r="V13" s="516">
        <v>20</v>
      </c>
      <c r="W13" s="516">
        <v>1</v>
      </c>
      <c r="X13" s="516"/>
      <c r="Y13" s="516"/>
      <c r="Z13" s="517">
        <f>AA13*T13</f>
        <v>5.4883155199320814</v>
      </c>
      <c r="AA13" s="517">
        <f>IF(((D13+I13)*$B$2)&lt;=0,0,((D13+I13)*S13*$B$2))</f>
        <v>6.6978412716502147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(R22*1000)/(E20+E21+E22+E23)*DwellingStocks!$U$37-0.1368</f>
        <v>1.155307031499923</v>
      </c>
      <c r="T22" s="515">
        <f>(G21+G22+G23)/300</f>
        <v>0.70400656814449913</v>
      </c>
      <c r="U22" s="515">
        <f t="shared" si="1"/>
        <v>5.6329489829771769E-2</v>
      </c>
      <c r="V22" s="516">
        <v>20</v>
      </c>
      <c r="W22" s="516">
        <v>1</v>
      </c>
      <c r="X22" s="516"/>
      <c r="Y22" s="516"/>
      <c r="Z22" s="517">
        <f>AA22*T22</f>
        <v>5.0246993799301448E-2</v>
      </c>
      <c r="AA22" s="517">
        <f>IF(((D20+I20+D21+I21+D22+I22+D23+I23)*$B$2)&lt;=0,0,((D20+I20+D21+I21+D22+I22+D23+I23)*S22*$B$2))</f>
        <v>7.1372904846234514E-2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20.606897850476958</v>
      </c>
      <c r="AA27" s="504">
        <f>SUM(AA6:AA25)</f>
        <v>24.657978000947015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IFERROR((R33*1000)/(E31+E38+E40),0)-0.0955</f>
        <v>1.5905552870931483</v>
      </c>
      <c r="T33" s="515">
        <f>T7</f>
        <v>0.55798087905732663</v>
      </c>
      <c r="U33" s="515">
        <f>IFERROR(Z33/R33/W33,0)</f>
        <v>9.3819421193711786E-3</v>
      </c>
      <c r="V33" s="516">
        <v>20</v>
      </c>
      <c r="W33" s="516">
        <v>1</v>
      </c>
      <c r="X33" s="516"/>
      <c r="Y33" s="516"/>
      <c r="Z33" s="517">
        <f>AA33*T33</f>
        <v>0.1007003998409718</v>
      </c>
      <c r="AA33" s="517">
        <f>IF(((D31+I31+D38+I38+D40+I40)*$B$2)&lt;=0,0,((D31+I31+D38+I38+D40+I40)*S33*$B$2))</f>
        <v>0.18047285063082941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</f>
        <v>1.6245992383444128</v>
      </c>
      <c r="T36" s="522">
        <f>T10</f>
        <v>0.8070757743362833</v>
      </c>
      <c r="U36" s="522">
        <f t="shared" ref="U36:U43" si="7">Z36/R36/W36</f>
        <v>1.1663366309857776E-2</v>
      </c>
      <c r="V36" s="523">
        <v>20</v>
      </c>
      <c r="W36" s="523">
        <v>1</v>
      </c>
      <c r="X36" s="523"/>
      <c r="Y36" s="523"/>
      <c r="Z36" s="524">
        <f>AA36*T36</f>
        <v>8.8867508350340824E-2</v>
      </c>
      <c r="AA36" s="525">
        <f>IF(((D34+I34+D35+I35)*$B$2)&lt;=0,0,((D34+I34+D35+I35)*S36*$B$2))</f>
        <v>0.11011048922069677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IFERROR((R39*1000)/E37,0)-0.414</f>
        <v>1.43517032265853</v>
      </c>
      <c r="T39" s="515">
        <f>T13</f>
        <v>0.81941558441558437</v>
      </c>
      <c r="U39" s="515">
        <f t="shared" si="7"/>
        <v>9.409138242511092E-3</v>
      </c>
      <c r="V39" s="516">
        <v>20</v>
      </c>
      <c r="W39" s="516">
        <v>1</v>
      </c>
      <c r="X39" s="516"/>
      <c r="Y39" s="516"/>
      <c r="Z39" s="517">
        <f>AA39*T39</f>
        <v>2.1501110827197922</v>
      </c>
      <c r="AA39" s="517">
        <f>IF(((D37+I37)*$B$2)&lt;=0,0,((D37+I37)*S39*$B$2))</f>
        <v>2.6239567853145891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(R48*1000)/(E47+E44+E45+E46)-0.1368</f>
        <v>1.7212295523864474</v>
      </c>
      <c r="T48" s="515">
        <f>T22</f>
        <v>0.70400656814449913</v>
      </c>
      <c r="U48" s="515">
        <f t="shared" ref="U48:U49" si="9">Z48/R48/W48</f>
        <v>8.8655256033915858E-3</v>
      </c>
      <c r="V48" s="516">
        <v>20</v>
      </c>
      <c r="W48" s="516">
        <v>1</v>
      </c>
      <c r="X48" s="516"/>
      <c r="Y48" s="516"/>
      <c r="Z48" s="517">
        <f>AA48*T48</f>
        <v>7.9891181557420251E-3</v>
      </c>
      <c r="AA48" s="517">
        <f>IF(((D44+I44+D45+I45+D46+I46+D47+I47)*$B$2)&lt;=0,0,((D44+I44+D45+I45+D46+I46+D47+I47)*S48*$B$2))</f>
        <v>1.1348073323802057E-2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1.8915668571637168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7.9545121325349308</v>
      </c>
      <c r="AA53" s="504">
        <f>SUM(AA31:AA51)</f>
        <v>8.9801192795333655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1</v>
      </c>
      <c r="U58" s="496">
        <f>Z58/R58/W58</f>
        <v>2.2871770348039965E-3</v>
      </c>
      <c r="V58" s="497">
        <v>10</v>
      </c>
      <c r="W58" s="497">
        <v>1</v>
      </c>
      <c r="X58" s="497"/>
      <c r="Y58" s="497"/>
      <c r="Z58" s="498">
        <f>AA58*T58</f>
        <v>1.7527820568537191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1</v>
      </c>
      <c r="U59" s="499">
        <f>Z59/R59/W59</f>
        <v>6.3335727594585371E-4</v>
      </c>
      <c r="V59" s="500">
        <v>15</v>
      </c>
      <c r="W59" s="500">
        <v>1</v>
      </c>
      <c r="X59" s="500"/>
      <c r="Y59" s="500"/>
      <c r="Z59" s="501">
        <f>AA59*T59</f>
        <v>0.48537443842897676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942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941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940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4" t="s">
        <v>800</v>
      </c>
      <c r="C4" s="1075"/>
      <c r="D4" s="1075"/>
      <c r="E4" s="1075"/>
      <c r="F4" s="1075"/>
      <c r="G4" s="1076"/>
      <c r="H4" s="1074" t="s">
        <v>801</v>
      </c>
      <c r="I4" s="1075"/>
      <c r="J4" s="1076"/>
      <c r="K4" s="324"/>
      <c r="L4" s="36" t="s">
        <v>937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874</v>
      </c>
      <c r="Y4" s="36" t="s">
        <v>875</v>
      </c>
      <c r="Z4" s="44" t="s">
        <v>794</v>
      </c>
      <c r="AA4" s="48" t="s">
        <v>793</v>
      </c>
      <c r="AB4" s="344"/>
      <c r="AC4" s="36" t="s">
        <v>268</v>
      </c>
      <c r="AD4" s="36" t="s">
        <v>937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950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876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(R7*1000)/(E7+E14+E16)*DwellingStocks!$V$37-0.0955</f>
        <v>1.8502216031108409</v>
      </c>
      <c r="T7" s="515">
        <f>(G7+G14+G16)/300</f>
        <v>0.61986329460013678</v>
      </c>
      <c r="U7" s="515">
        <f>Z7/R7/W7</f>
        <v>0.27139198399610592</v>
      </c>
      <c r="V7" s="516">
        <v>20</v>
      </c>
      <c r="W7" s="516">
        <v>1</v>
      </c>
      <c r="X7" s="516"/>
      <c r="Y7" s="516"/>
      <c r="Z7" s="517">
        <f>AA7*T7</f>
        <v>1.1812054187669743</v>
      </c>
      <c r="AA7" s="517">
        <f>IF(((D7+I7+D14+I14+D16+I16)*$B$2)&lt;=0,0,((D7+I7+D14+I14+D16+I16)*S7*$B$2))</f>
        <v>1.9055901987694717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(R10*1000)/(E10+E11)*DwellingStocks!$V$37+0.1525</f>
        <v>2.0982216031108405</v>
      </c>
      <c r="T10" s="522">
        <f>(G10+G11)/200</f>
        <v>0.82661774762699336</v>
      </c>
      <c r="U10" s="522">
        <f t="shared" ref="U10:U23" si="1">Z10/R10/W10</f>
        <v>5.5595203690710561E-2</v>
      </c>
      <c r="V10" s="523">
        <v>20</v>
      </c>
      <c r="W10" s="523">
        <v>1</v>
      </c>
      <c r="X10" s="523"/>
      <c r="Y10" s="523"/>
      <c r="Z10" s="524">
        <f>AA10*T10</f>
        <v>0.88839503167389933</v>
      </c>
      <c r="AA10" s="525">
        <f>IF(((D10+I10+D11+I11)*S10*$B$2)&lt;=0,0,((D10+I10+D11+I11)*S10*$B$2))</f>
        <v>1.074735008078707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</f>
        <v>1.9457216031108406</v>
      </c>
      <c r="T13" s="515">
        <f>G13/100</f>
        <v>0.82280373831775711</v>
      </c>
      <c r="U13" s="515">
        <f t="shared" si="1"/>
        <v>4.1477826816639439E-2</v>
      </c>
      <c r="V13" s="516">
        <v>20</v>
      </c>
      <c r="W13" s="516">
        <v>1</v>
      </c>
      <c r="X13" s="516"/>
      <c r="Y13" s="516"/>
      <c r="Z13" s="517">
        <f>AA13*T13</f>
        <v>20.890081168496444</v>
      </c>
      <c r="AA13" s="517">
        <f>IF(((D13+I13)*$B$2)&lt;=0,0,((D13+I13)*S13*$B$2))</f>
        <v>25.388899193879137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(R22*1000)/(E20+E21+E22+E23)*DwellingStocks!$V$37-0.125</f>
        <v>1.8207216031108406</v>
      </c>
      <c r="T22" s="515">
        <f>(G21+G22+G23)/300</f>
        <v>0.72928609692169366</v>
      </c>
      <c r="U22" s="515">
        <f t="shared" si="1"/>
        <v>7.5672129216388148E-2</v>
      </c>
      <c r="V22" s="516">
        <v>20</v>
      </c>
      <c r="W22" s="516">
        <v>1</v>
      </c>
      <c r="X22" s="516"/>
      <c r="Y22" s="516"/>
      <c r="Z22" s="517">
        <f>AA22*T22</f>
        <v>0.27195024619909647</v>
      </c>
      <c r="AA22" s="517">
        <f>IF(((D20+I20+D21+I21+D22+I22+D23+I23)*$B$2)&lt;=0,0,((D20+I20+D21+I21+D22+I22+D23+I23)*S22*$B$2))</f>
        <v>0.37289926045072658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34.69112915062238</v>
      </c>
      <c r="AA27" s="504">
        <f>SUM(AA6:AA25)</f>
        <v>42.565284031725781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4" t="s">
        <v>800</v>
      </c>
      <c r="C28" s="1075"/>
      <c r="D28" s="1075"/>
      <c r="E28" s="1075"/>
      <c r="F28" s="1075"/>
      <c r="G28" s="1076"/>
      <c r="H28" s="1074" t="s">
        <v>801</v>
      </c>
      <c r="I28" s="1075"/>
      <c r="J28" s="1076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941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940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937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874</v>
      </c>
      <c r="Y30" s="36" t="s">
        <v>875</v>
      </c>
      <c r="Z30" s="44" t="s">
        <v>794</v>
      </c>
      <c r="AA30" s="48" t="s">
        <v>793</v>
      </c>
      <c r="AB30" s="324"/>
      <c r="AC30" s="36" t="s">
        <v>268</v>
      </c>
      <c r="AD30" s="36" t="s">
        <v>937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950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876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IFERROR((R33*1000)/(E31+E38+E40),0)-0.0955</f>
        <v>1.970531253979579</v>
      </c>
      <c r="T33" s="515">
        <f>T7</f>
        <v>0.61986329460013678</v>
      </c>
      <c r="U33" s="515">
        <f>IFERROR(Z33/R33/W33,0)</f>
        <v>1.1373789455284335E-2</v>
      </c>
      <c r="V33" s="516">
        <v>20</v>
      </c>
      <c r="W33" s="516">
        <v>1</v>
      </c>
      <c r="X33" s="516"/>
      <c r="Y33" s="516"/>
      <c r="Z33" s="517">
        <f>AA33*T33</f>
        <v>3.5224408131710412E-2</v>
      </c>
      <c r="AA33" s="517">
        <f>IF(((D31+I31+D38+I38+D40+I40)*$B$2)&lt;=0,0,((D31+I31+D38+I38+D40+I40)*S33*$B$2))</f>
        <v>5.6826091234250413E-2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</f>
        <v>2.5790639037207739</v>
      </c>
      <c r="T36" s="522">
        <f>T10</f>
        <v>0.82661774762699336</v>
      </c>
      <c r="U36" s="522">
        <f t="shared" ref="U36:U43" si="7">Z36/R36/W36</f>
        <v>1.4149231710993282E-2</v>
      </c>
      <c r="V36" s="523">
        <v>20</v>
      </c>
      <c r="W36" s="523">
        <v>1</v>
      </c>
      <c r="X36" s="523"/>
      <c r="Y36" s="523"/>
      <c r="Z36" s="524">
        <f>AA36*T36</f>
        <v>0.21292949411997592</v>
      </c>
      <c r="AA36" s="525">
        <f>IF(((D34+I34+D35+I35)*$B$2)&lt;=0,0,((D34+I34+D35+I35)*S36*$B$2))</f>
        <v>0.25759124423742613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IFERROR((R39*1000)/E37,0)-0.414</f>
        <v>2.3367743732583355</v>
      </c>
      <c r="T39" s="515">
        <f>T13</f>
        <v>0.82280373831775711</v>
      </c>
      <c r="U39" s="515">
        <f t="shared" si="7"/>
        <v>1.2270181372662557E-2</v>
      </c>
      <c r="V39" s="516">
        <v>20</v>
      </c>
      <c r="W39" s="516">
        <v>1</v>
      </c>
      <c r="X39" s="516"/>
      <c r="Y39" s="516"/>
      <c r="Z39" s="517">
        <f>AA39*T39</f>
        <v>6.1821417395293068</v>
      </c>
      <c r="AA39" s="517">
        <f>IF(((D37+I37)*$B$2)&lt;=0,0,((D37+I37)*S39*$B$2))</f>
        <v>7.5135071118768257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(R48*1000)/(E47+E44+E45+E46)-0.1368</f>
        <v>2.6196245914426495</v>
      </c>
      <c r="T48" s="515">
        <f>T22</f>
        <v>0.72928609692169366</v>
      </c>
      <c r="U48" s="515">
        <f t="shared" ref="U48:U49" si="9">Z48/R48/W48</f>
        <v>1.2716454490790247E-2</v>
      </c>
      <c r="V48" s="516">
        <v>20</v>
      </c>
      <c r="W48" s="516">
        <v>1</v>
      </c>
      <c r="X48" s="516"/>
      <c r="Y48" s="516"/>
      <c r="Z48" s="517">
        <f>AA48*T48</f>
        <v>4.4691233539828831E-2</v>
      </c>
      <c r="AA48" s="517">
        <f>IF(((D44+I44+D45+I45+D46+I46+D47+I47)*$B$2)&lt;=0,0,((D44+I44+D45+I45+D46+I46+D47+I47)*S48*$B$2))</f>
        <v>6.1280797383180478E-2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2.8266285295895353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9.8971940535869898</v>
      </c>
      <c r="AA53" s="504">
        <f>SUM(AA31:AA51)</f>
        <v>10.794983076047465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941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940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937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937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950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1</v>
      </c>
      <c r="U58" s="496">
        <f>Z58/R58/W58</f>
        <v>3.7674594790464413E-3</v>
      </c>
      <c r="V58" s="497">
        <v>10</v>
      </c>
      <c r="W58" s="497">
        <v>1</v>
      </c>
      <c r="X58" s="497"/>
      <c r="Y58" s="497"/>
      <c r="Z58" s="498">
        <f>AA58*T58</f>
        <v>2.7292596494240944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1</v>
      </c>
      <c r="U59" s="499">
        <f t="shared" ref="U59" si="13">Z59/R59/W59</f>
        <v>7.8417325837286541E-4</v>
      </c>
      <c r="V59" s="500">
        <v>15</v>
      </c>
      <c r="W59" s="500">
        <v>1</v>
      </c>
      <c r="X59" s="500"/>
      <c r="Y59" s="500"/>
      <c r="Z59" s="501">
        <f>AA59*T59</f>
        <v>0.56807842105210182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9" t="s">
        <v>461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528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9" t="s">
        <v>530</v>
      </c>
      <c r="B1" s="1059"/>
      <c r="C1" s="1059"/>
      <c r="D1" s="1059"/>
      <c r="E1" s="1059"/>
      <c r="F1" s="1059"/>
      <c r="G1" s="1059"/>
      <c r="H1" s="1059"/>
      <c r="I1" s="105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2021-02-10T16:13:07Z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871776759624481</vt:r8>
  </property>
</Properties>
</file>