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BE1A1A0C-9433-412A-A0F2-F6D6F1B4541B}" xr6:coauthVersionLast="46" xr6:coauthVersionMax="46" xr10:uidLastSave="{00000000-0000-0000-0000-000000000000}"/>
  <bookViews>
    <workbookView xWindow="-3233" yWindow="8002" windowWidth="20716" windowHeight="13276" firstSheet="6" activeTab="12" xr2:uid="{00000000-000D-0000-FFFF-FFFF00000000}"/>
  </bookViews>
  <sheets>
    <sheet name="CONVENTIONS" sheetId="20" r:id="rId1"/>
    <sheet name="Commodities" sheetId="4" r:id="rId2"/>
    <sheet name="Processes" sheetId="21" r:id="rId3"/>
    <sheet name="SUP_FuelTech" sheetId="17" r:id="rId4"/>
    <sheet name="Imports_Fossil" sheetId="2" r:id="rId5"/>
    <sheet name="Imports_Bio" sheetId="7" r:id="rId6"/>
    <sheet name="Domestic" sheetId="3" r:id="rId7"/>
    <sheet name="Domestic_Bio" sheetId="10" r:id="rId8"/>
    <sheet name="Refinery" sheetId="12" r:id="rId9"/>
    <sheet name="Interconnector" sheetId="5" r:id="rId10"/>
    <sheet name="Emi" sheetId="19" r:id="rId11"/>
    <sheet name="SEAI-AEA_BioData" sheetId="9" r:id="rId12"/>
    <sheet name="EB2018" sheetId="13" r:id="rId13"/>
    <sheet name="Conversions" sheetId="16" r:id="rId14"/>
  </sheets>
  <definedNames>
    <definedName name="aa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2" l="1"/>
  <c r="F7" i="12"/>
  <c r="F8" i="12"/>
  <c r="F9" i="12"/>
  <c r="F10" i="12"/>
  <c r="F11" i="12"/>
  <c r="F12" i="12"/>
  <c r="F13" i="12"/>
  <c r="F14" i="12"/>
  <c r="F15" i="12"/>
  <c r="F16" i="12"/>
  <c r="F17" i="12"/>
  <c r="C22" i="12"/>
  <c r="C35" i="12"/>
  <c r="C34" i="12"/>
  <c r="C33" i="12"/>
  <c r="C32" i="12"/>
  <c r="C31" i="12"/>
  <c r="C30" i="12"/>
  <c r="C29" i="12"/>
  <c r="C28" i="12"/>
  <c r="C27" i="12"/>
  <c r="C26" i="12"/>
  <c r="C25" i="12"/>
  <c r="D30" i="12"/>
  <c r="G12" i="12"/>
  <c r="D28" i="12"/>
  <c r="G10" i="12"/>
  <c r="D26" i="12"/>
  <c r="G8" i="12"/>
  <c r="D25" i="12"/>
  <c r="G7" i="12"/>
  <c r="G6" i="12"/>
  <c r="D27" i="12"/>
  <c r="D29" i="12"/>
  <c r="D31" i="12"/>
  <c r="D32" i="12"/>
  <c r="D33" i="12"/>
  <c r="D34" i="12"/>
  <c r="D35" i="12"/>
  <c r="D24" i="12"/>
  <c r="C24" i="12"/>
  <c r="B32" i="12"/>
  <c r="B31" i="12"/>
  <c r="B30" i="12"/>
  <c r="B29" i="12"/>
  <c r="B28" i="12"/>
  <c r="B26" i="12"/>
  <c r="B24" i="12"/>
  <c r="P39" i="13"/>
  <c r="N40" i="13"/>
  <c r="E49" i="7"/>
  <c r="E54" i="7"/>
  <c r="Q54" i="7"/>
  <c r="E39" i="7"/>
  <c r="B8" i="7"/>
  <c r="B42" i="7"/>
  <c r="F31" i="20"/>
  <c r="D26" i="21"/>
  <c r="C8" i="7"/>
  <c r="C42" i="7"/>
  <c r="D42" i="7"/>
  <c r="H43" i="7"/>
  <c r="G43" i="7"/>
  <c r="F43" i="7"/>
  <c r="E44" i="7"/>
  <c r="C2" i="13"/>
  <c r="C3" i="13"/>
  <c r="C4" i="13"/>
  <c r="C5" i="13"/>
  <c r="C6" i="13"/>
  <c r="C7" i="13"/>
  <c r="C10" i="13"/>
  <c r="C11" i="13"/>
  <c r="C13" i="13"/>
  <c r="C14" i="13"/>
  <c r="C9" i="13"/>
  <c r="C16" i="13"/>
  <c r="C17" i="13"/>
  <c r="C15" i="13"/>
  <c r="E24" i="13"/>
  <c r="C24" i="13"/>
  <c r="C21" i="13"/>
  <c r="C25" i="13"/>
  <c r="C26" i="13"/>
  <c r="H2" i="13"/>
  <c r="H3" i="13"/>
  <c r="H4" i="13"/>
  <c r="H5" i="13"/>
  <c r="H6" i="13"/>
  <c r="H7" i="13"/>
  <c r="H10" i="13"/>
  <c r="H11" i="13"/>
  <c r="H13" i="13"/>
  <c r="H14" i="13"/>
  <c r="H9" i="13"/>
  <c r="H16" i="13"/>
  <c r="H17" i="13"/>
  <c r="H19" i="13"/>
  <c r="H20" i="13"/>
  <c r="H15" i="13"/>
  <c r="I21" i="13"/>
  <c r="J21" i="13"/>
  <c r="K21" i="13"/>
  <c r="H21" i="13"/>
  <c r="H25" i="13"/>
  <c r="H26" i="13"/>
  <c r="L2" i="13"/>
  <c r="L3" i="13"/>
  <c r="L4" i="13"/>
  <c r="L5" i="13"/>
  <c r="L6" i="13"/>
  <c r="L7" i="13"/>
  <c r="L10" i="13"/>
  <c r="L11" i="13"/>
  <c r="L13" i="13"/>
  <c r="L14" i="13"/>
  <c r="L9" i="13"/>
  <c r="L16" i="13"/>
  <c r="L17" i="13"/>
  <c r="L19" i="13"/>
  <c r="L20" i="13"/>
  <c r="L15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L21" i="13"/>
  <c r="L25" i="13"/>
  <c r="L26" i="13"/>
  <c r="AA7" i="13"/>
  <c r="AA9" i="13"/>
  <c r="AA15" i="13"/>
  <c r="AA21" i="13"/>
  <c r="AA26" i="13"/>
  <c r="AB2" i="13"/>
  <c r="AB3" i="13"/>
  <c r="AB4" i="13"/>
  <c r="AB5" i="13"/>
  <c r="AB6" i="13"/>
  <c r="AB7" i="13"/>
  <c r="AB10" i="13"/>
  <c r="AB11" i="13"/>
  <c r="AB13" i="13"/>
  <c r="AB14" i="13"/>
  <c r="AB9" i="13"/>
  <c r="AB16" i="13"/>
  <c r="AB17" i="13"/>
  <c r="AB19" i="13"/>
  <c r="AB20" i="13"/>
  <c r="AB15" i="13"/>
  <c r="AC22" i="13"/>
  <c r="AD22" i="13"/>
  <c r="AB22" i="13"/>
  <c r="AB24" i="13"/>
  <c r="AB21" i="13"/>
  <c r="AB25" i="13"/>
  <c r="AB26" i="13"/>
  <c r="AN7" i="13"/>
  <c r="AN9" i="13"/>
  <c r="AN15" i="13"/>
  <c r="AN21" i="13"/>
  <c r="AN26" i="13"/>
  <c r="AO7" i="13"/>
  <c r="AO9" i="13"/>
  <c r="AO15" i="13"/>
  <c r="AO22" i="13"/>
  <c r="AO21" i="13"/>
  <c r="AO26" i="13"/>
  <c r="AP7" i="13"/>
  <c r="AP9" i="13"/>
  <c r="AP15" i="13"/>
  <c r="AP21" i="13"/>
  <c r="AP26" i="13"/>
  <c r="AQ26" i="13"/>
  <c r="AM7" i="13"/>
  <c r="AM9" i="13"/>
  <c r="AM15" i="13"/>
  <c r="AM21" i="13"/>
  <c r="AM26" i="13"/>
  <c r="AL7" i="13"/>
  <c r="AL9" i="13"/>
  <c r="AL15" i="13"/>
  <c r="AL21" i="13"/>
  <c r="AL26" i="13"/>
  <c r="AK7" i="13"/>
  <c r="AK9" i="13"/>
  <c r="AK15" i="13"/>
  <c r="AK21" i="13"/>
  <c r="AK26" i="13"/>
  <c r="AJ7" i="13"/>
  <c r="AJ9" i="13"/>
  <c r="AJ15" i="13"/>
  <c r="AJ21" i="13"/>
  <c r="AJ26" i="13"/>
  <c r="AI7" i="13"/>
  <c r="AI9" i="13"/>
  <c r="AI15" i="13"/>
  <c r="AI21" i="13"/>
  <c r="AI26" i="13"/>
  <c r="AH7" i="13"/>
  <c r="AH9" i="13"/>
  <c r="AH15" i="13"/>
  <c r="AH21" i="13"/>
  <c r="AH26" i="13"/>
  <c r="AG7" i="13"/>
  <c r="AG9" i="13"/>
  <c r="AG15" i="13"/>
  <c r="AG21" i="13"/>
  <c r="AG26" i="13"/>
  <c r="AF7" i="13"/>
  <c r="AF9" i="13"/>
  <c r="AF15" i="13"/>
  <c r="AF21" i="13"/>
  <c r="AF26" i="13"/>
  <c r="AE7" i="13"/>
  <c r="AE9" i="13"/>
  <c r="AE15" i="13"/>
  <c r="AE21" i="13"/>
  <c r="AE26" i="13"/>
  <c r="AD7" i="13"/>
  <c r="AD9" i="13"/>
  <c r="AD15" i="13"/>
  <c r="AD21" i="13"/>
  <c r="AD26" i="13"/>
  <c r="AC7" i="13"/>
  <c r="AC9" i="13"/>
  <c r="AC15" i="13"/>
  <c r="AC21" i="13"/>
  <c r="AC26" i="13"/>
  <c r="Z7" i="13"/>
  <c r="Z9" i="13"/>
  <c r="Z15" i="13"/>
  <c r="Z26" i="13"/>
  <c r="Y7" i="13"/>
  <c r="Y9" i="13"/>
  <c r="Y15" i="13"/>
  <c r="Y26" i="13"/>
  <c r="X7" i="13"/>
  <c r="X9" i="13"/>
  <c r="X15" i="13"/>
  <c r="X26" i="13"/>
  <c r="W7" i="13"/>
  <c r="W9" i="13"/>
  <c r="W15" i="13"/>
  <c r="W26" i="13"/>
  <c r="V7" i="13"/>
  <c r="V9" i="13"/>
  <c r="V15" i="13"/>
  <c r="V26" i="13"/>
  <c r="U7" i="13"/>
  <c r="U9" i="13"/>
  <c r="U15" i="13"/>
  <c r="U26" i="13"/>
  <c r="T7" i="13"/>
  <c r="T9" i="13"/>
  <c r="T15" i="13"/>
  <c r="T26" i="13"/>
  <c r="S7" i="13"/>
  <c r="S9" i="13"/>
  <c r="S15" i="13"/>
  <c r="S26" i="13"/>
  <c r="R7" i="13"/>
  <c r="R9" i="13"/>
  <c r="R15" i="13"/>
  <c r="R26" i="13"/>
  <c r="Q7" i="13"/>
  <c r="Q9" i="13"/>
  <c r="Q15" i="13"/>
  <c r="Q26" i="13"/>
  <c r="P7" i="13"/>
  <c r="P9" i="13"/>
  <c r="P15" i="13"/>
  <c r="P26" i="13"/>
  <c r="O7" i="13"/>
  <c r="O9" i="13"/>
  <c r="O15" i="13"/>
  <c r="O26" i="13"/>
  <c r="N7" i="13"/>
  <c r="N9" i="13"/>
  <c r="N15" i="13"/>
  <c r="N26" i="13"/>
  <c r="M7" i="13"/>
  <c r="M9" i="13"/>
  <c r="M15" i="13"/>
  <c r="M26" i="13"/>
  <c r="K7" i="13"/>
  <c r="K9" i="13"/>
  <c r="K15" i="13"/>
  <c r="K26" i="13"/>
  <c r="J7" i="13"/>
  <c r="J9" i="13"/>
  <c r="J15" i="13"/>
  <c r="J26" i="13"/>
  <c r="I7" i="13"/>
  <c r="I9" i="13"/>
  <c r="I15" i="13"/>
  <c r="I26" i="13"/>
  <c r="G7" i="13"/>
  <c r="G9" i="13"/>
  <c r="G15" i="13"/>
  <c r="G21" i="13"/>
  <c r="G26" i="13"/>
  <c r="F7" i="13"/>
  <c r="F9" i="13"/>
  <c r="F15" i="13"/>
  <c r="F21" i="13"/>
  <c r="F26" i="13"/>
  <c r="E7" i="13"/>
  <c r="E9" i="13"/>
  <c r="E15" i="13"/>
  <c r="E21" i="13"/>
  <c r="E26" i="13"/>
  <c r="D7" i="13"/>
  <c r="D9" i="13"/>
  <c r="D15" i="13"/>
  <c r="D21" i="13"/>
  <c r="D26" i="13"/>
  <c r="AQ25" i="13"/>
  <c r="L24" i="13"/>
  <c r="AQ24" i="13"/>
  <c r="AQ23" i="13"/>
  <c r="AQ22" i="13"/>
  <c r="AQ21" i="13"/>
  <c r="AQ20" i="13"/>
  <c r="AQ19" i="13"/>
  <c r="AQ18" i="13"/>
  <c r="AQ17" i="13"/>
  <c r="AQ16" i="13"/>
  <c r="AQ15" i="13"/>
  <c r="AQ14" i="13"/>
  <c r="AQ13" i="13"/>
  <c r="AQ12" i="13"/>
  <c r="AQ11" i="13"/>
  <c r="AQ10" i="13"/>
  <c r="AQ9" i="13"/>
  <c r="C8" i="13"/>
  <c r="H8" i="13"/>
  <c r="L8" i="13"/>
  <c r="AA8" i="13"/>
  <c r="AB8" i="13"/>
  <c r="AN8" i="13"/>
  <c r="AO8" i="13"/>
  <c r="AP8" i="13"/>
  <c r="AQ8" i="13"/>
  <c r="AM8" i="13"/>
  <c r="AL8" i="13"/>
  <c r="AK8" i="13"/>
  <c r="AJ8" i="13"/>
  <c r="AI8" i="13"/>
  <c r="AH8" i="13"/>
  <c r="AG8" i="13"/>
  <c r="AF8" i="13"/>
  <c r="AE8" i="13"/>
  <c r="AD8" i="13"/>
  <c r="AC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K8" i="13"/>
  <c r="J8" i="13"/>
  <c r="I8" i="13"/>
  <c r="G8" i="13"/>
  <c r="F8" i="13"/>
  <c r="E8" i="13"/>
  <c r="D8" i="13"/>
  <c r="AQ7" i="13"/>
  <c r="AQ6" i="13"/>
  <c r="AQ5" i="13"/>
  <c r="AQ4" i="13"/>
  <c r="AQ3" i="13"/>
  <c r="AQ2" i="13"/>
  <c r="B24" i="3"/>
  <c r="F88" i="20"/>
  <c r="D84" i="21"/>
  <c r="C24" i="3"/>
  <c r="D24" i="3"/>
  <c r="B84" i="21"/>
  <c r="C84" i="21"/>
  <c r="C52" i="4"/>
  <c r="D52" i="4"/>
  <c r="H88" i="20"/>
  <c r="I88" i="20"/>
  <c r="E88" i="20"/>
  <c r="G88" i="20"/>
  <c r="F5" i="7"/>
  <c r="F21" i="7"/>
  <c r="G5" i="7"/>
  <c r="G21" i="7"/>
  <c r="H5" i="7"/>
  <c r="H21" i="7"/>
  <c r="E5" i="7"/>
  <c r="E21" i="7"/>
  <c r="B72" i="21"/>
  <c r="H36" i="20"/>
  <c r="H35" i="20"/>
  <c r="I36" i="20"/>
  <c r="J36" i="20"/>
  <c r="J76" i="20"/>
  <c r="I76" i="20"/>
  <c r="G76" i="20"/>
  <c r="H76" i="20"/>
  <c r="E76" i="20"/>
  <c r="C72" i="21"/>
  <c r="H77" i="20"/>
  <c r="C36" i="4"/>
  <c r="D21" i="7"/>
  <c r="B31" i="21"/>
  <c r="B82" i="21"/>
  <c r="B83" i="21"/>
  <c r="E36" i="20"/>
  <c r="C31" i="21"/>
  <c r="B21" i="7"/>
  <c r="F76" i="20"/>
  <c r="D72" i="21"/>
  <c r="G36" i="20"/>
  <c r="F36" i="20"/>
  <c r="D31" i="21"/>
  <c r="C21" i="7"/>
  <c r="C51" i="4"/>
  <c r="D23" i="3"/>
  <c r="D51" i="4"/>
  <c r="D50" i="4"/>
  <c r="C50" i="4"/>
  <c r="D22" i="3"/>
  <c r="H87" i="20"/>
  <c r="H86" i="20"/>
  <c r="I86" i="20"/>
  <c r="E86" i="20"/>
  <c r="C82" i="21"/>
  <c r="B22" i="3"/>
  <c r="I87" i="20"/>
  <c r="G87" i="20"/>
  <c r="F87" i="20"/>
  <c r="D83" i="21"/>
  <c r="C23" i="3"/>
  <c r="H85" i="20"/>
  <c r="J85" i="20"/>
  <c r="E87" i="20"/>
  <c r="C83" i="21"/>
  <c r="B23" i="3"/>
  <c r="G86" i="20"/>
  <c r="F86" i="20"/>
  <c r="D82" i="21"/>
  <c r="C22" i="3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6" i="7"/>
  <c r="F6" i="7"/>
  <c r="G6" i="7"/>
  <c r="H6" i="7"/>
  <c r="E7" i="7"/>
  <c r="F7" i="7"/>
  <c r="G7" i="7"/>
  <c r="H7" i="7"/>
  <c r="E8" i="7"/>
  <c r="F8" i="7"/>
  <c r="G8" i="7"/>
  <c r="H8" i="7"/>
  <c r="E20" i="7"/>
  <c r="F20" i="7"/>
  <c r="G20" i="7"/>
  <c r="H20" i="7"/>
  <c r="E19" i="7"/>
  <c r="F19" i="7"/>
  <c r="G19" i="7"/>
  <c r="H19" i="7"/>
  <c r="E18" i="7"/>
  <c r="F18" i="7"/>
  <c r="G18" i="7"/>
  <c r="H18" i="7"/>
  <c r="F17" i="7"/>
  <c r="G17" i="7"/>
  <c r="H17" i="7"/>
  <c r="E17" i="7"/>
  <c r="H7" i="3"/>
  <c r="H5" i="3"/>
  <c r="K6" i="5"/>
  <c r="K5" i="5"/>
  <c r="J8" i="9"/>
  <c r="F20" i="5"/>
  <c r="F19" i="5"/>
  <c r="F15" i="5"/>
  <c r="B91" i="21"/>
  <c r="B92" i="21"/>
  <c r="B93" i="21"/>
  <c r="B94" i="21"/>
  <c r="B90" i="21"/>
  <c r="H97" i="20"/>
  <c r="H96" i="20"/>
  <c r="H95" i="20"/>
  <c r="H94" i="20"/>
  <c r="H93" i="20"/>
  <c r="I94" i="20"/>
  <c r="E94" i="20"/>
  <c r="C91" i="21"/>
  <c r="I95" i="20"/>
  <c r="I96" i="20"/>
  <c r="G96" i="20"/>
  <c r="F96" i="20"/>
  <c r="I97" i="20"/>
  <c r="G97" i="20"/>
  <c r="I93" i="20"/>
  <c r="G93" i="20"/>
  <c r="I92" i="20"/>
  <c r="G92" i="20"/>
  <c r="H92" i="20"/>
  <c r="J92" i="20"/>
  <c r="F92" i="20"/>
  <c r="B85" i="21"/>
  <c r="B86" i="21"/>
  <c r="H90" i="20"/>
  <c r="H89" i="20"/>
  <c r="I90" i="20"/>
  <c r="G90" i="20"/>
  <c r="I89" i="20"/>
  <c r="G89" i="20"/>
  <c r="J90" i="20"/>
  <c r="J89" i="20"/>
  <c r="D58" i="4"/>
  <c r="C58" i="4"/>
  <c r="E5" i="5"/>
  <c r="B88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3" i="21"/>
  <c r="B74" i="21"/>
  <c r="B75" i="21"/>
  <c r="B76" i="21"/>
  <c r="B77" i="21"/>
  <c r="B78" i="21"/>
  <c r="B79" i="21"/>
  <c r="B80" i="21"/>
  <c r="B81" i="21"/>
  <c r="B87" i="21"/>
  <c r="B41" i="21"/>
  <c r="B24" i="21"/>
  <c r="B25" i="21"/>
  <c r="B26" i="21"/>
  <c r="B27" i="21"/>
  <c r="B28" i="21"/>
  <c r="B29" i="21"/>
  <c r="B30" i="21"/>
  <c r="B32" i="21"/>
  <c r="B33" i="21"/>
  <c r="B34" i="21"/>
  <c r="B35" i="21"/>
  <c r="B36" i="21"/>
  <c r="B37" i="21"/>
  <c r="B38" i="21"/>
  <c r="B39" i="21"/>
  <c r="B23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7" i="21"/>
  <c r="H91" i="20"/>
  <c r="I91" i="20"/>
  <c r="G91" i="20"/>
  <c r="I49" i="20"/>
  <c r="G49" i="20"/>
  <c r="I50" i="20"/>
  <c r="G50" i="20"/>
  <c r="I51" i="20"/>
  <c r="G51" i="20"/>
  <c r="I52" i="20"/>
  <c r="G52" i="20"/>
  <c r="I53" i="20"/>
  <c r="G53" i="20"/>
  <c r="I54" i="20"/>
  <c r="G54" i="20"/>
  <c r="I55" i="20"/>
  <c r="G55" i="20"/>
  <c r="I56" i="20"/>
  <c r="I57" i="20"/>
  <c r="G57" i="20"/>
  <c r="I58" i="20"/>
  <c r="G58" i="20"/>
  <c r="I59" i="20"/>
  <c r="G59" i="20"/>
  <c r="I60" i="20"/>
  <c r="G60" i="20"/>
  <c r="I61" i="20"/>
  <c r="G61" i="20"/>
  <c r="I62" i="20"/>
  <c r="G62" i="20"/>
  <c r="I63" i="20"/>
  <c r="G63" i="20"/>
  <c r="I64" i="20"/>
  <c r="G64" i="20"/>
  <c r="I65" i="20"/>
  <c r="G65" i="20"/>
  <c r="I66" i="20"/>
  <c r="G66" i="20"/>
  <c r="I67" i="20"/>
  <c r="G67" i="20"/>
  <c r="I68" i="20"/>
  <c r="G68" i="20"/>
  <c r="I69" i="20"/>
  <c r="G69" i="20"/>
  <c r="I70" i="20"/>
  <c r="G70" i="20"/>
  <c r="I71" i="20"/>
  <c r="G71" i="20"/>
  <c r="I72" i="20"/>
  <c r="G72" i="20"/>
  <c r="I73" i="20"/>
  <c r="G73" i="20"/>
  <c r="I74" i="20"/>
  <c r="G74" i="20"/>
  <c r="I75" i="20"/>
  <c r="G75" i="20"/>
  <c r="I77" i="20"/>
  <c r="I78" i="20"/>
  <c r="G78" i="20"/>
  <c r="I79" i="20"/>
  <c r="G79" i="20"/>
  <c r="I80" i="20"/>
  <c r="G80" i="20"/>
  <c r="I81" i="20"/>
  <c r="G81" i="20"/>
  <c r="I82" i="20"/>
  <c r="G82" i="20"/>
  <c r="I83" i="20"/>
  <c r="G83" i="20"/>
  <c r="I84" i="20"/>
  <c r="G84" i="20"/>
  <c r="I85" i="20"/>
  <c r="C38" i="4"/>
  <c r="D40" i="10"/>
  <c r="D38" i="4"/>
  <c r="C39" i="4"/>
  <c r="D41" i="10"/>
  <c r="D39" i="4"/>
  <c r="C40" i="4"/>
  <c r="D42" i="10"/>
  <c r="D40" i="4"/>
  <c r="H62" i="20"/>
  <c r="H63" i="20"/>
  <c r="H61" i="20"/>
  <c r="J61" i="20"/>
  <c r="F61" i="20"/>
  <c r="H59" i="20"/>
  <c r="H60" i="20"/>
  <c r="H58" i="20"/>
  <c r="H56" i="20"/>
  <c r="H57" i="20"/>
  <c r="H55" i="20"/>
  <c r="H64" i="20"/>
  <c r="H65" i="20"/>
  <c r="H66" i="20"/>
  <c r="J66" i="20"/>
  <c r="F66" i="20"/>
  <c r="H67" i="20"/>
  <c r="H68" i="20"/>
  <c r="H69" i="20"/>
  <c r="J69" i="20"/>
  <c r="F69" i="20"/>
  <c r="H70" i="20"/>
  <c r="H71" i="20"/>
  <c r="H72" i="20"/>
  <c r="H73" i="20"/>
  <c r="H74" i="20"/>
  <c r="J74" i="20"/>
  <c r="F74" i="20"/>
  <c r="H75" i="20"/>
  <c r="H78" i="20"/>
  <c r="H79" i="20"/>
  <c r="H80" i="20"/>
  <c r="H81" i="20"/>
  <c r="H82" i="20"/>
  <c r="H83" i="20"/>
  <c r="J83" i="20"/>
  <c r="F83" i="20"/>
  <c r="H84" i="20"/>
  <c r="J84" i="20"/>
  <c r="J82" i="20"/>
  <c r="J81" i="20"/>
  <c r="J80" i="20"/>
  <c r="J79" i="20"/>
  <c r="J78" i="20"/>
  <c r="J77" i="20"/>
  <c r="J75" i="20"/>
  <c r="J73" i="20"/>
  <c r="J72" i="20"/>
  <c r="J71" i="20"/>
  <c r="J70" i="20"/>
  <c r="J68" i="20"/>
  <c r="J67" i="20"/>
  <c r="J65" i="20"/>
  <c r="J64" i="20"/>
  <c r="J63" i="20"/>
  <c r="J62" i="20"/>
  <c r="J60" i="20"/>
  <c r="J59" i="20"/>
  <c r="J58" i="20"/>
  <c r="J57" i="20"/>
  <c r="J56" i="20"/>
  <c r="J55" i="20"/>
  <c r="H54" i="20"/>
  <c r="H53" i="20"/>
  <c r="E53" i="20"/>
  <c r="C49" i="21"/>
  <c r="H52" i="20"/>
  <c r="E52" i="20"/>
  <c r="C48" i="21"/>
  <c r="H51" i="20"/>
  <c r="H50" i="20"/>
  <c r="H49" i="20"/>
  <c r="J45" i="20"/>
  <c r="I47" i="20"/>
  <c r="G47" i="20"/>
  <c r="I48" i="20"/>
  <c r="G48" i="20"/>
  <c r="H48" i="20"/>
  <c r="H47" i="20"/>
  <c r="I46" i="20"/>
  <c r="G46" i="20"/>
  <c r="H46" i="20"/>
  <c r="J46" i="20"/>
  <c r="F46" i="20"/>
  <c r="J48" i="20"/>
  <c r="J47" i="20"/>
  <c r="H45" i="20"/>
  <c r="I45" i="20"/>
  <c r="G45" i="20"/>
  <c r="J44" i="20"/>
  <c r="J43" i="20"/>
  <c r="J42" i="20"/>
  <c r="J41" i="20"/>
  <c r="J40" i="20"/>
  <c r="J39" i="20"/>
  <c r="J38" i="20"/>
  <c r="J37" i="20"/>
  <c r="J35" i="20"/>
  <c r="J34" i="20"/>
  <c r="J33" i="20"/>
  <c r="J32" i="20"/>
  <c r="J31" i="20"/>
  <c r="J30" i="20"/>
  <c r="J29" i="20"/>
  <c r="J28" i="20"/>
  <c r="F49" i="20"/>
  <c r="F78" i="20"/>
  <c r="F89" i="20"/>
  <c r="F54" i="20"/>
  <c r="F53" i="20"/>
  <c r="F45" i="20"/>
  <c r="D41" i="21"/>
  <c r="F48" i="20"/>
  <c r="G77" i="20"/>
  <c r="F77" i="20"/>
  <c r="D73" i="21"/>
  <c r="E77" i="20"/>
  <c r="F52" i="20"/>
  <c r="F47" i="20"/>
  <c r="F51" i="20"/>
  <c r="F84" i="20"/>
  <c r="D80" i="21"/>
  <c r="F50" i="20"/>
  <c r="D46" i="21"/>
  <c r="F58" i="20"/>
  <c r="D54" i="21"/>
  <c r="F91" i="20"/>
  <c r="D87" i="21"/>
  <c r="C40" i="10"/>
  <c r="F59" i="20"/>
  <c r="F68" i="20"/>
  <c r="D64" i="21"/>
  <c r="F75" i="20"/>
  <c r="F67" i="20"/>
  <c r="D63" i="21"/>
  <c r="F60" i="20"/>
  <c r="D56" i="21"/>
  <c r="F81" i="20"/>
  <c r="D77" i="21"/>
  <c r="F72" i="20"/>
  <c r="D68" i="21"/>
  <c r="F64" i="20"/>
  <c r="D60" i="21"/>
  <c r="F93" i="20"/>
  <c r="D90" i="21"/>
  <c r="F63" i="20"/>
  <c r="D59" i="21"/>
  <c r="F82" i="20"/>
  <c r="D78" i="21"/>
  <c r="F65" i="20"/>
  <c r="D61" i="21"/>
  <c r="F80" i="20"/>
  <c r="D76" i="21"/>
  <c r="F71" i="20"/>
  <c r="D67" i="21"/>
  <c r="F55" i="20"/>
  <c r="D51" i="21"/>
  <c r="F62" i="20"/>
  <c r="D58" i="21"/>
  <c r="F97" i="20"/>
  <c r="D94" i="21"/>
  <c r="F73" i="20"/>
  <c r="D69" i="21"/>
  <c r="F79" i="20"/>
  <c r="D75" i="21"/>
  <c r="F70" i="20"/>
  <c r="D66" i="21"/>
  <c r="F57" i="20"/>
  <c r="D53" i="21"/>
  <c r="D85" i="21"/>
  <c r="E92" i="20"/>
  <c r="C88" i="21"/>
  <c r="E95" i="20"/>
  <c r="C92" i="21"/>
  <c r="E97" i="20"/>
  <c r="C94" i="21"/>
  <c r="G95" i="20"/>
  <c r="G94" i="20"/>
  <c r="F90" i="20"/>
  <c r="D86" i="21"/>
  <c r="E93" i="20"/>
  <c r="C90" i="21"/>
  <c r="E96" i="20"/>
  <c r="C93" i="21"/>
  <c r="D93" i="21"/>
  <c r="D6" i="5"/>
  <c r="E89" i="20"/>
  <c r="C85" i="21"/>
  <c r="E90" i="20"/>
  <c r="C86" i="21"/>
  <c r="E51" i="20"/>
  <c r="C47" i="21"/>
  <c r="E84" i="20"/>
  <c r="C80" i="21"/>
  <c r="E61" i="20"/>
  <c r="C57" i="21"/>
  <c r="E57" i="20"/>
  <c r="C53" i="21"/>
  <c r="E50" i="20"/>
  <c r="C46" i="21"/>
  <c r="E67" i="20"/>
  <c r="C63" i="21"/>
  <c r="E85" i="20"/>
  <c r="C81" i="21"/>
  <c r="E54" i="20"/>
  <c r="C50" i="21"/>
  <c r="E73" i="20"/>
  <c r="C69" i="21"/>
  <c r="E75" i="20"/>
  <c r="C71" i="21"/>
  <c r="C73" i="21"/>
  <c r="E58" i="20"/>
  <c r="C54" i="21"/>
  <c r="E91" i="20"/>
  <c r="C87" i="21"/>
  <c r="B40" i="10"/>
  <c r="D88" i="21"/>
  <c r="E74" i="20"/>
  <c r="C70" i="21"/>
  <c r="E55" i="20"/>
  <c r="C51" i="21"/>
  <c r="D6" i="10"/>
  <c r="D15" i="10"/>
  <c r="D25" i="10"/>
  <c r="E68" i="20"/>
  <c r="C64" i="21"/>
  <c r="D10" i="10"/>
  <c r="D26" i="10"/>
  <c r="G85" i="20"/>
  <c r="D20" i="10"/>
  <c r="E82" i="20"/>
  <c r="C78" i="21"/>
  <c r="D5" i="10"/>
  <c r="D30" i="10"/>
  <c r="G56" i="20"/>
  <c r="F56" i="20"/>
  <c r="E79" i="20"/>
  <c r="C75" i="21"/>
  <c r="D16" i="10"/>
  <c r="E64" i="20"/>
  <c r="C60" i="21"/>
  <c r="D65" i="21"/>
  <c r="E83" i="20"/>
  <c r="C79" i="21"/>
  <c r="E63" i="20"/>
  <c r="C59" i="21"/>
  <c r="E69" i="20"/>
  <c r="C65" i="21"/>
  <c r="E56" i="20"/>
  <c r="C52" i="21"/>
  <c r="D79" i="21"/>
  <c r="E70" i="20"/>
  <c r="C66" i="21"/>
  <c r="E71" i="20"/>
  <c r="C67" i="21"/>
  <c r="E78" i="20"/>
  <c r="C74" i="21"/>
  <c r="E62" i="20"/>
  <c r="C58" i="21"/>
  <c r="E60" i="20"/>
  <c r="C56" i="21"/>
  <c r="E65" i="20"/>
  <c r="C61" i="21"/>
  <c r="E72" i="20"/>
  <c r="C68" i="21"/>
  <c r="E66" i="20"/>
  <c r="C62" i="21"/>
  <c r="E80" i="20"/>
  <c r="C76" i="21"/>
  <c r="E81" i="20"/>
  <c r="C77" i="21"/>
  <c r="D74" i="21"/>
  <c r="D70" i="21"/>
  <c r="D71" i="21"/>
  <c r="D62" i="21"/>
  <c r="D57" i="21"/>
  <c r="E59" i="20"/>
  <c r="C55" i="21"/>
  <c r="D55" i="21"/>
  <c r="D50" i="21"/>
  <c r="D49" i="21"/>
  <c r="D48" i="21"/>
  <c r="D47" i="21"/>
  <c r="H44" i="20"/>
  <c r="H43" i="20"/>
  <c r="H42" i="20"/>
  <c r="H41" i="20"/>
  <c r="H40" i="20"/>
  <c r="H39" i="20"/>
  <c r="H38" i="20"/>
  <c r="H37" i="20"/>
  <c r="I37" i="20"/>
  <c r="G37" i="20"/>
  <c r="I38" i="20"/>
  <c r="I39" i="20"/>
  <c r="I40" i="20"/>
  <c r="G40" i="20"/>
  <c r="I41" i="20"/>
  <c r="G41" i="20"/>
  <c r="I42" i="20"/>
  <c r="I43" i="20"/>
  <c r="I44" i="20"/>
  <c r="G44" i="20"/>
  <c r="E45" i="20"/>
  <c r="C41" i="21"/>
  <c r="E46" i="20"/>
  <c r="C42" i="21"/>
  <c r="D42" i="21"/>
  <c r="E47" i="20"/>
  <c r="C43" i="21"/>
  <c r="E48" i="20"/>
  <c r="C44" i="21"/>
  <c r="D44" i="21"/>
  <c r="D45" i="21"/>
  <c r="E49" i="20"/>
  <c r="C45" i="21"/>
  <c r="H34" i="20"/>
  <c r="H33" i="20"/>
  <c r="H32" i="20"/>
  <c r="H31" i="20"/>
  <c r="H30" i="20"/>
  <c r="H29" i="20"/>
  <c r="I29" i="20"/>
  <c r="I30" i="20"/>
  <c r="G30" i="20"/>
  <c r="F30" i="20"/>
  <c r="I31" i="20"/>
  <c r="G31" i="20"/>
  <c r="I32" i="20"/>
  <c r="G32" i="20"/>
  <c r="F32" i="20"/>
  <c r="I33" i="20"/>
  <c r="I34" i="20"/>
  <c r="G34" i="20"/>
  <c r="F34" i="20"/>
  <c r="I35" i="20"/>
  <c r="G35" i="20"/>
  <c r="F35" i="20"/>
  <c r="H28" i="20"/>
  <c r="I28" i="20"/>
  <c r="G28" i="20"/>
  <c r="F28" i="20"/>
  <c r="H27" i="20"/>
  <c r="I27" i="20"/>
  <c r="H24" i="20"/>
  <c r="I24" i="20"/>
  <c r="H23" i="20"/>
  <c r="I23" i="20"/>
  <c r="G23" i="20"/>
  <c r="H21" i="20"/>
  <c r="I21" i="20"/>
  <c r="G21" i="20"/>
  <c r="F21" i="20"/>
  <c r="H22" i="20"/>
  <c r="I22" i="20"/>
  <c r="H20" i="20"/>
  <c r="I20" i="20"/>
  <c r="G20" i="20"/>
  <c r="H18" i="20"/>
  <c r="I18" i="20"/>
  <c r="G18" i="20"/>
  <c r="H19" i="20"/>
  <c r="I19" i="20"/>
  <c r="G19" i="20"/>
  <c r="F19" i="20"/>
  <c r="J26" i="20"/>
  <c r="J25" i="20"/>
  <c r="H26" i="20"/>
  <c r="I26" i="20"/>
  <c r="H15" i="20"/>
  <c r="I15" i="20"/>
  <c r="H16" i="20"/>
  <c r="I16" i="20"/>
  <c r="G16" i="20"/>
  <c r="F16" i="20"/>
  <c r="I13" i="20"/>
  <c r="G13" i="20"/>
  <c r="H13" i="20"/>
  <c r="F13" i="20"/>
  <c r="H14" i="20"/>
  <c r="H25" i="20"/>
  <c r="H17" i="20"/>
  <c r="I14" i="20"/>
  <c r="I25" i="20"/>
  <c r="I17" i="20"/>
  <c r="C69" i="4"/>
  <c r="D69" i="4"/>
  <c r="C70" i="4"/>
  <c r="D70" i="4"/>
  <c r="C66" i="4"/>
  <c r="D66" i="4"/>
  <c r="C65" i="4"/>
  <c r="D65" i="4"/>
  <c r="C53" i="4"/>
  <c r="D53" i="4"/>
  <c r="C54" i="4"/>
  <c r="D54" i="4"/>
  <c r="C55" i="4"/>
  <c r="D55" i="4"/>
  <c r="C56" i="4"/>
  <c r="D56" i="4"/>
  <c r="C57" i="4"/>
  <c r="D57" i="4"/>
  <c r="D71" i="4"/>
  <c r="C71" i="4"/>
  <c r="D72" i="4"/>
  <c r="C72" i="4"/>
  <c r="D73" i="4"/>
  <c r="C73" i="4"/>
  <c r="D67" i="4"/>
  <c r="C67" i="4"/>
  <c r="D64" i="4"/>
  <c r="C64" i="4"/>
  <c r="D68" i="4"/>
  <c r="C68" i="4"/>
  <c r="D62" i="4"/>
  <c r="C62" i="4"/>
  <c r="D61" i="4"/>
  <c r="D59" i="4"/>
  <c r="C61" i="4"/>
  <c r="C59" i="4"/>
  <c r="C60" i="4"/>
  <c r="D60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E6" i="12"/>
  <c r="D12" i="4"/>
  <c r="C13" i="4"/>
  <c r="E8" i="12"/>
  <c r="D13" i="4"/>
  <c r="C14" i="4"/>
  <c r="E10" i="12"/>
  <c r="D14" i="4"/>
  <c r="C15" i="4"/>
  <c r="E12" i="12"/>
  <c r="D15" i="4"/>
  <c r="C16" i="4"/>
  <c r="E11" i="12"/>
  <c r="D16" i="4"/>
  <c r="C17" i="4"/>
  <c r="D17" i="4"/>
  <c r="C18" i="4"/>
  <c r="E13" i="12"/>
  <c r="D18" i="4"/>
  <c r="C19" i="4"/>
  <c r="E14" i="12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7" i="4"/>
  <c r="E40" i="10"/>
  <c r="D37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F37" i="20"/>
  <c r="D32" i="21"/>
  <c r="F18" i="20"/>
  <c r="F23" i="20"/>
  <c r="F20" i="20"/>
  <c r="F40" i="20"/>
  <c r="F41" i="20"/>
  <c r="D36" i="21"/>
  <c r="F44" i="20"/>
  <c r="D39" i="21"/>
  <c r="F95" i="20"/>
  <c r="D92" i="21"/>
  <c r="F85" i="20"/>
  <c r="D81" i="21"/>
  <c r="F94" i="20"/>
  <c r="D91" i="21"/>
  <c r="D52" i="21"/>
  <c r="E40" i="20"/>
  <c r="C35" i="21"/>
  <c r="D25" i="21"/>
  <c r="D5" i="12"/>
  <c r="H88" i="21"/>
  <c r="G17" i="20"/>
  <c r="D5" i="3"/>
  <c r="D6" i="3"/>
  <c r="G14" i="20"/>
  <c r="G15" i="20"/>
  <c r="G29" i="20"/>
  <c r="D32" i="10"/>
  <c r="D22" i="10"/>
  <c r="D12" i="10"/>
  <c r="D23" i="10"/>
  <c r="D13" i="10"/>
  <c r="D33" i="10"/>
  <c r="D28" i="10"/>
  <c r="D18" i="10"/>
  <c r="D8" i="10"/>
  <c r="G26" i="20"/>
  <c r="E24" i="20"/>
  <c r="C18" i="21"/>
  <c r="G24" i="20"/>
  <c r="F24" i="20"/>
  <c r="G43" i="20"/>
  <c r="F43" i="20"/>
  <c r="D21" i="10"/>
  <c r="D11" i="10"/>
  <c r="D31" i="10"/>
  <c r="D7" i="10"/>
  <c r="D27" i="10"/>
  <c r="D17" i="10"/>
  <c r="E33" i="20"/>
  <c r="C28" i="21"/>
  <c r="G33" i="20"/>
  <c r="F33" i="20"/>
  <c r="D28" i="21"/>
  <c r="G42" i="20"/>
  <c r="F42" i="20"/>
  <c r="E27" i="20"/>
  <c r="C21" i="21"/>
  <c r="G27" i="20"/>
  <c r="F27" i="20"/>
  <c r="D9" i="10"/>
  <c r="D29" i="10"/>
  <c r="D19" i="10"/>
  <c r="D8" i="3"/>
  <c r="D7" i="3"/>
  <c r="D24" i="10"/>
  <c r="D14" i="10"/>
  <c r="D34" i="10"/>
  <c r="G25" i="20"/>
  <c r="E38" i="20"/>
  <c r="C33" i="21"/>
  <c r="G38" i="20"/>
  <c r="E22" i="20"/>
  <c r="C16" i="21"/>
  <c r="G22" i="20"/>
  <c r="F22" i="20"/>
  <c r="E39" i="20"/>
  <c r="C34" i="21"/>
  <c r="G39" i="20"/>
  <c r="D30" i="21"/>
  <c r="E29" i="20"/>
  <c r="C24" i="21"/>
  <c r="E34" i="20"/>
  <c r="C29" i="21"/>
  <c r="E30" i="20"/>
  <c r="C25" i="21"/>
  <c r="E44" i="20"/>
  <c r="C39" i="21"/>
  <c r="E37" i="20"/>
  <c r="C32" i="21"/>
  <c r="E43" i="20"/>
  <c r="C38" i="21"/>
  <c r="D27" i="21"/>
  <c r="D7" i="21"/>
  <c r="D10" i="21"/>
  <c r="D15" i="21"/>
  <c r="D35" i="21"/>
  <c r="E41" i="20"/>
  <c r="C36" i="21"/>
  <c r="D43" i="21"/>
  <c r="E42" i="20"/>
  <c r="C37" i="21"/>
  <c r="E35" i="20"/>
  <c r="C30" i="21"/>
  <c r="E32" i="20"/>
  <c r="C27" i="21"/>
  <c r="E31" i="20"/>
  <c r="C26" i="21"/>
  <c r="D29" i="21"/>
  <c r="E21" i="20"/>
  <c r="C15" i="21"/>
  <c r="E28" i="20"/>
  <c r="C23" i="21"/>
  <c r="D23" i="21"/>
  <c r="E23" i="20"/>
  <c r="C17" i="21"/>
  <c r="E20" i="20"/>
  <c r="C14" i="21"/>
  <c r="E19" i="20"/>
  <c r="C13" i="21"/>
  <c r="E18" i="20"/>
  <c r="C12" i="21"/>
  <c r="E26" i="20"/>
  <c r="C20" i="21"/>
  <c r="E15" i="20"/>
  <c r="C9" i="21"/>
  <c r="E16" i="20"/>
  <c r="C10" i="21"/>
  <c r="E13" i="20"/>
  <c r="C7" i="21"/>
  <c r="C9" i="17"/>
  <c r="F17" i="20"/>
  <c r="D11" i="21"/>
  <c r="F26" i="20"/>
  <c r="D20" i="21"/>
  <c r="F25" i="20"/>
  <c r="D19" i="21"/>
  <c r="F29" i="20"/>
  <c r="D24" i="21"/>
  <c r="F15" i="20"/>
  <c r="D9" i="21"/>
  <c r="D37" i="21"/>
  <c r="F14" i="20"/>
  <c r="D8" i="21"/>
  <c r="D38" i="21"/>
  <c r="F39" i="20"/>
  <c r="D34" i="21"/>
  <c r="F38" i="20"/>
  <c r="D33" i="21"/>
  <c r="D17" i="21"/>
  <c r="D12" i="21"/>
  <c r="D18" i="21"/>
  <c r="D13" i="21"/>
  <c r="D21" i="21"/>
  <c r="D14" i="21"/>
  <c r="D16" i="21"/>
  <c r="E25" i="20"/>
  <c r="C19" i="21"/>
  <c r="E14" i="20"/>
  <c r="C8" i="21"/>
  <c r="D18" i="2"/>
  <c r="D8" i="2"/>
  <c r="E17" i="20"/>
  <c r="C11" i="21"/>
  <c r="D19" i="2"/>
  <c r="D17" i="2"/>
  <c r="C19" i="2"/>
  <c r="B19" i="2"/>
  <c r="D9" i="17"/>
  <c r="B9" i="17"/>
  <c r="E5" i="19"/>
  <c r="D5" i="19"/>
  <c r="C5" i="19"/>
  <c r="B11" i="19"/>
  <c r="B10" i="19"/>
  <c r="B9" i="19"/>
  <c r="B8" i="19"/>
  <c r="B7" i="19"/>
  <c r="B6" i="19"/>
  <c r="C8" i="17"/>
  <c r="C6" i="17"/>
  <c r="C7" i="17"/>
  <c r="D10" i="17"/>
  <c r="D8" i="17"/>
  <c r="D7" i="17"/>
  <c r="D6" i="17"/>
  <c r="B10" i="17"/>
  <c r="B8" i="17"/>
  <c r="B7" i="17"/>
  <c r="B6" i="17"/>
  <c r="I5" i="3"/>
  <c r="L5" i="5"/>
  <c r="M5" i="5"/>
  <c r="J5" i="12"/>
  <c r="K5" i="12"/>
  <c r="I5" i="12"/>
  <c r="H48" i="7"/>
  <c r="G48" i="7"/>
  <c r="F48" i="7"/>
  <c r="F39" i="7"/>
  <c r="G39" i="7"/>
  <c r="H39" i="7"/>
  <c r="I39" i="7"/>
  <c r="J39" i="7"/>
  <c r="K39" i="7"/>
  <c r="L39" i="7"/>
  <c r="L40" i="7"/>
  <c r="L41" i="7"/>
  <c r="H53" i="7"/>
  <c r="I53" i="7"/>
  <c r="J53" i="7"/>
  <c r="K53" i="7"/>
  <c r="L53" i="7"/>
  <c r="H58" i="7"/>
  <c r="I58" i="7"/>
  <c r="J58" i="7"/>
  <c r="K58" i="7"/>
  <c r="L58" i="7"/>
  <c r="K13" i="9"/>
  <c r="I40" i="7"/>
  <c r="I41" i="7"/>
  <c r="I43" i="7"/>
  <c r="J43" i="7"/>
  <c r="K43" i="7"/>
  <c r="L43" i="7"/>
  <c r="F40" i="7"/>
  <c r="F41" i="7"/>
  <c r="J40" i="7"/>
  <c r="J41" i="7"/>
  <c r="G58" i="7"/>
  <c r="G40" i="7"/>
  <c r="G41" i="7"/>
  <c r="K40" i="7"/>
  <c r="K41" i="7"/>
  <c r="G53" i="7"/>
  <c r="F53" i="7"/>
  <c r="H40" i="7"/>
  <c r="H41" i="7"/>
  <c r="I48" i="7"/>
  <c r="F58" i="7"/>
  <c r="J48" i="7"/>
  <c r="K48" i="7"/>
  <c r="L48" i="7"/>
  <c r="E33" i="7"/>
  <c r="E32" i="7"/>
  <c r="E31" i="7"/>
  <c r="E30" i="7"/>
  <c r="E29" i="7"/>
  <c r="E28" i="7"/>
  <c r="E27" i="7"/>
  <c r="E26" i="7"/>
  <c r="S27" i="2"/>
  <c r="O27" i="2"/>
  <c r="K27" i="2"/>
  <c r="S26" i="2"/>
  <c r="O26" i="2"/>
  <c r="K26" i="2"/>
  <c r="S25" i="2"/>
  <c r="O25" i="2"/>
  <c r="K25" i="2"/>
  <c r="F49" i="7"/>
  <c r="F44" i="7"/>
  <c r="F45" i="7"/>
  <c r="F46" i="7"/>
  <c r="F54" i="7"/>
  <c r="F55" i="7"/>
  <c r="F56" i="7"/>
  <c r="G54" i="7"/>
  <c r="G49" i="7"/>
  <c r="F50" i="7"/>
  <c r="F51" i="7"/>
  <c r="F52" i="7"/>
  <c r="G44" i="7"/>
  <c r="G45" i="7"/>
  <c r="G46" i="7"/>
  <c r="F47" i="7"/>
  <c r="F57" i="7"/>
  <c r="H49" i="7"/>
  <c r="G50" i="7"/>
  <c r="H54" i="7"/>
  <c r="G55" i="7"/>
  <c r="G56" i="7"/>
  <c r="H44" i="7"/>
  <c r="H45" i="7"/>
  <c r="H46" i="7"/>
  <c r="G47" i="7"/>
  <c r="G57" i="7"/>
  <c r="I49" i="7"/>
  <c r="H50" i="7"/>
  <c r="H51" i="7"/>
  <c r="I54" i="7"/>
  <c r="H55" i="7"/>
  <c r="H56" i="7"/>
  <c r="H57" i="7"/>
  <c r="G51" i="7"/>
  <c r="G52" i="7"/>
  <c r="I44" i="7"/>
  <c r="I45" i="7"/>
  <c r="I46" i="7"/>
  <c r="H47" i="7"/>
  <c r="H52" i="7"/>
  <c r="J49" i="7"/>
  <c r="I50" i="7"/>
  <c r="J54" i="7"/>
  <c r="I55" i="7"/>
  <c r="J44" i="7"/>
  <c r="J45" i="7"/>
  <c r="J46" i="7"/>
  <c r="I47" i="7"/>
  <c r="K49" i="7"/>
  <c r="J50" i="7"/>
  <c r="J51" i="7"/>
  <c r="J52" i="7"/>
  <c r="I56" i="7"/>
  <c r="I57" i="7"/>
  <c r="K54" i="7"/>
  <c r="J55" i="7"/>
  <c r="I51" i="7"/>
  <c r="I52" i="7"/>
  <c r="K44" i="7"/>
  <c r="K45" i="7"/>
  <c r="K46" i="7"/>
  <c r="J47" i="7"/>
  <c r="L54" i="7"/>
  <c r="K55" i="7"/>
  <c r="K56" i="7"/>
  <c r="L49" i="7"/>
  <c r="K50" i="7"/>
  <c r="J56" i="7"/>
  <c r="J57" i="7"/>
  <c r="L44" i="7"/>
  <c r="K47" i="7"/>
  <c r="K57" i="7"/>
  <c r="K51" i="7"/>
  <c r="K52" i="7"/>
  <c r="L55" i="7"/>
  <c r="L56" i="7"/>
  <c r="L45" i="7"/>
  <c r="L46" i="7"/>
  <c r="L50" i="7"/>
  <c r="L51" i="7"/>
  <c r="L47" i="7"/>
  <c r="L52" i="7"/>
  <c r="L57" i="7"/>
  <c r="I7" i="3"/>
  <c r="D57" i="7"/>
  <c r="D56" i="7"/>
  <c r="D55" i="7"/>
  <c r="D54" i="7"/>
  <c r="D52" i="7"/>
  <c r="D51" i="7"/>
  <c r="D50" i="7"/>
  <c r="D49" i="7"/>
  <c r="D33" i="7"/>
  <c r="D32" i="7"/>
  <c r="D31" i="7"/>
  <c r="D30" i="7"/>
  <c r="D29" i="7"/>
  <c r="D28" i="7"/>
  <c r="D27" i="7"/>
  <c r="D26" i="7"/>
  <c r="D20" i="7"/>
  <c r="D19" i="7"/>
  <c r="D18" i="7"/>
  <c r="D17" i="7"/>
  <c r="D16" i="7"/>
  <c r="D15" i="7"/>
  <c r="D14" i="7"/>
  <c r="D13" i="7"/>
  <c r="C5" i="12"/>
  <c r="B5" i="12"/>
  <c r="L17" i="5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L60" i="2"/>
  <c r="G28" i="2"/>
  <c r="G29" i="2"/>
  <c r="G32" i="2"/>
  <c r="E6" i="2"/>
  <c r="G30" i="2"/>
  <c r="G33" i="2"/>
  <c r="E7" i="2"/>
  <c r="J20" i="5"/>
  <c r="E11" i="2"/>
  <c r="F17" i="5"/>
  <c r="F18" i="5"/>
  <c r="F22" i="5"/>
  <c r="F5" i="5"/>
  <c r="F6" i="5"/>
  <c r="E9" i="2"/>
  <c r="E8" i="2"/>
  <c r="E10" i="2"/>
  <c r="J19" i="5"/>
  <c r="J15" i="5"/>
  <c r="G19" i="5"/>
  <c r="G15" i="5"/>
  <c r="H19" i="5"/>
  <c r="I19" i="5"/>
  <c r="G20" i="5"/>
  <c r="H20" i="5"/>
  <c r="I20" i="5"/>
  <c r="C20" i="7"/>
  <c r="B20" i="7"/>
  <c r="B57" i="7"/>
  <c r="C19" i="7"/>
  <c r="B19" i="7"/>
  <c r="C18" i="7"/>
  <c r="B18" i="7"/>
  <c r="C17" i="7"/>
  <c r="B17" i="7"/>
  <c r="C16" i="7"/>
  <c r="B16" i="7"/>
  <c r="B52" i="7"/>
  <c r="C15" i="7"/>
  <c r="B15" i="7"/>
  <c r="C14" i="7"/>
  <c r="C27" i="7"/>
  <c r="B14" i="7"/>
  <c r="C13" i="7"/>
  <c r="B13" i="7"/>
  <c r="D12" i="7"/>
  <c r="C12" i="7"/>
  <c r="C47" i="7"/>
  <c r="B12" i="7"/>
  <c r="B47" i="7"/>
  <c r="D11" i="7"/>
  <c r="C11" i="7"/>
  <c r="C46" i="7"/>
  <c r="B11" i="7"/>
  <c r="B46" i="7"/>
  <c r="D10" i="7"/>
  <c r="C10" i="7"/>
  <c r="C45" i="7"/>
  <c r="B10" i="7"/>
  <c r="B45" i="7"/>
  <c r="D9" i="7"/>
  <c r="C9" i="7"/>
  <c r="C44" i="7"/>
  <c r="B9" i="7"/>
  <c r="B44" i="7"/>
  <c r="D8" i="7"/>
  <c r="D7" i="7"/>
  <c r="C7" i="7"/>
  <c r="C41" i="7"/>
  <c r="B7" i="7"/>
  <c r="B41" i="7"/>
  <c r="D6" i="7"/>
  <c r="C6" i="7"/>
  <c r="C40" i="7"/>
  <c r="B6" i="7"/>
  <c r="B40" i="7"/>
  <c r="D5" i="7"/>
  <c r="C5" i="7"/>
  <c r="C39" i="7"/>
  <c r="B5" i="7"/>
  <c r="B39" i="7"/>
  <c r="X57" i="9"/>
  <c r="N57" i="9"/>
  <c r="Z57" i="9"/>
  <c r="M57" i="9"/>
  <c r="L57" i="9"/>
  <c r="K57" i="9"/>
  <c r="J57" i="9"/>
  <c r="V57" i="9"/>
  <c r="N56" i="9"/>
  <c r="M56" i="9"/>
  <c r="L56" i="9"/>
  <c r="K56" i="9"/>
  <c r="J56" i="9"/>
  <c r="N55" i="9"/>
  <c r="Z55" i="9"/>
  <c r="M55" i="9"/>
  <c r="L55" i="9"/>
  <c r="X55" i="9"/>
  <c r="K55" i="9"/>
  <c r="J55" i="9"/>
  <c r="V55" i="9"/>
  <c r="N54" i="9"/>
  <c r="M54" i="9"/>
  <c r="L54" i="9"/>
  <c r="K54" i="9"/>
  <c r="J54" i="9"/>
  <c r="N53" i="9"/>
  <c r="Z53" i="9"/>
  <c r="M53" i="9"/>
  <c r="L53" i="9"/>
  <c r="R53" i="9"/>
  <c r="K53" i="9"/>
  <c r="J53" i="9"/>
  <c r="V53" i="9"/>
  <c r="N52" i="9"/>
  <c r="M52" i="9"/>
  <c r="L52" i="9"/>
  <c r="J52" i="9"/>
  <c r="X51" i="9"/>
  <c r="W51" i="9"/>
  <c r="T51" i="9"/>
  <c r="N51" i="9"/>
  <c r="Z51" i="9"/>
  <c r="M51" i="9"/>
  <c r="L51" i="9"/>
  <c r="K51" i="9"/>
  <c r="J51" i="9"/>
  <c r="V51" i="9"/>
  <c r="N50" i="9"/>
  <c r="M50" i="9"/>
  <c r="L50" i="9"/>
  <c r="J50" i="9"/>
  <c r="N46" i="9"/>
  <c r="Z46" i="9"/>
  <c r="M46" i="9"/>
  <c r="L46" i="9"/>
  <c r="K46" i="9"/>
  <c r="J46" i="9"/>
  <c r="V46" i="9"/>
  <c r="N45" i="9"/>
  <c r="M45" i="9"/>
  <c r="L45" i="9"/>
  <c r="K45" i="9"/>
  <c r="J45" i="9"/>
  <c r="T44" i="9"/>
  <c r="N44" i="9"/>
  <c r="Z44" i="9"/>
  <c r="M44" i="9"/>
  <c r="S44" i="9"/>
  <c r="L44" i="9"/>
  <c r="X44" i="9"/>
  <c r="K44" i="9"/>
  <c r="J44" i="9"/>
  <c r="V44" i="9"/>
  <c r="N43" i="9"/>
  <c r="M43" i="9"/>
  <c r="L43" i="9"/>
  <c r="K43" i="9"/>
  <c r="J43" i="9"/>
  <c r="X42" i="9"/>
  <c r="N42" i="9"/>
  <c r="Z42" i="9"/>
  <c r="M42" i="9"/>
  <c r="L42" i="9"/>
  <c r="K42" i="9"/>
  <c r="J42" i="9"/>
  <c r="V42" i="9"/>
  <c r="N41" i="9"/>
  <c r="M41" i="9"/>
  <c r="L41" i="9"/>
  <c r="K41" i="9"/>
  <c r="J41" i="9"/>
  <c r="N40" i="9"/>
  <c r="Z40" i="9"/>
  <c r="M40" i="9"/>
  <c r="L40" i="9"/>
  <c r="X40" i="9"/>
  <c r="K40" i="9"/>
  <c r="J40" i="9"/>
  <c r="V40" i="9"/>
  <c r="N39" i="9"/>
  <c r="M39" i="9"/>
  <c r="L39" i="9"/>
  <c r="K39" i="9"/>
  <c r="J39" i="9"/>
  <c r="X35" i="9"/>
  <c r="N35" i="9"/>
  <c r="Z35" i="9"/>
  <c r="M35" i="9"/>
  <c r="S35" i="9"/>
  <c r="L35" i="9"/>
  <c r="K35" i="9"/>
  <c r="J35" i="9"/>
  <c r="V35" i="9"/>
  <c r="N34" i="9"/>
  <c r="M34" i="9"/>
  <c r="L34" i="9"/>
  <c r="K34" i="9"/>
  <c r="J34" i="9"/>
  <c r="N33" i="9"/>
  <c r="Z33" i="9"/>
  <c r="M33" i="9"/>
  <c r="L33" i="9"/>
  <c r="X33" i="9"/>
  <c r="K33" i="9"/>
  <c r="J33" i="9"/>
  <c r="V33" i="9"/>
  <c r="N32" i="9"/>
  <c r="M32" i="9"/>
  <c r="L32" i="9"/>
  <c r="K32" i="9"/>
  <c r="J32" i="9"/>
  <c r="X31" i="9"/>
  <c r="N31" i="9"/>
  <c r="Z31" i="9"/>
  <c r="M31" i="9"/>
  <c r="S31" i="9"/>
  <c r="L31" i="9"/>
  <c r="K31" i="9"/>
  <c r="J31" i="9"/>
  <c r="V31" i="9"/>
  <c r="N30" i="9"/>
  <c r="M30" i="9"/>
  <c r="L30" i="9"/>
  <c r="K30" i="9"/>
  <c r="J30" i="9"/>
  <c r="N29" i="9"/>
  <c r="Z29" i="9"/>
  <c r="M29" i="9"/>
  <c r="L29" i="9"/>
  <c r="X29" i="9"/>
  <c r="K29" i="9"/>
  <c r="J29" i="9"/>
  <c r="V29" i="9"/>
  <c r="N28" i="9"/>
  <c r="M28" i="9"/>
  <c r="L28" i="9"/>
  <c r="K28" i="9"/>
  <c r="J28" i="9"/>
  <c r="X25" i="9"/>
  <c r="N25" i="9"/>
  <c r="Z25" i="9"/>
  <c r="M25" i="9"/>
  <c r="S25" i="9"/>
  <c r="L25" i="9"/>
  <c r="K25" i="9"/>
  <c r="J25" i="9"/>
  <c r="V25" i="9"/>
  <c r="N24" i="9"/>
  <c r="M24" i="9"/>
  <c r="L24" i="9"/>
  <c r="K24" i="9"/>
  <c r="J24" i="9"/>
  <c r="N23" i="9"/>
  <c r="Z23" i="9"/>
  <c r="M23" i="9"/>
  <c r="L23" i="9"/>
  <c r="X23" i="9"/>
  <c r="K23" i="9"/>
  <c r="J23" i="9"/>
  <c r="V23" i="9"/>
  <c r="N22" i="9"/>
  <c r="M22" i="9"/>
  <c r="L22" i="9"/>
  <c r="K22" i="9"/>
  <c r="J22" i="9"/>
  <c r="X21" i="9"/>
  <c r="N21" i="9"/>
  <c r="Z21" i="9"/>
  <c r="M21" i="9"/>
  <c r="S21" i="9"/>
  <c r="L21" i="9"/>
  <c r="K21" i="9"/>
  <c r="J21" i="9"/>
  <c r="V21" i="9"/>
  <c r="N20" i="9"/>
  <c r="M20" i="9"/>
  <c r="L20" i="9"/>
  <c r="K20" i="9"/>
  <c r="J20" i="9"/>
  <c r="N19" i="9"/>
  <c r="Z19" i="9"/>
  <c r="M19" i="9"/>
  <c r="L19" i="9"/>
  <c r="X19" i="9"/>
  <c r="K19" i="9"/>
  <c r="J19" i="9"/>
  <c r="V19" i="9"/>
  <c r="N18" i="9"/>
  <c r="M18" i="9"/>
  <c r="L18" i="9"/>
  <c r="K18" i="9"/>
  <c r="J18" i="9"/>
  <c r="N14" i="9"/>
  <c r="M14" i="9"/>
  <c r="L14" i="9"/>
  <c r="K14" i="9"/>
  <c r="J14" i="9"/>
  <c r="N13" i="9"/>
  <c r="M13" i="9"/>
  <c r="L13" i="9"/>
  <c r="J13" i="9"/>
  <c r="N12" i="9"/>
  <c r="M12" i="9"/>
  <c r="L12" i="9"/>
  <c r="K12" i="9"/>
  <c r="J12" i="9"/>
  <c r="N11" i="9"/>
  <c r="M11" i="9"/>
  <c r="L11" i="9"/>
  <c r="K11" i="9"/>
  <c r="J11" i="9"/>
  <c r="N10" i="9"/>
  <c r="M10" i="9"/>
  <c r="L10" i="9"/>
  <c r="K10" i="9"/>
  <c r="J10" i="9"/>
  <c r="N9" i="9"/>
  <c r="M9" i="9"/>
  <c r="L9" i="9"/>
  <c r="K9" i="9"/>
  <c r="J9" i="9"/>
  <c r="N8" i="9"/>
  <c r="M8" i="9"/>
  <c r="L8" i="9"/>
  <c r="K8" i="9"/>
  <c r="N7" i="9"/>
  <c r="M7" i="9"/>
  <c r="L7" i="9"/>
  <c r="K7" i="9"/>
  <c r="J7" i="9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L39" i="2"/>
  <c r="L40" i="2"/>
  <c r="L41" i="2"/>
  <c r="L42" i="2"/>
  <c r="L43" i="2"/>
  <c r="L44" i="2"/>
  <c r="L45" i="2"/>
  <c r="L46" i="2"/>
  <c r="L47" i="2"/>
  <c r="L48" i="2"/>
  <c r="L49" i="2"/>
  <c r="L50" i="2"/>
  <c r="I59" i="2"/>
  <c r="G31" i="2"/>
  <c r="E5" i="2"/>
  <c r="K28" i="2"/>
  <c r="O28" i="2"/>
  <c r="S28" i="2"/>
  <c r="K29" i="2"/>
  <c r="K32" i="2"/>
  <c r="O29" i="2"/>
  <c r="O32" i="2"/>
  <c r="K30" i="2"/>
  <c r="O30" i="2"/>
  <c r="S30" i="2"/>
  <c r="H28" i="2"/>
  <c r="I28" i="2"/>
  <c r="J28" i="2"/>
  <c r="L28" i="2"/>
  <c r="M28" i="2"/>
  <c r="N28" i="2"/>
  <c r="P28" i="2"/>
  <c r="Q28" i="2"/>
  <c r="R28" i="2"/>
  <c r="H29" i="2"/>
  <c r="I29" i="2"/>
  <c r="I32" i="2"/>
  <c r="J29" i="2"/>
  <c r="L29" i="2"/>
  <c r="M29" i="2"/>
  <c r="M32" i="2"/>
  <c r="N29" i="2"/>
  <c r="P29" i="2"/>
  <c r="Q29" i="2"/>
  <c r="Q32" i="2"/>
  <c r="R29" i="2"/>
  <c r="H30" i="2"/>
  <c r="H33" i="2"/>
  <c r="I30" i="2"/>
  <c r="J30" i="2"/>
  <c r="J33" i="2"/>
  <c r="L30" i="2"/>
  <c r="L33" i="2"/>
  <c r="M30" i="2"/>
  <c r="N30" i="2"/>
  <c r="N33" i="2"/>
  <c r="P30" i="2"/>
  <c r="P33" i="2"/>
  <c r="Q30" i="2"/>
  <c r="R30" i="2"/>
  <c r="R33" i="2"/>
  <c r="D47" i="7"/>
  <c r="D46" i="7"/>
  <c r="D45" i="7"/>
  <c r="D44" i="7"/>
  <c r="D41" i="7"/>
  <c r="D40" i="7"/>
  <c r="D39" i="7"/>
  <c r="C50" i="7"/>
  <c r="E19" i="2"/>
  <c r="E17" i="2"/>
  <c r="E12" i="2"/>
  <c r="E16" i="2"/>
  <c r="E14" i="2"/>
  <c r="E15" i="2"/>
  <c r="E13" i="2"/>
  <c r="Q19" i="9"/>
  <c r="T21" i="9"/>
  <c r="Q23" i="9"/>
  <c r="T25" i="9"/>
  <c r="Q29" i="9"/>
  <c r="T31" i="9"/>
  <c r="Q33" i="9"/>
  <c r="S40" i="9"/>
  <c r="R46" i="9"/>
  <c r="S19" i="9"/>
  <c r="S23" i="9"/>
  <c r="S29" i="9"/>
  <c r="S33" i="9"/>
  <c r="X53" i="9"/>
  <c r="T40" i="9"/>
  <c r="R42" i="9"/>
  <c r="R51" i="9"/>
  <c r="S55" i="9"/>
  <c r="P19" i="9"/>
  <c r="P23" i="9"/>
  <c r="P29" i="9"/>
  <c r="P33" i="9"/>
  <c r="X46" i="9"/>
  <c r="S51" i="9"/>
  <c r="T19" i="9"/>
  <c r="R21" i="9"/>
  <c r="T23" i="9"/>
  <c r="R25" i="9"/>
  <c r="T29" i="9"/>
  <c r="R31" i="9"/>
  <c r="T33" i="9"/>
  <c r="R35" i="9"/>
  <c r="K50" i="9"/>
  <c r="T55" i="9"/>
  <c r="R57" i="9"/>
  <c r="P31" i="2"/>
  <c r="J31" i="2"/>
  <c r="R40" i="9"/>
  <c r="R44" i="9"/>
  <c r="R55" i="9"/>
  <c r="R19" i="9"/>
  <c r="R23" i="9"/>
  <c r="R29" i="9"/>
  <c r="R33" i="9"/>
  <c r="Q42" i="9"/>
  <c r="P42" i="9"/>
  <c r="Q46" i="9"/>
  <c r="P46" i="9"/>
  <c r="Q53" i="9"/>
  <c r="P53" i="9"/>
  <c r="Q57" i="9"/>
  <c r="P57" i="9"/>
  <c r="Q21" i="9"/>
  <c r="P21" i="9"/>
  <c r="Q25" i="9"/>
  <c r="P25" i="9"/>
  <c r="Q31" i="9"/>
  <c r="P31" i="9"/>
  <c r="Q35" i="9"/>
  <c r="P35" i="9"/>
  <c r="Q51" i="9"/>
  <c r="P51" i="9"/>
  <c r="T35" i="9"/>
  <c r="Q40" i="9"/>
  <c r="P40" i="9"/>
  <c r="S42" i="9"/>
  <c r="T42" i="9"/>
  <c r="Q44" i="9"/>
  <c r="P44" i="9"/>
  <c r="S46" i="9"/>
  <c r="T46" i="9"/>
  <c r="Y51" i="9"/>
  <c r="S53" i="9"/>
  <c r="T53" i="9"/>
  <c r="Q55" i="9"/>
  <c r="P55" i="9"/>
  <c r="S57" i="9"/>
  <c r="T57" i="9"/>
  <c r="B50" i="7"/>
  <c r="B27" i="7"/>
  <c r="B29" i="7"/>
  <c r="B55" i="7"/>
  <c r="B31" i="7"/>
  <c r="B33" i="7"/>
  <c r="B49" i="7"/>
  <c r="B26" i="7"/>
  <c r="B51" i="7"/>
  <c r="B28" i="7"/>
  <c r="B54" i="7"/>
  <c r="B30" i="7"/>
  <c r="B56" i="7"/>
  <c r="B32" i="7"/>
  <c r="C49" i="7"/>
  <c r="C26" i="7"/>
  <c r="C51" i="7"/>
  <c r="C28" i="7"/>
  <c r="C52" i="7"/>
  <c r="C29" i="7"/>
  <c r="C54" i="7"/>
  <c r="C30" i="7"/>
  <c r="C55" i="7"/>
  <c r="C31" i="7"/>
  <c r="C56" i="7"/>
  <c r="C32" i="7"/>
  <c r="C57" i="7"/>
  <c r="C33" i="7"/>
  <c r="Y19" i="9"/>
  <c r="Y21" i="9"/>
  <c r="Y23" i="9"/>
  <c r="Y25" i="9"/>
  <c r="Y29" i="9"/>
  <c r="Y31" i="9"/>
  <c r="Y33" i="9"/>
  <c r="Y35" i="9"/>
  <c r="Y40" i="9"/>
  <c r="Y42" i="9"/>
  <c r="Y44" i="9"/>
  <c r="Y46" i="9"/>
  <c r="K52" i="9"/>
  <c r="W53" i="9"/>
  <c r="W55" i="9"/>
  <c r="W57" i="9"/>
  <c r="W19" i="9"/>
  <c r="W21" i="9"/>
  <c r="W23" i="9"/>
  <c r="W25" i="9"/>
  <c r="W29" i="9"/>
  <c r="W31" i="9"/>
  <c r="W33" i="9"/>
  <c r="W35" i="9"/>
  <c r="W40" i="9"/>
  <c r="W42" i="9"/>
  <c r="W44" i="9"/>
  <c r="W46" i="9"/>
  <c r="Y53" i="9"/>
  <c r="Y55" i="9"/>
  <c r="Y57" i="9"/>
  <c r="R31" i="2"/>
  <c r="H31" i="2"/>
  <c r="N31" i="2"/>
  <c r="L31" i="2"/>
  <c r="L51" i="2"/>
  <c r="L52" i="2"/>
  <c r="L53" i="2"/>
  <c r="D25" i="2"/>
  <c r="I31" i="2"/>
  <c r="M31" i="2"/>
  <c r="S29" i="2"/>
  <c r="R32" i="2"/>
  <c r="K31" i="2"/>
  <c r="Q31" i="2"/>
  <c r="J32" i="2"/>
  <c r="S33" i="2"/>
  <c r="O33" i="2"/>
  <c r="K33" i="2"/>
  <c r="N32" i="2"/>
  <c r="Q33" i="2"/>
  <c r="M33" i="2"/>
  <c r="I33" i="2"/>
  <c r="P32" i="2"/>
  <c r="L32" i="2"/>
  <c r="H32" i="2"/>
  <c r="S31" i="2"/>
  <c r="O31" i="2"/>
  <c r="J12" i="7"/>
  <c r="F27" i="2"/>
  <c r="F30" i="2"/>
  <c r="F33" i="2"/>
  <c r="E27" i="2"/>
  <c r="F26" i="2"/>
  <c r="F29" i="2"/>
  <c r="F32" i="2"/>
  <c r="D27" i="2"/>
  <c r="E26" i="2"/>
  <c r="F25" i="2"/>
  <c r="F28" i="2"/>
  <c r="F31" i="2"/>
  <c r="D26" i="2"/>
  <c r="D29" i="2"/>
  <c r="E25" i="2"/>
  <c r="I6" i="7"/>
  <c r="J10" i="7"/>
  <c r="I10" i="7"/>
  <c r="J6" i="7"/>
  <c r="J8" i="7"/>
  <c r="I8" i="7"/>
  <c r="J7" i="7"/>
  <c r="I7" i="7"/>
  <c r="S32" i="2"/>
  <c r="I12" i="7"/>
  <c r="I11" i="7"/>
  <c r="J11" i="7"/>
  <c r="E28" i="2"/>
  <c r="D30" i="2"/>
  <c r="D28" i="2"/>
  <c r="E30" i="2"/>
  <c r="E29" i="2"/>
  <c r="E32" i="2"/>
  <c r="D31" i="2"/>
  <c r="F26" i="7"/>
  <c r="D33" i="2"/>
  <c r="E33" i="2"/>
  <c r="D32" i="2"/>
  <c r="E31" i="2"/>
  <c r="F33" i="7"/>
  <c r="G32" i="7"/>
  <c r="H31" i="7"/>
  <c r="F29" i="7"/>
  <c r="G28" i="7"/>
  <c r="H27" i="7"/>
  <c r="F32" i="7"/>
  <c r="G31" i="7"/>
  <c r="H30" i="7"/>
  <c r="F28" i="7"/>
  <c r="G27" i="7"/>
  <c r="H26" i="7"/>
  <c r="H33" i="7"/>
  <c r="F31" i="7"/>
  <c r="G30" i="7"/>
  <c r="H29" i="7"/>
  <c r="F27" i="7"/>
  <c r="G26" i="7"/>
  <c r="G33" i="7"/>
  <c r="H32" i="7"/>
  <c r="F30" i="7"/>
  <c r="G29" i="7"/>
  <c r="H28" i="7"/>
  <c r="I26" i="7"/>
  <c r="I28" i="7"/>
  <c r="I33" i="7"/>
  <c r="I31" i="7"/>
  <c r="I29" i="7"/>
  <c r="I27" i="7"/>
  <c r="I30" i="7"/>
  <c r="I32" i="7"/>
  <c r="I7" i="2"/>
  <c r="H7" i="2"/>
  <c r="G7" i="2"/>
  <c r="F7" i="2"/>
  <c r="I6" i="2"/>
  <c r="H6" i="2"/>
  <c r="G6" i="2"/>
  <c r="F6" i="2"/>
  <c r="I5" i="2"/>
  <c r="I19" i="2"/>
  <c r="H5" i="2"/>
  <c r="H19" i="2"/>
  <c r="G5" i="2"/>
  <c r="G19" i="2"/>
  <c r="F5" i="2"/>
  <c r="F19" i="2"/>
  <c r="H11" i="2"/>
  <c r="I17" i="5"/>
  <c r="I18" i="5"/>
  <c r="I22" i="5"/>
  <c r="I5" i="5"/>
  <c r="I6" i="5"/>
  <c r="I11" i="2"/>
  <c r="J17" i="5"/>
  <c r="J18" i="5"/>
  <c r="J22" i="5"/>
  <c r="J5" i="5"/>
  <c r="J6" i="5"/>
  <c r="F11" i="2"/>
  <c r="G17" i="5"/>
  <c r="G11" i="2"/>
  <c r="H17" i="5"/>
  <c r="H18" i="5"/>
  <c r="H22" i="5"/>
  <c r="H5" i="5"/>
  <c r="H6" i="5"/>
  <c r="F9" i="2"/>
  <c r="F10" i="2"/>
  <c r="F8" i="2"/>
  <c r="G10" i="2"/>
  <c r="G8" i="2"/>
  <c r="G9" i="2"/>
  <c r="H10" i="2"/>
  <c r="H8" i="2"/>
  <c r="H9" i="2"/>
  <c r="H14" i="2"/>
  <c r="H12" i="2"/>
  <c r="H16" i="2"/>
  <c r="H13" i="2"/>
  <c r="H17" i="2"/>
  <c r="H15" i="2"/>
  <c r="I16" i="2"/>
  <c r="I14" i="2"/>
  <c r="I13" i="2"/>
  <c r="I17" i="2"/>
  <c r="I15" i="2"/>
  <c r="I12" i="2"/>
  <c r="F13" i="2"/>
  <c r="F17" i="2"/>
  <c r="F15" i="2"/>
  <c r="F14" i="2"/>
  <c r="F12" i="2"/>
  <c r="F16" i="2"/>
  <c r="G17" i="2"/>
  <c r="G15" i="2"/>
  <c r="G14" i="2"/>
  <c r="G12" i="2"/>
  <c r="G16" i="2"/>
  <c r="G13" i="2"/>
  <c r="I9" i="2"/>
  <c r="I10" i="2"/>
  <c r="I8" i="2"/>
  <c r="G18" i="5"/>
  <c r="G22" i="5"/>
  <c r="G5" i="5"/>
  <c r="G6" i="5"/>
  <c r="D6" i="2"/>
  <c r="D9" i="2"/>
  <c r="D7" i="2"/>
  <c r="D10" i="2"/>
  <c r="D11" i="2"/>
  <c r="D5" i="2"/>
  <c r="D12" i="2"/>
  <c r="D13" i="2"/>
  <c r="D14" i="2"/>
  <c r="D15" i="2"/>
  <c r="D16" i="2"/>
  <c r="C17" i="2"/>
  <c r="B17" i="2"/>
  <c r="L6" i="5"/>
  <c r="M6" i="5"/>
  <c r="C6" i="5"/>
  <c r="C5" i="5"/>
  <c r="B6" i="5"/>
  <c r="B5" i="5"/>
  <c r="D19" i="3"/>
  <c r="D21" i="3"/>
  <c r="D20" i="3"/>
  <c r="D18" i="3"/>
  <c r="D17" i="3"/>
  <c r="D16" i="3"/>
  <c r="C21" i="3"/>
  <c r="B21" i="3"/>
  <c r="C20" i="3"/>
  <c r="B20" i="3"/>
  <c r="C19" i="3"/>
  <c r="B19" i="3"/>
  <c r="C18" i="3"/>
  <c r="B18" i="3"/>
  <c r="C17" i="3"/>
  <c r="B17" i="3"/>
  <c r="C16" i="3"/>
  <c r="B16" i="3"/>
  <c r="C8" i="3"/>
  <c r="B8" i="3"/>
  <c r="C6" i="3"/>
  <c r="B6" i="3"/>
  <c r="C7" i="3"/>
  <c r="B7" i="3"/>
  <c r="C5" i="3"/>
  <c r="B5" i="3"/>
  <c r="C18" i="2"/>
  <c r="B18" i="2"/>
  <c r="C16" i="2"/>
  <c r="B16" i="2"/>
  <c r="C15" i="2"/>
  <c r="B15" i="2"/>
  <c r="C14" i="2"/>
  <c r="B14" i="2"/>
  <c r="C13" i="2"/>
  <c r="B13" i="2"/>
  <c r="C12" i="2"/>
  <c r="B12" i="2"/>
  <c r="C5" i="2"/>
  <c r="B5" i="2"/>
  <c r="C11" i="2"/>
  <c r="B11" i="2"/>
  <c r="C10" i="2"/>
  <c r="B10" i="2"/>
  <c r="C7" i="2"/>
  <c r="B7" i="2"/>
  <c r="C9" i="2"/>
  <c r="B9" i="2"/>
  <c r="C8" i="2"/>
  <c r="B8" i="2"/>
  <c r="C6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E931C2D8-9E0D-4211-86E0-A9A2F25A62E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" authorId="0" shapeId="0" xr:uid="{F3DFAE48-9FB9-4FE8-9EC7-772EFC37761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0" shapeId="0" xr:uid="{435F8D96-5765-48A5-A693-ECB14EF4B345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5" authorId="0" shapeId="0" xr:uid="{708AFB41-BE8F-408D-A514-93C81274121E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Author</author>
  </authors>
  <commentList>
    <comment ref="J8" authorId="0" shapeId="0" xr:uid="{00000000-0006-0000-0100-000001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9" authorId="0" shapeId="0" xr:uid="{00000000-0006-0000-0100-000002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0" authorId="0" shapeId="0" xr:uid="{00000000-0006-0000-0100-000003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1" authorId="0" shapeId="0" xr:uid="{00000000-0006-0000-0100-000004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2" authorId="0" shapeId="0" xr:uid="{00000000-0006-0000-0100-000005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3" authorId="0" shapeId="0" xr:uid="{00000000-0006-0000-0100-000006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4" authorId="0" shapeId="0" xr:uid="{00000000-0006-0000-0100-000007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5" authorId="0" shapeId="0" xr:uid="{00000000-0006-0000-0100-000008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6" authorId="0" shapeId="0" xr:uid="{00000000-0006-0000-0100-000009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7" authorId="0" shapeId="0" xr:uid="{00000000-0006-0000-0100-00000A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37" authorId="1" shapeId="0" xr:uid="{00000000-0006-0000-0100-00000B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L37" authorId="0" shapeId="0" xr:uid="{00000000-0006-0000-0100-00000C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I5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Box 11.1 p.398 - WEO2011 (Hard Coal)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14" authorId="0" shapeId="0" xr:uid="{00000000-0006-0000-0300-000002000000}">
      <text>
        <r>
          <rPr>
            <b/>
            <sz val="10"/>
            <color indexed="8"/>
            <rFont val="Tahoma"/>
            <family val="2"/>
          </rPr>
          <t>KanORS:</t>
        </r>
        <r>
          <rPr>
            <sz val="10"/>
            <color indexed="8"/>
            <rFont val="Tahoma"/>
            <family val="2"/>
          </rPr>
          <t xml:space="preserve">
Ideally, the renewable potentials should be controlled at a technology level, but can also be declared here.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tc={DF35ABC3-9BB5-47E6-9E75-DAC846139278}</author>
  </authors>
  <commentList>
    <comment ref="B22" authorId="0" shapeId="0" xr:uid="{DF35ABC3-9BB5-47E6-9E75-DAC846139278}">
      <text>
        <t>[Threaded comment]
Your version of Excel allows you to read this threaded comment; however, any edits to it will get removed if the file is opened in a newer version of Excel. Learn more: https://go.microsoft.com/fwlink/?linkid=870924
Comment:
    to make shares sum up to 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E6" authorId="0" shapeId="0" xr:uid="{F2A744C6-E49A-4408-BA6E-24EE3413F39E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(as HFO), to be reviewed</t>
        </r>
      </text>
    </comment>
  </commentList>
</comments>
</file>

<file path=xl/sharedStrings.xml><?xml version="1.0" encoding="utf-8"?>
<sst xmlns="http://schemas.openxmlformats.org/spreadsheetml/2006/main" count="1251" uniqueCount="511">
  <si>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</si>
  <si>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</si>
  <si>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</si>
  <si>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</si>
  <si>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</si>
  <si>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</si>
  <si>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</si>
  <si>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</si>
  <si>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</si>
  <si>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</si>
  <si>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PJ</t>
  </si>
  <si>
    <t>GASNAT</t>
  </si>
  <si>
    <t>PEAT</t>
  </si>
  <si>
    <t>IMP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</si>
  <si>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</si>
  <si>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</si>
  <si>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</si>
  <si>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</si>
  <si>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</si>
  <si>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</si>
  <si>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</si>
  <si>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</si>
  <si>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</si>
  <si>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</si>
  <si>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COABIT</t>
  </si>
  <si>
    <t>COACOK</t>
  </si>
  <si>
    <t>COAHAR</t>
  </si>
  <si>
    <t>GASLNG</t>
  </si>
  <si>
    <t>OILCRD</t>
  </si>
  <si>
    <t>OILDST</t>
  </si>
  <si>
    <t>OILGSL</t>
  </si>
  <si>
    <t>OILHFO</t>
  </si>
  <si>
    <t>OILKER</t>
  </si>
  <si>
    <t>OILLPG</t>
  </si>
  <si>
    <t>RENHYD</t>
  </si>
  <si>
    <t>RENWIN</t>
  </si>
  <si>
    <t>RENSOL</t>
  </si>
  <si>
    <t>RENOCE</t>
  </si>
  <si>
    <t>RENGEO</t>
  </si>
  <si>
    <t>~FI_T: EUR00</t>
  </si>
  <si>
    <t>Comm-OUT</t>
  </si>
  <si>
    <t>COST</t>
  </si>
  <si>
    <t>COST~2015</t>
  </si>
  <si>
    <t>COST~2020</t>
  </si>
  <si>
    <t>COST~2025</t>
  </si>
  <si>
    <t>COST~2030</t>
  </si>
  <si>
    <t>COST~2040</t>
  </si>
  <si>
    <t>COST~2050</t>
  </si>
  <si>
    <t>*Technology Name</t>
  </si>
  <si>
    <t>Technology Description</t>
  </si>
  <si>
    <t>Output Commodity</t>
  </si>
  <si>
    <t>€/GJ</t>
  </si>
  <si>
    <t>Domestic fossil fuels reserves</t>
  </si>
  <si>
    <t>CUM</t>
  </si>
  <si>
    <t>BNDACT~UP</t>
  </si>
  <si>
    <t>BNDACT~UP~2050</t>
  </si>
  <si>
    <t>Euro/GJ</t>
  </si>
  <si>
    <t>Renewable potentials</t>
  </si>
  <si>
    <t>MSWAS</t>
  </si>
  <si>
    <t>Electricity Interconnector</t>
  </si>
  <si>
    <t>~FI_T</t>
  </si>
  <si>
    <t>\I:Technology Name</t>
  </si>
  <si>
    <t>BIOWPE</t>
  </si>
  <si>
    <t>BIOWCH</t>
  </si>
  <si>
    <t>EXP</t>
  </si>
  <si>
    <t>DAYNITE</t>
  </si>
  <si>
    <t>ACTBND~UP~2020</t>
  </si>
  <si>
    <t>ACTBND~UP~2050</t>
  </si>
  <si>
    <t>ACTBND~UP~0</t>
  </si>
  <si>
    <t>Comm-IN</t>
  </si>
  <si>
    <t>ELCC</t>
  </si>
  <si>
    <t>*Notes</t>
  </si>
  <si>
    <t>Calibrated against SEAI Energy Balance</t>
  </si>
  <si>
    <t>SEASON</t>
  </si>
  <si>
    <t>BIOETH1G</t>
  </si>
  <si>
    <t>BIODST1G</t>
  </si>
  <si>
    <t>BIOETH2G</t>
  </si>
  <si>
    <t>BIODST2G</t>
  </si>
  <si>
    <t>OILCOK</t>
  </si>
  <si>
    <t>Source: Eurostat</t>
  </si>
  <si>
    <t>€ CPI</t>
  </si>
  <si>
    <t>US inflation rate</t>
  </si>
  <si>
    <t>$ CPI</t>
  </si>
  <si>
    <t>Source:  U.S. Department of Labor Bureau of Labor Statistic</t>
  </si>
  <si>
    <r>
      <t>Source:</t>
    </r>
    <r>
      <rPr>
        <i/>
        <sz val="11"/>
        <color indexed="8"/>
        <rFont val="Calibri"/>
        <family val="2"/>
      </rPr>
      <t xml:space="preserve"> European Central Bank</t>
    </r>
  </si>
  <si>
    <t>Conversion Factors</t>
  </si>
  <si>
    <t>Gas</t>
  </si>
  <si>
    <t>Oil</t>
  </si>
  <si>
    <t>Coal</t>
  </si>
  <si>
    <t>New Policies Scenario</t>
  </si>
  <si>
    <t>Current Policies Scenario</t>
  </si>
  <si>
    <t>450 Scenario</t>
  </si>
  <si>
    <t>unit</t>
  </si>
  <si>
    <t>IEA crude oil imports</t>
  </si>
  <si>
    <t>OECD steam coal imports</t>
  </si>
  <si>
    <t>Euro inflation rate</t>
    <phoneticPr fontId="11" type="noConversion"/>
  </si>
  <si>
    <t>Exchange rate</t>
  </si>
  <si>
    <t>~FI_T: EUR14</t>
  </si>
  <si>
    <t>*Source/Ratio</t>
  </si>
  <si>
    <t>~FI_T: ACT_BND~UP</t>
  </si>
  <si>
    <t>*Total</t>
  </si>
  <si>
    <t>Fossil Fuels Imports</t>
  </si>
  <si>
    <t>Fossil fuels import price assuptions</t>
  </si>
  <si>
    <t>Max 2030 potential (Amb Supply, High Dem scenario)</t>
  </si>
  <si>
    <t>Imported Bioenergy costs (€/GJ)</t>
  </si>
  <si>
    <t>Imported Bioenergy potentials (PJ)</t>
  </si>
  <si>
    <t>Bioethanol</t>
  </si>
  <si>
    <t>Biodiesel</t>
  </si>
  <si>
    <t>Source:</t>
  </si>
  <si>
    <t>SEAI-AEA, Bioenergy Supply Curves for Ireland 2010 – 2030. October 2012, version 1.0</t>
  </si>
  <si>
    <t>Conversion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</si>
  <si>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</si>
  <si>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1 toe</t>
  </si>
  <si>
    <t>GJ</t>
  </si>
  <si>
    <t>Base=100</t>
  </si>
  <si>
    <t>Appendix 3 Potential Imports of Bioenergy</t>
  </si>
  <si>
    <t>1 ktoe</t>
  </si>
  <si>
    <t>The following tables refer to potential import scenarios for bioenergy to Ireland, as described in Section11.</t>
  </si>
  <si>
    <t>Source: http://www.cso.ie/px/pxeirestat/Statire/SelectVarVal/Define.asp?maintable=CPA04&amp;PLanguage=0</t>
  </si>
  <si>
    <t>Table A. 3: Restricted supply/reference demand</t>
  </si>
  <si>
    <t>€2010</t>
  </si>
  <si>
    <t>Wood chips</t>
  </si>
  <si>
    <t>toe</t>
  </si>
  <si>
    <t>Table A. 4: Medium supply/reference demand</t>
  </si>
  <si>
    <t>€/toe</t>
  </si>
  <si>
    <t>Table A. 5: Ambitious supply/reference demand</t>
  </si>
  <si>
    <t>Wood pellets</t>
  </si>
  <si>
    <t>Table A. 6: Medium supply/high demand</t>
  </si>
  <si>
    <t>Table A. 7: Ambitious supply/high demand</t>
  </si>
  <si>
    <t>Index</t>
  </si>
  <si>
    <t>€2000</t>
  </si>
  <si>
    <t>191,47</t>
  </si>
  <si>
    <t>~FI_T: EUR10</t>
  </si>
  <si>
    <t>~FI_T: EUR11</t>
  </si>
  <si>
    <t>Imported Bioenergy delivery costs (€/GJ)</t>
  </si>
  <si>
    <t>DELIV~2020</t>
  </si>
  <si>
    <t>DELIV~2030</t>
  </si>
  <si>
    <t>DELIV~2040</t>
  </si>
  <si>
    <t>DELIV~2050</t>
  </si>
  <si>
    <t>Based on Clancy et al., The economic viability of biomass crops versus conventional agricultural systems and its potential impact on farm incomes in Ireland, Energy Policy 2012
Transport, p[rocessing and fuel adder</t>
  </si>
  <si>
    <t>o=output</t>
  </si>
  <si>
    <t>TIMES Cost in output</t>
  </si>
  <si>
    <t>Meuro/Pjo</t>
  </si>
  <si>
    <t>Cost in output</t>
  </si>
  <si>
    <t>[Euro/GJo]</t>
  </si>
  <si>
    <t>Charge for power sent over (or back) [Euro/MWh]</t>
  </si>
  <si>
    <t>"Max Output"</t>
  </si>
  <si>
    <t>Interconnector CAP [MW]</t>
  </si>
  <si>
    <t>Gas Price [Euro/GJ]</t>
  </si>
  <si>
    <t>"Fuel Consumption"</t>
  </si>
  <si>
    <t>EFF</t>
  </si>
  <si>
    <t>Generator CAP [MW]</t>
  </si>
  <si>
    <t>Dummy Gas Generator</t>
  </si>
  <si>
    <t>TIMES</t>
  </si>
  <si>
    <t>PLEXOS</t>
  </si>
  <si>
    <t>Meuro/PJo</t>
  </si>
  <si>
    <t>EUR to USD</t>
  </si>
  <si>
    <t>USD to EUR</t>
  </si>
  <si>
    <t>$2015/barrel</t>
  </si>
  <si>
    <t>$2015/MBtu</t>
  </si>
  <si>
    <t>$2015/tonne</t>
  </si>
  <si>
    <t>Real Terms (2015 Prices)</t>
  </si>
  <si>
    <t>€2015/barrel</t>
  </si>
  <si>
    <t>€2015/MBtu</t>
  </si>
  <si>
    <t>€2015/tonne</t>
  </si>
  <si>
    <t>€2015/GJ</t>
  </si>
  <si>
    <t>Domestic Bioenergy</t>
  </si>
  <si>
    <t>BIOWOO</t>
  </si>
  <si>
    <t>\I: Process Set Membership</t>
  </si>
  <si>
    <t>Vintage Tracking</t>
  </si>
  <si>
    <t>BIORVO</t>
  </si>
  <si>
    <t>BIOTLW</t>
  </si>
  <si>
    <t>BIOPIGW</t>
  </si>
  <si>
    <t>BIOCATW</t>
  </si>
  <si>
    <t>BIOMSW1</t>
  </si>
  <si>
    <t>BIOMSW2</t>
  </si>
  <si>
    <t>BIOINDF</t>
  </si>
  <si>
    <t xml:space="preserve">Crop-based feedstocks are modelled within the AGR BY Template. Potentials and costs controlled by scenario files. </t>
  </si>
  <si>
    <t>BIOGAS1G</t>
  </si>
  <si>
    <t>BIOGAS2G</t>
  </si>
  <si>
    <t>Base-year Flexible Refinery</t>
  </si>
  <si>
    <t>Life</t>
  </si>
  <si>
    <t>FIXOM</t>
  </si>
  <si>
    <t>\I: Unit</t>
  </si>
  <si>
    <t>Years</t>
  </si>
  <si>
    <t>Euro/kW</t>
  </si>
  <si>
    <t>PRE</t>
  </si>
  <si>
    <t>PJa</t>
  </si>
  <si>
    <t>Energy crops - Delivery Cost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</si>
  <si>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</si>
  <si>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</si>
  <si>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</si>
  <si>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Miscanthus/Willow</t>
  </si>
  <si>
    <t>€(11)/GJ</t>
  </si>
  <si>
    <t>~FI_T: EUR15</t>
  </si>
  <si>
    <t>Based on a Dummy Gas generator in UK and WEO2016 Gas prices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</si>
  <si>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</si>
  <si>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</si>
  <si>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</si>
  <si>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</si>
  <si>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</si>
  <si>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</si>
  <si>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</si>
  <si>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</si>
  <si>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</si>
  <si>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</si>
  <si>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</si>
  <si>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</si>
  <si>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</si>
  <si>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</si>
  <si>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</si>
  <si>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</si>
  <si>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</si>
  <si>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</si>
  <si>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</si>
  <si>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</si>
  <si>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</si>
  <si>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</si>
  <si>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</si>
  <si>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</si>
  <si>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</si>
  <si>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</si>
  <si>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</si>
  <si>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Landfill Gas</t>
  </si>
  <si>
    <t xml:space="preserve"> Biogas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</si>
  <si>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</si>
  <si>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</si>
  <si>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</si>
  <si>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</si>
  <si>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</si>
  <si>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</si>
  <si>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</si>
  <si>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</si>
  <si>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</si>
  <si>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</si>
  <si>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</si>
  <si>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</si>
  <si>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</si>
  <si>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</si>
  <si>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</si>
  <si>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</si>
  <si>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</si>
  <si>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</si>
  <si>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</si>
  <si>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</si>
  <si>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</si>
  <si>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</si>
  <si>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</si>
  <si>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</si>
  <si>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</si>
  <si>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</si>
  <si>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ACT_BND~2050</t>
  </si>
  <si>
    <t>ACT_BND~0</t>
  </si>
  <si>
    <t>OILRFG</t>
  </si>
  <si>
    <t>OILNAP</t>
  </si>
  <si>
    <t>*</t>
  </si>
  <si>
    <r>
      <rPr>
        <u/>
        <sz val="10"/>
        <rFont val="Calibri"/>
        <family val="2"/>
        <scheme val="minor"/>
      </rPr>
      <t>Net</t>
    </r>
    <r>
      <rPr>
        <sz val="10"/>
        <rFont val="Calibri"/>
        <family val="2"/>
        <scheme val="minor"/>
      </rPr>
      <t xml:space="preserve"> production shares</t>
    </r>
  </si>
  <si>
    <t>Conversion factors</t>
  </si>
  <si>
    <t>Used BY costs from Irish TIMES 1.0</t>
  </si>
  <si>
    <t>WEO2016 potential - Current Policies Scenario</t>
  </si>
  <si>
    <t>Natural Gas importspotential -Europe</t>
  </si>
  <si>
    <t>Source: IEApotential -WEO 2016</t>
  </si>
  <si>
    <t>(http://www.usinflationcalculator.com/inflation/consumerpotential -pricepotential -indexpotential -andpotential -annualpotential -percentpotential -changespotential -frompotential -1913potential -topotential -2008/)</t>
  </si>
  <si>
    <t>2005potential -2015</t>
  </si>
  <si>
    <t>2015 Transport Diesel Consumption</t>
  </si>
  <si>
    <t>Doubling Step I</t>
  </si>
  <si>
    <t>Doubling Step II</t>
  </si>
  <si>
    <t>Bound not set</t>
  </si>
  <si>
    <t>Max past consumption</t>
  </si>
  <si>
    <t>Share~UP~2050</t>
  </si>
  <si>
    <t>Own Assumption</t>
  </si>
  <si>
    <t>Assumption</t>
  </si>
  <si>
    <t>Calibrated against Energy Balance</t>
  </si>
  <si>
    <t>Old PET values (source: WEC)</t>
  </si>
  <si>
    <t>Fuel Techs - Sectoral infrastructure</t>
  </si>
  <si>
    <t>Share-I</t>
  </si>
  <si>
    <t>INVCOST</t>
  </si>
  <si>
    <t>NCAP_BND~UP~0</t>
  </si>
  <si>
    <t>€/GJa</t>
  </si>
  <si>
    <t>Interpolation</t>
  </si>
  <si>
    <t xml:space="preserve">Natural Gas </t>
  </si>
  <si>
    <t xml:space="preserve">Liquified Natural Gas </t>
  </si>
  <si>
    <t xml:space="preserve">Bituminous Coal </t>
  </si>
  <si>
    <t xml:space="preserve">Hard Coal / Antracite </t>
  </si>
  <si>
    <t xml:space="preserve">Coke Coal </t>
  </si>
  <si>
    <t xml:space="preserve">Lignite /  Brown Coal </t>
  </si>
  <si>
    <t xml:space="preserve">Peat </t>
  </si>
  <si>
    <t xml:space="preserve">Crude Oil </t>
  </si>
  <si>
    <t xml:space="preserve">Refinery Gas </t>
  </si>
  <si>
    <t xml:space="preserve">Kerosene </t>
  </si>
  <si>
    <t xml:space="preserve">Heavy Fuel Oil </t>
  </si>
  <si>
    <t xml:space="preserve">Diesel Oil </t>
  </si>
  <si>
    <t xml:space="preserve">Liquified Petroleum Gas </t>
  </si>
  <si>
    <t xml:space="preserve">Gasoline </t>
  </si>
  <si>
    <t xml:space="preserve">Petroleum Coke </t>
  </si>
  <si>
    <t xml:space="preserve">Naphta </t>
  </si>
  <si>
    <t xml:space="preserve">Hydro </t>
  </si>
  <si>
    <t xml:space="preserve">Wind </t>
  </si>
  <si>
    <t xml:space="preserve">Solar </t>
  </si>
  <si>
    <t xml:space="preserve">Municipal Solid Waste </t>
  </si>
  <si>
    <t xml:space="preserve">Ocean </t>
  </si>
  <si>
    <t xml:space="preserve">Geothermal </t>
  </si>
  <si>
    <t xml:space="preserve">Ethanol 1st generation </t>
  </si>
  <si>
    <t xml:space="preserve">Ethanol 2nd generation </t>
  </si>
  <si>
    <t xml:space="preserve">Biodiesel 1st generation </t>
  </si>
  <si>
    <t xml:space="preserve">Biogas 1st generation </t>
  </si>
  <si>
    <t xml:space="preserve">Biogas 2nd generation </t>
  </si>
  <si>
    <t xml:space="preserve">Wood Pellets </t>
  </si>
  <si>
    <t xml:space="preserve">Wood Chip </t>
  </si>
  <si>
    <t xml:space="preserve">Biodegradable Municipal Solid Waste potential - Solid </t>
  </si>
  <si>
    <t xml:space="preserve">Biodegradable Municipal Solid Waste </t>
  </si>
  <si>
    <t xml:space="preserve">Tallow </t>
  </si>
  <si>
    <t xml:space="preserve">Recovered Vegetable Oil </t>
  </si>
  <si>
    <t xml:space="preserve">Cattle Waste </t>
  </si>
  <si>
    <t xml:space="preserve">Pig Waste </t>
  </si>
  <si>
    <t xml:space="preserve">Industrial Food Waste </t>
  </si>
  <si>
    <t>Uranium</t>
  </si>
  <si>
    <t>Emission - Dynamic coefficients</t>
  </si>
  <si>
    <t>~COMEMI</t>
  </si>
  <si>
    <t>*Unit</t>
  </si>
  <si>
    <t>kt/PJ</t>
  </si>
  <si>
    <t>ENV</t>
  </si>
  <si>
    <t>kt</t>
  </si>
  <si>
    <t>COALIG</t>
  </si>
  <si>
    <t>OILNEU</t>
  </si>
  <si>
    <t>Oil for Non-Energy uses</t>
  </si>
  <si>
    <t>COST~2012</t>
  </si>
  <si>
    <t>DELIV~2012</t>
  </si>
  <si>
    <t>FLO_COST~2012</t>
  </si>
  <si>
    <t>Sectors</t>
  </si>
  <si>
    <t>Code</t>
  </si>
  <si>
    <t>Description</t>
  </si>
  <si>
    <t>ELC</t>
  </si>
  <si>
    <t>Energy Commodities</t>
  </si>
  <si>
    <t>COA</t>
  </si>
  <si>
    <t>DST</t>
  </si>
  <si>
    <t>Diesel</t>
  </si>
  <si>
    <t>GSL</t>
  </si>
  <si>
    <t>Gasoline</t>
  </si>
  <si>
    <t>HFO</t>
  </si>
  <si>
    <t>Heavy Fuel Oil</t>
  </si>
  <si>
    <t>KER</t>
  </si>
  <si>
    <t>Kerosene</t>
  </si>
  <si>
    <t>LPG</t>
  </si>
  <si>
    <t>Liquified Petroleum Gases</t>
  </si>
  <si>
    <t>OIL</t>
  </si>
  <si>
    <t>NGA</t>
  </si>
  <si>
    <t>Natural Gas</t>
  </si>
  <si>
    <t>BLQ</t>
  </si>
  <si>
    <t>Bioliquid</t>
  </si>
  <si>
    <t>BSL</t>
  </si>
  <si>
    <t>Biomass solid</t>
  </si>
  <si>
    <t>BGA</t>
  </si>
  <si>
    <t>Biogas</t>
  </si>
  <si>
    <t>BWA</t>
  </si>
  <si>
    <t>AVG</t>
  </si>
  <si>
    <t>Aviation Gasoline</t>
  </si>
  <si>
    <t>JTK</t>
  </si>
  <si>
    <t>Jet Kerosene</t>
  </si>
  <si>
    <t>Bio Diesel</t>
  </si>
  <si>
    <t>Bio Gasoline</t>
  </si>
  <si>
    <t>Bio Gas</t>
  </si>
  <si>
    <t>BJK</t>
  </si>
  <si>
    <t>Jet Bio Kerosene</t>
  </si>
  <si>
    <t>SOL</t>
  </si>
  <si>
    <t>Solar</t>
  </si>
  <si>
    <t>SPV</t>
  </si>
  <si>
    <t>Solar Photovoltaic</t>
  </si>
  <si>
    <t>STH</t>
  </si>
  <si>
    <t>Solar Thermal</t>
  </si>
  <si>
    <t>GEO</t>
  </si>
  <si>
    <t>Geothermal</t>
  </si>
  <si>
    <t>WIN</t>
  </si>
  <si>
    <t>Wind</t>
  </si>
  <si>
    <t>WON</t>
  </si>
  <si>
    <t>Wind On-Shore</t>
  </si>
  <si>
    <t>WOF</t>
  </si>
  <si>
    <t>Wind Off-Shore</t>
  </si>
  <si>
    <t>HYD</t>
  </si>
  <si>
    <t>Hydro</t>
  </si>
  <si>
    <t>TDL</t>
  </si>
  <si>
    <t>Tide</t>
  </si>
  <si>
    <t>WAV</t>
  </si>
  <si>
    <t>Wave</t>
  </si>
  <si>
    <t>NUC</t>
  </si>
  <si>
    <t>HET</t>
  </si>
  <si>
    <t>SUP</t>
  </si>
  <si>
    <t>Supply and Upstream</t>
  </si>
  <si>
    <t>Emission Commodities</t>
  </si>
  <si>
    <t>CH4N</t>
  </si>
  <si>
    <t>N2ON</t>
  </si>
  <si>
    <t>CO2N</t>
  </si>
  <si>
    <t>CO2P</t>
  </si>
  <si>
    <t>Technology type</t>
  </si>
  <si>
    <t>Fuel</t>
  </si>
  <si>
    <t>TIMES Set</t>
  </si>
  <si>
    <t>Technology Type</t>
  </si>
  <si>
    <t>\I: Commodity set</t>
  </si>
  <si>
    <t>Commodity name</t>
  </si>
  <si>
    <t>\I: Energy Commodities</t>
  </si>
  <si>
    <t>\I: Emissions commodities</t>
  </si>
  <si>
    <t>Processes definition</t>
  </si>
  <si>
    <t>Technology name</t>
  </si>
  <si>
    <t>Activity unit</t>
  </si>
  <si>
    <t>Capacity unit</t>
  </si>
  <si>
    <t>TimeSlice level of Process Activity</t>
  </si>
  <si>
    <t>Primary Commodity Group</t>
  </si>
  <si>
    <t>\I: Fuel Technologies</t>
  </si>
  <si>
    <t>PJ_a</t>
  </si>
  <si>
    <t>NUCURM</t>
  </si>
  <si>
    <t>.</t>
  </si>
  <si>
    <t>NOXN</t>
  </si>
  <si>
    <t>PM10</t>
  </si>
  <si>
    <t>PM25</t>
  </si>
  <si>
    <t>Nitrogen Oxide  - eNergy Emissions</t>
  </si>
  <si>
    <r>
      <t>Carbon Dioxide - eN</t>
    </r>
    <r>
      <rPr>
        <sz val="11"/>
        <color theme="1"/>
        <rFont val="Calibri"/>
        <family val="2"/>
        <scheme val="minor"/>
      </rPr>
      <t>ergy Emissions</t>
    </r>
  </si>
  <si>
    <r>
      <t xml:space="preserve">Carbon Dioxide - </t>
    </r>
    <r>
      <rPr>
        <u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rocess Emissions</t>
    </r>
  </si>
  <si>
    <t>Particulate Matter &lt;10 µm</t>
  </si>
  <si>
    <t>Particulate Matter &lt;2.5 µm</t>
  </si>
  <si>
    <t>CH4P</t>
  </si>
  <si>
    <t>WAS</t>
  </si>
  <si>
    <t>Waste</t>
  </si>
  <si>
    <t>Bio Wastes</t>
  </si>
  <si>
    <t>BGL</t>
  </si>
  <si>
    <t>BDL</t>
  </si>
  <si>
    <t>H2</t>
  </si>
  <si>
    <t>Hydrogen</t>
  </si>
  <si>
    <t>CO2S</t>
  </si>
  <si>
    <r>
      <t xml:space="preserve">Carbon Dioxide - </t>
    </r>
    <r>
      <rPr>
        <u/>
        <sz val="11"/>
        <color theme="1"/>
        <rFont val="Calibri"/>
        <family val="2"/>
        <scheme val="minor"/>
      </rPr>
      <t>Sequestered</t>
    </r>
  </si>
  <si>
    <t>Transformations</t>
  </si>
  <si>
    <t>_UK</t>
  </si>
  <si>
    <t>Suffix (Technology Generation or regions)</t>
  </si>
  <si>
    <t>BIO</t>
  </si>
  <si>
    <t>Biomass</t>
  </si>
  <si>
    <t>G</t>
  </si>
  <si>
    <t>L</t>
  </si>
  <si>
    <t>Commodity State</t>
  </si>
  <si>
    <t>gaseous</t>
  </si>
  <si>
    <t>liquid</t>
  </si>
  <si>
    <t>Commodity Type</t>
  </si>
  <si>
    <t>C</t>
  </si>
  <si>
    <t>D</t>
  </si>
  <si>
    <t>centralised</t>
  </si>
  <si>
    <t>decentralised</t>
  </si>
  <si>
    <t>Methane - eNergy Emissions</t>
  </si>
  <si>
    <t>Methane Emissions - Process Emissions</t>
  </si>
  <si>
    <t>N2O Emissions - eNergy Emissions</t>
  </si>
  <si>
    <t>SO2N</t>
  </si>
  <si>
    <t>Sulfur dioxide - eNergy Emissions</t>
  </si>
  <si>
    <t xml:space="preserve">Technologies - Convention for Naming </t>
  </si>
  <si>
    <t>Import</t>
  </si>
  <si>
    <t>Export</t>
  </si>
  <si>
    <t>FT-</t>
  </si>
  <si>
    <t>Suffixes</t>
  </si>
  <si>
    <t>UK</t>
  </si>
  <si>
    <t>_GLOBAL</t>
  </si>
  <si>
    <t>\I: Fossil Import Processes</t>
  </si>
  <si>
    <t>\I:Bio Import Processes</t>
  </si>
  <si>
    <t>\I:Domestic potentials</t>
  </si>
  <si>
    <t>_S1</t>
  </si>
  <si>
    <t>_S2</t>
  </si>
  <si>
    <t>_S3</t>
  </si>
  <si>
    <t>_S4</t>
  </si>
  <si>
    <t>Step 1</t>
  </si>
  <si>
    <t>Step 2</t>
  </si>
  <si>
    <t>Step 3</t>
  </si>
  <si>
    <t>Step 4</t>
  </si>
  <si>
    <t>BIOWOO1</t>
  </si>
  <si>
    <t>BIOWOO2</t>
  </si>
  <si>
    <t>BIOWOO3</t>
  </si>
  <si>
    <t xml:space="preserve">Biomass - generic </t>
  </si>
  <si>
    <t>Sawmill residues</t>
  </si>
  <si>
    <t>Post-Consumer Recycled Wood</t>
  </si>
  <si>
    <t>Straw</t>
  </si>
  <si>
    <t>Fuel Tech</t>
  </si>
  <si>
    <t>BDN</t>
  </si>
  <si>
    <t>Blending</t>
  </si>
  <si>
    <t>Input Commodity</t>
  </si>
  <si>
    <t>REF</t>
  </si>
  <si>
    <t>Refinery</t>
  </si>
  <si>
    <t>Domestic Potential</t>
  </si>
  <si>
    <t>_Whitegate</t>
  </si>
  <si>
    <t>Whitegate</t>
  </si>
  <si>
    <t xml:space="preserve">2018                        Units = ktoe
</t>
  </si>
  <si>
    <t>NACE (Rev 2)</t>
  </si>
  <si>
    <t>Pasti</t>
  </si>
  <si>
    <t>ACTBND~FX~2018</t>
  </si>
  <si>
    <t>Share~UP~2018</t>
  </si>
  <si>
    <t>EFF~2018</t>
  </si>
  <si>
    <t>ACT_BND~2018</t>
  </si>
  <si>
    <t>Share~UP~0</t>
  </si>
  <si>
    <t>I/E rule</t>
  </si>
  <si>
    <t>CYC</t>
  </si>
  <si>
    <t>WLK</t>
  </si>
  <si>
    <t>Cycling</t>
  </si>
  <si>
    <t>Walking</t>
  </si>
  <si>
    <t>Bio Jet Kerosene</t>
  </si>
  <si>
    <t>BIOJKR</t>
  </si>
  <si>
    <t>AMBHET</t>
  </si>
  <si>
    <t>Ambient Heat</t>
  </si>
  <si>
    <t xml:space="preserve"> Refinery Feedstocks</t>
  </si>
  <si>
    <t xml:space="preserve"> Biomass</t>
  </si>
  <si>
    <t xml:space="preserve"> Renewable Waste</t>
  </si>
  <si>
    <t xml:space="preserve"> Biodiesel</t>
  </si>
  <si>
    <t xml:space="preserve"> Bioethanol</t>
  </si>
  <si>
    <t xml:space="preserve"> Solar Photovoltaic</t>
  </si>
  <si>
    <t xml:space="preserve"> Solar Thermal</t>
  </si>
  <si>
    <t xml:space="preserve"> Ambient Heat</t>
  </si>
  <si>
    <t>Consumption in 2018</t>
  </si>
  <si>
    <t xml:space="preserve">Biodiesel 2nd generation </t>
  </si>
  <si>
    <t>correction: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</si>
</sst>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"/>
    <numFmt numFmtId="165" formatCode="\Te\x\t"/>
    <numFmt numFmtId="166" formatCode="0.0%"/>
    <numFmt numFmtId="167" formatCode="0.0000"/>
    <numFmt numFmtId="168" formatCode="0.000"/>
    <numFmt numFmtId="169" formatCode="[$€-2]\ #,##0;[Red]\-[$€-2]\ #,##0"/>
    <numFmt numFmtId="170" formatCode="#,##0.0;[Red]\-#,##0.0"/>
    <numFmt numFmtId="171" formatCode="#,##0.000;[Red]\-#,##0.000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name val="Arial"/>
      <family val="2"/>
    </font>
    <font>
      <i/>
      <sz val="8"/>
      <color indexed="38"/>
      <name val="Arial"/>
      <family val="2"/>
    </font>
    <font>
      <sz val="10"/>
      <name val="Myriad Pro"/>
      <family val="2"/>
    </font>
    <font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76923C"/>
      <name val="Myriad Pro"/>
      <family val="2"/>
    </font>
    <font>
      <sz val="11"/>
      <color theme="1"/>
      <name val="Myriad Pro"/>
      <family val="2"/>
    </font>
    <font>
      <b/>
      <i/>
      <sz val="11"/>
      <color rgb="FF76923C"/>
      <name val="Myriad Pro"/>
      <family val="2"/>
    </font>
    <font>
      <b/>
      <sz val="10"/>
      <color rgb="FFFFFFFF"/>
      <name val="Myriad Pro"/>
      <family val="2"/>
    </font>
    <font>
      <b/>
      <sz val="10"/>
      <color rgb="FFFFFFFF"/>
      <name val="Calibri"/>
      <family val="2"/>
      <scheme val="minor"/>
    </font>
    <font>
      <b/>
      <i/>
      <sz val="11"/>
      <color theme="5"/>
      <name val="Myriad Pro"/>
      <family val="2"/>
    </font>
    <font>
      <sz val="11"/>
      <color theme="5"/>
      <name val="Calibri"/>
      <family val="2"/>
      <scheme val="minor"/>
    </font>
    <font>
      <sz val="11"/>
      <color rgb="FFFFFFFF"/>
      <name val="Myriad Pro"/>
      <family val="2"/>
    </font>
    <font>
      <sz val="10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11"/>
      <name val="Myriad Pro"/>
      <family val="2"/>
    </font>
    <font>
      <b/>
      <sz val="10"/>
      <name val="Myriad Pro"/>
      <family val="2"/>
    </font>
    <font>
      <u/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sz val="9"/>
      <name val="Times New Roman"/>
      <family val="1"/>
    </font>
    <font>
      <sz val="10"/>
      <name val="Myriad Pro"/>
    </font>
  </fonts>
  <fills count="2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indexed="12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37" fillId="19" borderId="0" applyNumberFormat="0" applyBorder="0" applyAlignment="0" applyProtection="0"/>
    <xf numFmtId="0" fontId="38" fillId="20" borderId="23" applyNumberFormat="0" applyAlignment="0" applyProtection="0"/>
    <xf numFmtId="0" fontId="56" fillId="0" borderId="0"/>
    <xf numFmtId="49" fontId="59" fillId="0" borderId="3" applyNumberFormat="0" applyFont="0" applyFill="0" applyBorder="0" applyProtection="0">
      <alignment horizontal="left" vertical="center" indent="2"/>
    </xf>
    <xf numFmtId="43" fontId="57" fillId="0" borderId="0" applyFont="0" applyFill="0" applyBorder="0" applyAlignment="0" applyProtection="0"/>
    <xf numFmtId="0" fontId="58" fillId="0" borderId="0"/>
    <xf numFmtId="9" fontId="57" fillId="0" borderId="0" applyFont="0" applyFill="0" applyBorder="0" applyAlignment="0" applyProtection="0"/>
  </cellStyleXfs>
  <cellXfs count="523">
    <xf numFmtId="0" fontId="0" fillId="0" borderId="0" xfId="0"/>
    <xf numFmtId="0" fontId="0" fillId="0" borderId="0" xfId="0" applyFont="1" applyAlignment="1">
      <alignment vertical="center"/>
    </xf>
    <xf numFmtId="165" fontId="2" fillId="2" borderId="0" xfId="1" applyNumberFormat="1" applyAlignment="1">
      <alignment vertical="center"/>
    </xf>
    <xf numFmtId="0" fontId="5" fillId="0" borderId="0" xfId="0" applyFont="1" applyAlignment="1">
      <alignment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5" fillId="6" borderId="2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164" fontId="5" fillId="0" borderId="7" xfId="0" applyNumberFormat="1" applyFont="1" applyBorder="1" applyAlignment="1">
      <alignment horizontal="center"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Border="1" applyAlignment="1" applyProtection="1">
      <alignment horizontal="right" vertical="center"/>
    </xf>
    <xf numFmtId="0" fontId="7" fillId="3" borderId="1" xfId="0" applyNumberFormat="1" applyFont="1" applyFill="1" applyBorder="1" applyAlignment="1" applyProtection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/>
    </xf>
    <xf numFmtId="0" fontId="5" fillId="3" borderId="8" xfId="0" applyNumberFormat="1" applyFont="1" applyFill="1" applyBorder="1" applyAlignment="1" applyProtection="1">
      <alignment horizontal="left" vertical="center"/>
    </xf>
    <xf numFmtId="0" fontId="5" fillId="3" borderId="8" xfId="0" applyNumberFormat="1" applyFont="1" applyFill="1" applyBorder="1" applyAlignment="1" applyProtection="1">
      <alignment vertical="center" wrapText="1"/>
    </xf>
    <xf numFmtId="0" fontId="14" fillId="3" borderId="8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2" fontId="5" fillId="0" borderId="0" xfId="0" applyNumberFormat="1" applyFont="1" applyFill="1" applyBorder="1" applyAlignment="1" applyProtection="1">
      <alignment horizontal="right" vertical="center"/>
    </xf>
    <xf numFmtId="1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/>
    <xf numFmtId="167" fontId="5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>
      <alignment vertical="center"/>
    </xf>
    <xf numFmtId="165" fontId="17" fillId="0" borderId="0" xfId="0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/>
    <xf numFmtId="0" fontId="0" fillId="0" borderId="6" xfId="0" applyFont="1" applyBorder="1" applyAlignment="1">
      <alignment vertical="center"/>
    </xf>
    <xf numFmtId="164" fontId="0" fillId="0" borderId="6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7" borderId="0" xfId="0" applyNumberFormat="1" applyFont="1" applyFill="1" applyAlignment="1">
      <alignment horizontal="center" vertical="center"/>
    </xf>
    <xf numFmtId="2" fontId="0" fillId="7" borderId="6" xfId="0" applyNumberFormat="1" applyFill="1" applyBorder="1" applyAlignment="1">
      <alignment horizontal="center"/>
    </xf>
    <xf numFmtId="0" fontId="14" fillId="8" borderId="8" xfId="0" applyNumberFormat="1" applyFont="1" applyFill="1" applyBorder="1" applyAlignment="1" applyProtection="1">
      <alignment horizontal="center" vertical="center" wrapText="1"/>
    </xf>
    <xf numFmtId="0" fontId="17" fillId="9" borderId="7" xfId="0" applyFont="1" applyFill="1" applyBorder="1" applyAlignment="1">
      <alignment vertical="center"/>
    </xf>
    <xf numFmtId="165" fontId="0" fillId="0" borderId="0" xfId="0" applyNumberFormat="1" applyFont="1" applyFill="1" applyAlignment="1">
      <alignment vertical="center"/>
    </xf>
    <xf numFmtId="164" fontId="5" fillId="0" borderId="0" xfId="0" applyNumberFormat="1" applyFont="1" applyBorder="1" applyAlignment="1">
      <alignment horizontal="center" vertical="center"/>
    </xf>
    <xf numFmtId="0" fontId="20" fillId="0" borderId="0" xfId="0" applyFont="1"/>
    <xf numFmtId="0" fontId="0" fillId="0" borderId="3" xfId="0" applyBorder="1"/>
    <xf numFmtId="0" fontId="19" fillId="0" borderId="3" xfId="0" applyFont="1" applyBorder="1" applyAlignment="1">
      <alignment horizontal="center"/>
    </xf>
    <xf numFmtId="168" fontId="0" fillId="0" borderId="3" xfId="0" applyNumberFormat="1" applyFill="1" applyBorder="1" applyAlignment="1">
      <alignment horizontal="right"/>
    </xf>
    <xf numFmtId="2" fontId="0" fillId="0" borderId="3" xfId="0" applyNumberFormat="1" applyBorder="1"/>
    <xf numFmtId="2" fontId="0" fillId="0" borderId="3" xfId="0" applyNumberFormat="1" applyFill="1" applyBorder="1"/>
    <xf numFmtId="0" fontId="0" fillId="0" borderId="0" xfId="0" applyFill="1"/>
    <xf numFmtId="0" fontId="3" fillId="0" borderId="4" xfId="0" applyFont="1" applyBorder="1"/>
    <xf numFmtId="0" fontId="3" fillId="0" borderId="13" xfId="0" applyFont="1" applyBorder="1"/>
    <xf numFmtId="0" fontId="3" fillId="0" borderId="1" xfId="0" applyFont="1" applyBorder="1"/>
    <xf numFmtId="0" fontId="3" fillId="0" borderId="14" xfId="0" applyFont="1" applyBorder="1"/>
    <xf numFmtId="0" fontId="3" fillId="0" borderId="1" xfId="0" applyFont="1" applyFill="1" applyBorder="1"/>
    <xf numFmtId="0" fontId="3" fillId="0" borderId="14" xfId="0" applyFont="1" applyFill="1" applyBorder="1"/>
    <xf numFmtId="0" fontId="4" fillId="11" borderId="15" xfId="0" applyFont="1" applyFill="1" applyBorder="1"/>
    <xf numFmtId="0" fontId="4" fillId="11" borderId="16" xfId="0" applyFont="1" applyFill="1" applyBorder="1"/>
    <xf numFmtId="164" fontId="4" fillId="11" borderId="0" xfId="0" applyNumberFormat="1" applyFont="1" applyFill="1" applyBorder="1"/>
    <xf numFmtId="164" fontId="4" fillId="11" borderId="11" xfId="0" applyNumberFormat="1" applyFont="1" applyFill="1" applyBorder="1"/>
    <xf numFmtId="0" fontId="22" fillId="0" borderId="0" xfId="0" applyFont="1" applyFill="1"/>
    <xf numFmtId="0" fontId="4" fillId="12" borderId="15" xfId="0" applyFont="1" applyFill="1" applyBorder="1"/>
    <xf numFmtId="0" fontId="4" fillId="12" borderId="16" xfId="0" applyFont="1" applyFill="1" applyBorder="1"/>
    <xf numFmtId="164" fontId="4" fillId="12" borderId="0" xfId="0" applyNumberFormat="1" applyFont="1" applyFill="1" applyBorder="1"/>
    <xf numFmtId="164" fontId="4" fillId="12" borderId="16" xfId="0" applyNumberFormat="1" applyFont="1" applyFill="1" applyBorder="1"/>
    <xf numFmtId="164" fontId="4" fillId="12" borderId="11" xfId="0" applyNumberFormat="1" applyFont="1" applyFill="1" applyBorder="1"/>
    <xf numFmtId="2" fontId="0" fillId="0" borderId="0" xfId="0" applyNumberFormat="1" applyFill="1" applyBorder="1"/>
    <xf numFmtId="0" fontId="4" fillId="7" borderId="15" xfId="0" applyFont="1" applyFill="1" applyBorder="1"/>
    <xf numFmtId="0" fontId="4" fillId="7" borderId="16" xfId="0" applyFont="1" applyFill="1" applyBorder="1"/>
    <xf numFmtId="164" fontId="4" fillId="7" borderId="0" xfId="0" applyNumberFormat="1" applyFont="1" applyFill="1" applyBorder="1"/>
    <xf numFmtId="164" fontId="4" fillId="7" borderId="16" xfId="0" applyNumberFormat="1" applyFont="1" applyFill="1" applyBorder="1"/>
    <xf numFmtId="164" fontId="4" fillId="7" borderId="11" xfId="0" applyNumberFormat="1" applyFont="1" applyFill="1" applyBorder="1"/>
    <xf numFmtId="0" fontId="4" fillId="7" borderId="9" xfId="0" applyFont="1" applyFill="1" applyBorder="1"/>
    <xf numFmtId="164" fontId="4" fillId="7" borderId="6" xfId="0" applyNumberFormat="1" applyFont="1" applyFill="1" applyBorder="1"/>
    <xf numFmtId="164" fontId="4" fillId="7" borderId="17" xfId="0" applyNumberFormat="1" applyFont="1" applyFill="1" applyBorder="1"/>
    <xf numFmtId="164" fontId="4" fillId="7" borderId="10" xfId="0" applyNumberFormat="1" applyFont="1" applyFill="1" applyBorder="1"/>
    <xf numFmtId="0" fontId="4" fillId="7" borderId="17" xfId="0" applyFont="1" applyFill="1" applyBorder="1"/>
    <xf numFmtId="0" fontId="10" fillId="0" borderId="0" xfId="0" applyFont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/>
    <xf numFmtId="0" fontId="10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0" fillId="0" borderId="3" xfId="0" applyNumberFormat="1" applyFont="1" applyBorder="1" applyAlignment="1">
      <alignment horizontal="left"/>
    </xf>
    <xf numFmtId="10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4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4" fillId="0" borderId="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64" fontId="5" fillId="0" borderId="6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4" fontId="5" fillId="14" borderId="0" xfId="0" applyNumberFormat="1" applyFont="1" applyFill="1" applyAlignment="1">
      <alignment horizontal="left" vertical="center"/>
    </xf>
    <xf numFmtId="164" fontId="5" fillId="14" borderId="6" xfId="0" applyNumberFormat="1" applyFont="1" applyFill="1" applyBorder="1" applyAlignment="1">
      <alignment horizontal="left" vertical="center"/>
    </xf>
    <xf numFmtId="164" fontId="5" fillId="14" borderId="7" xfId="0" applyNumberFormat="1" applyFont="1" applyFill="1" applyBorder="1" applyAlignment="1">
      <alignment horizontal="center" vertical="center"/>
    </xf>
    <xf numFmtId="2" fontId="5" fillId="14" borderId="0" xfId="0" applyNumberFormat="1" applyFont="1" applyFill="1" applyAlignment="1">
      <alignment horizontal="left" vertical="center"/>
    </xf>
    <xf numFmtId="2" fontId="17" fillId="14" borderId="0" xfId="0" applyNumberFormat="1" applyFont="1" applyFill="1" applyAlignment="1">
      <alignment horizontal="left" vertical="center"/>
    </xf>
    <xf numFmtId="0" fontId="17" fillId="0" borderId="6" xfId="0" applyFont="1" applyBorder="1" applyAlignment="1">
      <alignment vertical="center"/>
    </xf>
    <xf numFmtId="0" fontId="19" fillId="0" borderId="0" xfId="0" applyFont="1"/>
    <xf numFmtId="164" fontId="0" fillId="0" borderId="0" xfId="0" applyNumberFormat="1" applyAlignment="1">
      <alignment horizontal="center" vertical="center"/>
    </xf>
    <xf numFmtId="2" fontId="17" fillId="0" borderId="0" xfId="0" applyNumberFormat="1" applyFont="1" applyFill="1" applyAlignment="1">
      <alignment vertical="center"/>
    </xf>
    <xf numFmtId="165" fontId="17" fillId="0" borderId="18" xfId="0" applyNumberFormat="1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165" fontId="17" fillId="0" borderId="6" xfId="0" applyNumberFormat="1" applyFont="1" applyBorder="1" applyAlignment="1">
      <alignment vertical="center"/>
    </xf>
    <xf numFmtId="165" fontId="26" fillId="0" borderId="7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165" fontId="26" fillId="0" borderId="2" xfId="0" applyNumberFormat="1" applyFont="1" applyBorder="1" applyAlignment="1">
      <alignment vertical="center"/>
    </xf>
    <xf numFmtId="0" fontId="26" fillId="0" borderId="2" xfId="0" applyFont="1" applyBorder="1" applyAlignment="1">
      <alignment vertical="center"/>
    </xf>
    <xf numFmtId="164" fontId="17" fillId="0" borderId="0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2" fontId="5" fillId="14" borderId="0" xfId="0" applyNumberFormat="1" applyFont="1" applyFill="1" applyBorder="1" applyAlignment="1">
      <alignment horizontal="left" vertical="center"/>
    </xf>
    <xf numFmtId="164" fontId="17" fillId="0" borderId="18" xfId="0" applyNumberFormat="1" applyFont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7" fillId="8" borderId="1" xfId="0" applyNumberFormat="1" applyFont="1" applyFill="1" applyBorder="1" applyAlignment="1" applyProtection="1">
      <alignment horizontal="center" vertical="center" wrapText="1"/>
    </xf>
    <xf numFmtId="1" fontId="5" fillId="0" borderId="0" xfId="0" applyNumberFormat="1" applyFont="1" applyFill="1" applyBorder="1" applyAlignment="1" applyProtection="1">
      <alignment horizontal="center" vertical="center"/>
    </xf>
    <xf numFmtId="2" fontId="5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5" fillId="0" borderId="6" xfId="0" applyNumberFormat="1" applyFont="1" applyFill="1" applyBorder="1" applyAlignment="1" applyProtection="1">
      <alignment vertical="center"/>
    </xf>
    <xf numFmtId="0" fontId="5" fillId="0" borderId="6" xfId="0" applyNumberFormat="1" applyFont="1" applyFill="1" applyBorder="1" applyAlignment="1" applyProtection="1">
      <alignment horizontal="left" vertical="center"/>
    </xf>
    <xf numFmtId="0" fontId="5" fillId="0" borderId="6" xfId="0" applyNumberFormat="1" applyFont="1" applyFill="1" applyBorder="1" applyAlignment="1" applyProtection="1">
      <alignment horizontal="center" vertical="center"/>
    </xf>
    <xf numFmtId="0" fontId="19" fillId="10" borderId="5" xfId="0" applyFont="1" applyFill="1" applyBorder="1"/>
    <xf numFmtId="0" fontId="0" fillId="10" borderId="7" xfId="0" applyFill="1" applyBorder="1"/>
    <xf numFmtId="0" fontId="0" fillId="0" borderId="0" xfId="0" applyAlignment="1">
      <alignment vertical="center"/>
    </xf>
    <xf numFmtId="164" fontId="17" fillId="0" borderId="18" xfId="0" applyNumberFormat="1" applyFont="1" applyBorder="1" applyAlignment="1">
      <alignment horizontal="left" vertical="center"/>
    </xf>
    <xf numFmtId="164" fontId="17" fillId="0" borderId="0" xfId="0" applyNumberFormat="1" applyFont="1" applyBorder="1" applyAlignment="1">
      <alignment horizontal="left" vertical="center"/>
    </xf>
    <xf numFmtId="164" fontId="17" fillId="0" borderId="6" xfId="0" applyNumberFormat="1" applyFont="1" applyBorder="1" applyAlignment="1">
      <alignment horizontal="left" vertical="center"/>
    </xf>
    <xf numFmtId="164" fontId="26" fillId="0" borderId="7" xfId="0" applyNumberFormat="1" applyFont="1" applyBorder="1" applyAlignment="1">
      <alignment horizontal="left" vertical="center"/>
    </xf>
    <xf numFmtId="164" fontId="26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 indent="5"/>
    </xf>
    <xf numFmtId="167" fontId="0" fillId="0" borderId="3" xfId="0" applyNumberFormat="1" applyBorder="1"/>
    <xf numFmtId="17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167" fontId="0" fillId="0" borderId="0" xfId="0" applyNumberFormat="1" applyBorder="1"/>
    <xf numFmtId="0" fontId="30" fillId="0" borderId="0" xfId="0" applyFont="1" applyAlignment="1">
      <alignment horizontal="left" vertical="center"/>
    </xf>
    <xf numFmtId="169" fontId="0" fillId="0" borderId="0" xfId="0" quotePrefix="1" applyNumberFormat="1"/>
    <xf numFmtId="0" fontId="31" fillId="16" borderId="19" xfId="0" applyFont="1" applyFill="1" applyBorder="1" applyAlignment="1">
      <alignment vertical="center"/>
    </xf>
    <xf numFmtId="0" fontId="31" fillId="16" borderId="20" xfId="0" applyFont="1" applyFill="1" applyBorder="1" applyAlignment="1">
      <alignment horizontal="right" vertical="center"/>
    </xf>
    <xf numFmtId="0" fontId="32" fillId="5" borderId="0" xfId="0" applyFont="1" applyFill="1" applyBorder="1" applyAlignment="1">
      <alignment horizontal="center" vertical="center"/>
    </xf>
    <xf numFmtId="0" fontId="29" fillId="17" borderId="21" xfId="0" applyFont="1" applyFill="1" applyBorder="1" applyAlignment="1">
      <alignment horizontal="justify" vertical="center"/>
    </xf>
    <xf numFmtId="0" fontId="29" fillId="18" borderId="22" xfId="0" applyFont="1" applyFill="1" applyBorder="1" applyAlignment="1">
      <alignment horizontal="right" vertical="center"/>
    </xf>
    <xf numFmtId="3" fontId="29" fillId="18" borderId="22" xfId="0" applyNumberFormat="1" applyFont="1" applyFill="1" applyBorder="1" applyAlignment="1">
      <alignment horizontal="right" vertical="center"/>
    </xf>
    <xf numFmtId="0" fontId="33" fillId="0" borderId="0" xfId="0" applyFont="1" applyFill="1" applyAlignment="1">
      <alignment horizontal="left" vertical="center"/>
    </xf>
    <xf numFmtId="0" fontId="34" fillId="0" borderId="0" xfId="0" applyFont="1"/>
    <xf numFmtId="0" fontId="33" fillId="0" borderId="0" xfId="0" applyFont="1" applyAlignment="1">
      <alignment horizontal="left" vertical="center"/>
    </xf>
    <xf numFmtId="0" fontId="29" fillId="0" borderId="0" xfId="0" applyFont="1" applyAlignment="1">
      <alignment horizontal="justify" vertical="center"/>
    </xf>
    <xf numFmtId="0" fontId="30" fillId="0" borderId="0" xfId="0" applyFont="1" applyFill="1" applyAlignment="1">
      <alignment horizontal="left" vertical="center"/>
    </xf>
    <xf numFmtId="0" fontId="32" fillId="15" borderId="0" xfId="0" applyFont="1" applyFill="1" applyBorder="1" applyAlignment="1">
      <alignment horizontal="center" vertical="center"/>
    </xf>
    <xf numFmtId="164" fontId="0" fillId="0" borderId="0" xfId="0" applyNumberFormat="1"/>
    <xf numFmtId="9" fontId="0" fillId="0" borderId="0" xfId="2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35" fillId="16" borderId="19" xfId="0" applyFont="1" applyFill="1" applyBorder="1" applyAlignment="1">
      <alignment horizontal="justify" vertical="center"/>
    </xf>
    <xf numFmtId="164" fontId="0" fillId="0" borderId="0" xfId="0" applyNumberFormat="1" applyFill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36" fillId="0" borderId="6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 wrapText="1"/>
    </xf>
    <xf numFmtId="164" fontId="17" fillId="0" borderId="0" xfId="0" applyNumberFormat="1" applyFont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37" fillId="19" borderId="0" xfId="3"/>
    <xf numFmtId="164" fontId="37" fillId="19" borderId="0" xfId="3" applyNumberFormat="1"/>
    <xf numFmtId="164" fontId="38" fillId="20" borderId="23" xfId="4" applyNumberFormat="1"/>
    <xf numFmtId="0" fontId="25" fillId="0" borderId="0" xfId="0" applyFont="1"/>
    <xf numFmtId="1" fontId="0" fillId="0" borderId="0" xfId="0" applyNumberFormat="1"/>
    <xf numFmtId="0" fontId="3" fillId="0" borderId="0" xfId="0" applyFont="1" applyBorder="1"/>
    <xf numFmtId="0" fontId="3" fillId="0" borderId="0" xfId="0" applyFont="1" applyFill="1" applyBorder="1"/>
    <xf numFmtId="164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Fill="1" applyAlignment="1">
      <alignment vertical="center"/>
    </xf>
    <xf numFmtId="0" fontId="0" fillId="0" borderId="0" xfId="0" applyFont="1"/>
    <xf numFmtId="0" fontId="5" fillId="0" borderId="0" xfId="0" applyFont="1"/>
    <xf numFmtId="0" fontId="41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horizontal="left"/>
    </xf>
    <xf numFmtId="0" fontId="7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/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 applyProtection="1">
      <alignment horizontal="center" vertical="center" wrapText="1"/>
    </xf>
    <xf numFmtId="0" fontId="5" fillId="3" borderId="7" xfId="0" applyNumberFormat="1" applyFont="1" applyFill="1" applyBorder="1" applyAlignment="1" applyProtection="1">
      <alignment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41" fillId="21" borderId="0" xfId="0" applyNumberFormat="1" applyFont="1" applyFill="1" applyBorder="1" applyAlignment="1" applyProtection="1">
      <alignment vertical="center"/>
    </xf>
    <xf numFmtId="0" fontId="5" fillId="21" borderId="0" xfId="0" applyNumberFormat="1" applyFont="1" applyFill="1" applyBorder="1" applyAlignment="1" applyProtection="1">
      <alignment vertical="center" wrapText="1"/>
    </xf>
    <xf numFmtId="0" fontId="5" fillId="21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 wrapText="1"/>
    </xf>
    <xf numFmtId="165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 wrapText="1"/>
    </xf>
    <xf numFmtId="0" fontId="6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vertical="center" wrapText="1"/>
    </xf>
    <xf numFmtId="0" fontId="7" fillId="0" borderId="0" xfId="0" applyNumberFormat="1" applyFont="1" applyFill="1" applyBorder="1" applyAlignment="1" applyProtection="1">
      <alignment vertical="center"/>
    </xf>
    <xf numFmtId="11" fontId="0" fillId="0" borderId="0" xfId="0" applyNumberFormat="1" applyFont="1" applyAlignment="1">
      <alignment vertical="center"/>
    </xf>
    <xf numFmtId="0" fontId="42" fillId="0" borderId="0" xfId="0" applyNumberFormat="1" applyFont="1" applyFill="1" applyBorder="1" applyAlignment="1" applyProtection="1">
      <alignment horizontal="center" vertical="center"/>
    </xf>
    <xf numFmtId="0" fontId="43" fillId="0" borderId="0" xfId="0" applyNumberFormat="1" applyFont="1" applyFill="1" applyBorder="1" applyAlignment="1" applyProtection="1">
      <alignment horizontal="center" vertical="center"/>
    </xf>
    <xf numFmtId="0" fontId="6" fillId="0" borderId="6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9" fontId="17" fillId="0" borderId="0" xfId="2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0" fontId="0" fillId="0" borderId="2" xfId="0" applyFont="1" applyFill="1" applyBorder="1" applyAlignment="1">
      <alignment vertical="center"/>
    </xf>
    <xf numFmtId="0" fontId="45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8" xfId="0" applyFont="1" applyFill="1" applyBorder="1" applyAlignment="1">
      <alignment vertical="center"/>
    </xf>
    <xf numFmtId="38" fontId="12" fillId="0" borderId="0" xfId="0" applyNumberFormat="1" applyFont="1"/>
    <xf numFmtId="38" fontId="12" fillId="0" borderId="0" xfId="0" applyNumberFormat="1" applyFont="1" applyFill="1"/>
    <xf numFmtId="38" fontId="47" fillId="0" borderId="0" xfId="0" applyNumberFormat="1" applyFont="1" applyFill="1"/>
    <xf numFmtId="38" fontId="47" fillId="0" borderId="0" xfId="0" applyNumberFormat="1" applyFont="1" applyBorder="1"/>
    <xf numFmtId="38" fontId="12" fillId="0" borderId="0" xfId="0" applyNumberFormat="1" applyFont="1" applyAlignment="1">
      <alignment horizontal="left"/>
    </xf>
    <xf numFmtId="38" fontId="47" fillId="0" borderId="0" xfId="0" applyNumberFormat="1" applyFont="1" applyFill="1" applyAlignment="1">
      <alignment horizontal="center"/>
    </xf>
    <xf numFmtId="38" fontId="12" fillId="0" borderId="0" xfId="0" applyNumberFormat="1" applyFont="1" applyFill="1" applyAlignment="1">
      <alignment horizontal="center"/>
    </xf>
    <xf numFmtId="38" fontId="47" fillId="0" borderId="0" xfId="0" applyNumberFormat="1" applyFont="1" applyFill="1" applyBorder="1"/>
    <xf numFmtId="2" fontId="5" fillId="7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166" fontId="17" fillId="0" borderId="0" xfId="2" applyNumberFormat="1" applyFont="1" applyAlignment="1">
      <alignment horizontal="center" vertical="center"/>
    </xf>
    <xf numFmtId="38" fontId="17" fillId="0" borderId="0" xfId="0" applyNumberFormat="1" applyFont="1" applyAlignment="1">
      <alignment horizontal="center" vertical="center"/>
    </xf>
    <xf numFmtId="170" fontId="17" fillId="0" borderId="0" xfId="0" applyNumberFormat="1" applyFont="1" applyAlignment="1">
      <alignment horizontal="center" vertical="center"/>
    </xf>
    <xf numFmtId="0" fontId="49" fillId="0" borderId="0" xfId="0" applyFont="1" applyAlignment="1">
      <alignment vertical="center"/>
    </xf>
    <xf numFmtId="0" fontId="0" fillId="0" borderId="0" xfId="0" applyFont="1" applyBorder="1"/>
    <xf numFmtId="0" fontId="0" fillId="0" borderId="0" xfId="0"/>
    <xf numFmtId="166" fontId="17" fillId="8" borderId="0" xfId="2" applyNumberFormat="1" applyFont="1" applyFill="1" applyAlignment="1">
      <alignment horizontal="center" vertical="center"/>
    </xf>
    <xf numFmtId="38" fontId="17" fillId="8" borderId="0" xfId="0" applyNumberFormat="1" applyFont="1" applyFill="1" applyAlignment="1">
      <alignment horizontal="center" vertical="center"/>
    </xf>
    <xf numFmtId="164" fontId="5" fillId="0" borderId="123" xfId="0" applyNumberFormat="1" applyFont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64" fontId="17" fillId="7" borderId="18" xfId="0" applyNumberFormat="1" applyFont="1" applyFill="1" applyBorder="1" applyAlignment="1">
      <alignment horizontal="center" vertical="center"/>
    </xf>
    <xf numFmtId="9" fontId="0" fillId="8" borderId="0" xfId="0" applyNumberFormat="1" applyFont="1" applyFill="1" applyAlignment="1">
      <alignment horizontal="center" vertical="center"/>
    </xf>
    <xf numFmtId="164" fontId="17" fillId="7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64" fontId="17" fillId="7" borderId="6" xfId="0" applyNumberFormat="1" applyFont="1" applyFill="1" applyBorder="1" applyAlignment="1">
      <alignment horizontal="center" vertical="center"/>
    </xf>
    <xf numFmtId="165" fontId="0" fillId="0" borderId="0" xfId="0" applyNumberFormat="1" applyFont="1" applyAlignment="1">
      <alignment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51" fillId="5" borderId="0" xfId="0" applyFont="1" applyFill="1"/>
    <xf numFmtId="0" fontId="50" fillId="5" borderId="0" xfId="0" applyFont="1" applyFill="1"/>
    <xf numFmtId="0" fontId="0" fillId="5" borderId="0" xfId="0" applyFont="1" applyFill="1" applyAlignment="1">
      <alignment vertical="center"/>
    </xf>
    <xf numFmtId="0" fontId="3" fillId="4" borderId="123" xfId="0" applyFont="1" applyFill="1" applyBorder="1" applyAlignment="1">
      <alignment vertical="center"/>
    </xf>
    <xf numFmtId="0" fontId="3" fillId="4" borderId="123" xfId="0" applyFont="1" applyFill="1" applyBorder="1" applyAlignment="1">
      <alignment horizontal="center" vertical="center"/>
    </xf>
    <xf numFmtId="0" fontId="3" fillId="4" borderId="123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 wrapText="1"/>
    </xf>
    <xf numFmtId="165" fontId="0" fillId="0" borderId="0" xfId="0" applyNumberFormat="1"/>
    <xf numFmtId="166" fontId="0" fillId="0" borderId="0" xfId="0" applyNumberFormat="1" applyFont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Border="1" applyAlignment="1">
      <alignment vertical="center"/>
    </xf>
    <xf numFmtId="0" fontId="5" fillId="0" borderId="123" xfId="0" applyFont="1" applyBorder="1" applyAlignment="1">
      <alignment vertical="center"/>
    </xf>
    <xf numFmtId="0" fontId="52" fillId="0" borderId="0" xfId="0" applyFont="1"/>
    <xf numFmtId="0" fontId="0" fillId="0" borderId="0" xfId="0"/>
    <xf numFmtId="0" fontId="50" fillId="22" borderId="124" xfId="0" applyFont="1" applyFill="1" applyBorder="1" applyAlignment="1">
      <alignment horizontal="left" vertical="center"/>
    </xf>
    <xf numFmtId="0" fontId="0" fillId="23" borderId="0" xfId="0" applyFill="1"/>
    <xf numFmtId="0" fontId="0" fillId="23" borderId="0" xfId="0" quotePrefix="1" applyFill="1"/>
    <xf numFmtId="0" fontId="42" fillId="23" borderId="0" xfId="0" applyFont="1" applyFill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17" fillId="14" borderId="125" xfId="0" applyFont="1" applyFill="1" applyBorder="1" applyAlignment="1">
      <alignment horizontal="left" vertical="center" wrapText="1"/>
    </xf>
    <xf numFmtId="0" fontId="17" fillId="14" borderId="125" xfId="0" applyFont="1" applyFill="1" applyBorder="1" applyAlignment="1">
      <alignment horizontal="left" vertical="center"/>
    </xf>
    <xf numFmtId="0" fontId="17" fillId="14" borderId="6" xfId="0" applyFont="1" applyFill="1" applyBorder="1" applyAlignment="1">
      <alignment horizontal="left" vertical="center" wrapText="1"/>
    </xf>
    <xf numFmtId="0" fontId="4" fillId="23" borderId="0" xfId="0" applyFont="1" applyFill="1"/>
    <xf numFmtId="0" fontId="5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7" fillId="14" borderId="123" xfId="0" applyFont="1" applyFill="1" applyBorder="1" applyAlignment="1">
      <alignment horizontal="left" vertical="center" wrapText="1"/>
    </xf>
    <xf numFmtId="0" fontId="17" fillId="14" borderId="123" xfId="0" applyFont="1" applyFill="1" applyBorder="1" applyAlignment="1">
      <alignment horizontal="left" vertical="center"/>
    </xf>
    <xf numFmtId="0" fontId="53" fillId="23" borderId="0" xfId="0" applyFont="1" applyFill="1"/>
    <xf numFmtId="0" fontId="17" fillId="23" borderId="0" xfId="0" applyFont="1" applyFill="1" applyAlignment="1">
      <alignment horizontal="left" vertical="center"/>
    </xf>
    <xf numFmtId="0" fontId="0" fillId="23" borderId="0" xfId="0" applyFont="1" applyFill="1"/>
    <xf numFmtId="0" fontId="4" fillId="23" borderId="0" xfId="0" applyFont="1" applyFill="1" applyBorder="1"/>
    <xf numFmtId="0" fontId="0" fillId="23" borderId="0" xfId="0" applyFill="1" applyAlignment="1">
      <alignment horizontal="left"/>
    </xf>
    <xf numFmtId="0" fontId="0" fillId="0" borderId="0" xfId="0" applyAlignment="1">
      <alignment horizontal="left"/>
    </xf>
    <xf numFmtId="0" fontId="0" fillId="23" borderId="0" xfId="0" applyFill="1" applyAlignment="1">
      <alignment horizontal="left" indent="1"/>
    </xf>
    <xf numFmtId="0" fontId="0" fillId="23" borderId="0" xfId="0" applyFont="1" applyFill="1" applyAlignment="1">
      <alignment vertical="center"/>
    </xf>
    <xf numFmtId="0" fontId="0" fillId="23" borderId="0" xfId="0" applyFont="1" applyFill="1" applyBorder="1" applyAlignment="1">
      <alignment vertical="center"/>
    </xf>
    <xf numFmtId="0" fontId="53" fillId="23" borderId="0" xfId="0" applyFont="1" applyFill="1" applyBorder="1"/>
    <xf numFmtId="2" fontId="17" fillId="14" borderId="123" xfId="0" applyNumberFormat="1" applyFont="1" applyFill="1" applyBorder="1" applyAlignment="1">
      <alignment horizontal="left" vertical="center"/>
    </xf>
    <xf numFmtId="0" fontId="1" fillId="23" borderId="0" xfId="0" applyFont="1" applyFill="1" applyAlignment="1">
      <alignment vertical="center"/>
    </xf>
    <xf numFmtId="165" fontId="0" fillId="23" borderId="0" xfId="0" applyNumberFormat="1" applyFill="1" applyBorder="1" applyAlignment="1">
      <alignment vertical="center"/>
    </xf>
    <xf numFmtId="165" fontId="0" fillId="23" borderId="0" xfId="0" applyNumberFormat="1" applyFill="1" applyAlignment="1">
      <alignment vertical="center"/>
    </xf>
    <xf numFmtId="0" fontId="1" fillId="23" borderId="0" xfId="0" applyFont="1" applyFill="1" applyBorder="1" applyAlignment="1">
      <alignment vertical="center"/>
    </xf>
    <xf numFmtId="0" fontId="0" fillId="23" borderId="0" xfId="0" applyFill="1" applyBorder="1" applyAlignment="1">
      <alignment vertical="center"/>
    </xf>
    <xf numFmtId="165" fontId="0" fillId="23" borderId="0" xfId="0" applyNumberFormat="1" applyFont="1" applyFill="1" applyAlignment="1">
      <alignment vertical="center"/>
    </xf>
    <xf numFmtId="0" fontId="17" fillId="23" borderId="0" xfId="0" applyFont="1" applyFill="1" applyAlignment="1">
      <alignment vertical="center"/>
    </xf>
    <xf numFmtId="0" fontId="5" fillId="23" borderId="0" xfId="0" applyFont="1" applyFill="1" applyAlignment="1">
      <alignment vertical="center"/>
    </xf>
    <xf numFmtId="0" fontId="17" fillId="23" borderId="0" xfId="0" applyFont="1" applyFill="1" applyBorder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7" fillId="3" borderId="114" xfId="0" applyFont="1" applyFill="1" applyBorder="1" applyAlignment="1">
      <alignment vertical="center"/>
    </xf>
    <xf numFmtId="165" fontId="0" fillId="23" borderId="0" xfId="0" applyNumberFormat="1" applyFill="1"/>
    <xf numFmtId="0" fontId="17" fillId="9" borderId="123" xfId="0" applyFont="1" applyFill="1" applyBorder="1" applyAlignment="1">
      <alignment vertical="center"/>
    </xf>
    <xf numFmtId="2" fontId="17" fillId="9" borderId="123" xfId="0" applyNumberFormat="1" applyFont="1" applyFill="1" applyBorder="1" applyAlignment="1"/>
    <xf numFmtId="0" fontId="17" fillId="0" borderId="0" xfId="2" applyNumberFormat="1" applyFont="1" applyAlignment="1">
      <alignment horizontal="center" vertical="center"/>
    </xf>
    <xf numFmtId="0" fontId="7" fillId="3" borderId="114" xfId="0" applyFont="1" applyFill="1" applyBorder="1" applyAlignment="1">
      <alignment horizontal="center" vertical="center"/>
    </xf>
    <xf numFmtId="1" fontId="17" fillId="0" borderId="18" xfId="0" applyNumberFormat="1" applyFont="1" applyBorder="1" applyAlignment="1">
      <alignment horizontal="center" vertical="center"/>
    </xf>
    <xf numFmtId="1" fontId="17" fillId="0" borderId="0" xfId="0" applyNumberFormat="1" applyFont="1" applyBorder="1" applyAlignment="1">
      <alignment horizontal="center" vertical="center"/>
    </xf>
    <xf numFmtId="1" fontId="17" fillId="0" borderId="6" xfId="0" applyNumberFormat="1" applyFont="1" applyBorder="1" applyAlignment="1">
      <alignment horizontal="center" vertical="center"/>
    </xf>
    <xf numFmtId="1" fontId="26" fillId="0" borderId="123" xfId="0" applyNumberFormat="1" applyFont="1" applyBorder="1" applyAlignment="1">
      <alignment horizontal="center" vertical="center"/>
    </xf>
    <xf numFmtId="1" fontId="26" fillId="0" borderId="2" xfId="0" applyNumberFormat="1" applyFont="1" applyBorder="1" applyAlignment="1">
      <alignment horizontal="center" vertical="center"/>
    </xf>
    <xf numFmtId="0" fontId="0" fillId="13" borderId="0" xfId="0" applyFill="1" applyAlignment="1">
      <alignment horizontal="left"/>
    </xf>
    <xf numFmtId="0" fontId="0" fillId="13" borderId="0" xfId="0" applyFill="1"/>
    <xf numFmtId="0" fontId="4" fillId="13" borderId="0" xfId="0" applyFont="1" applyFill="1" applyBorder="1"/>
    <xf numFmtId="0" fontId="53" fillId="13" borderId="0" xfId="0" applyFont="1" applyFill="1"/>
    <xf numFmtId="0" fontId="1" fillId="13" borderId="0" xfId="0" applyFont="1" applyFill="1" applyAlignment="1">
      <alignment vertical="center"/>
    </xf>
    <xf numFmtId="0" fontId="1" fillId="13" borderId="0" xfId="0" applyFont="1" applyFill="1" applyBorder="1" applyAlignment="1">
      <alignment vertical="center"/>
    </xf>
    <xf numFmtId="0" fontId="17" fillId="13" borderId="0" xfId="0" applyFont="1" applyFill="1" applyBorder="1" applyAlignment="1">
      <alignment vertical="center"/>
    </xf>
    <xf numFmtId="164" fontId="17" fillId="13" borderId="0" xfId="0" applyNumberFormat="1" applyFont="1" applyFill="1" applyBorder="1" applyAlignment="1">
      <alignment horizontal="center" vertical="center"/>
    </xf>
    <xf numFmtId="38" fontId="47" fillId="0" borderId="29" xfId="8" applyNumberFormat="1" applyFont="1" applyBorder="1" applyAlignment="1">
      <alignment horizontal="center" textRotation="90" wrapText="1"/>
    </xf>
    <xf numFmtId="38" fontId="47" fillId="0" borderId="28" xfId="8" applyNumberFormat="1" applyFont="1" applyBorder="1" applyAlignment="1">
      <alignment horizontal="center" textRotation="90" wrapText="1"/>
    </xf>
    <xf numFmtId="38" fontId="47" fillId="0" borderId="30" xfId="8" applyNumberFormat="1" applyFont="1" applyBorder="1" applyAlignment="1">
      <alignment horizontal="center" textRotation="90" wrapText="1"/>
    </xf>
    <xf numFmtId="38" fontId="47" fillId="0" borderId="25" xfId="8" applyNumberFormat="1" applyFont="1" applyBorder="1" applyAlignment="1">
      <alignment horizontal="center" wrapText="1"/>
    </xf>
    <xf numFmtId="38" fontId="46" fillId="0" borderId="0" xfId="8" applyNumberFormat="1" applyFont="1" applyAlignment="1">
      <alignment horizontal="left" wrapText="1"/>
    </xf>
    <xf numFmtId="38" fontId="47" fillId="0" borderId="26" xfId="8" applyNumberFormat="1" applyFont="1" applyBorder="1" applyAlignment="1">
      <alignment horizontal="center" textRotation="90" wrapText="1"/>
    </xf>
    <xf numFmtId="38" fontId="47" fillId="0" borderId="0" xfId="8" applyNumberFormat="1" applyFont="1" applyAlignment="1">
      <alignment horizontal="center"/>
    </xf>
    <xf numFmtId="38" fontId="12" fillId="0" borderId="0" xfId="8" applyNumberFormat="1" applyFont="1" applyAlignment="1">
      <alignment horizontal="center"/>
    </xf>
    <xf numFmtId="38" fontId="47" fillId="0" borderId="27" xfId="8" applyNumberFormat="1" applyFont="1" applyBorder="1" applyAlignment="1">
      <alignment horizontal="center" textRotation="90" wrapText="1"/>
    </xf>
    <xf numFmtId="38" fontId="47" fillId="0" borderId="36" xfId="8" applyNumberFormat="1" applyFont="1" applyBorder="1" applyAlignment="1">
      <alignment horizontal="center"/>
    </xf>
    <xf numFmtId="38" fontId="47" fillId="0" borderId="46" xfId="8" applyNumberFormat="1" applyFont="1" applyBorder="1" applyAlignment="1">
      <alignment horizontal="center"/>
    </xf>
    <xf numFmtId="38" fontId="47" fillId="0" borderId="54" xfId="8" applyNumberFormat="1" applyFont="1" applyBorder="1" applyAlignment="1">
      <alignment horizontal="center"/>
    </xf>
    <xf numFmtId="38" fontId="47" fillId="0" borderId="18" xfId="8" applyNumberFormat="1" applyFont="1" applyBorder="1" applyAlignment="1">
      <alignment horizontal="center"/>
    </xf>
    <xf numFmtId="38" fontId="47" fillId="0" borderId="2" xfId="8" applyNumberFormat="1" applyFont="1" applyBorder="1" applyAlignment="1">
      <alignment horizontal="center"/>
    </xf>
    <xf numFmtId="38" fontId="47" fillId="0" borderId="63" xfId="8" applyNumberFormat="1" applyFont="1" applyBorder="1" applyAlignment="1">
      <alignment horizontal="center"/>
    </xf>
    <xf numFmtId="38" fontId="12" fillId="0" borderId="78" xfId="8" applyNumberFormat="1" applyFont="1" applyBorder="1" applyAlignment="1">
      <alignment horizontal="center"/>
    </xf>
    <xf numFmtId="38" fontId="12" fillId="0" borderId="46" xfId="8" applyNumberFormat="1" applyFont="1" applyBorder="1" applyAlignment="1">
      <alignment horizontal="center"/>
    </xf>
    <xf numFmtId="38" fontId="12" fillId="0" borderId="88" xfId="8" applyNumberFormat="1" applyFont="1" applyBorder="1" applyAlignment="1">
      <alignment horizontal="center"/>
    </xf>
    <xf numFmtId="38" fontId="47" fillId="0" borderId="95" xfId="8" applyNumberFormat="1" applyFont="1" applyBorder="1" applyAlignment="1">
      <alignment horizontal="center"/>
    </xf>
    <xf numFmtId="38" fontId="12" fillId="0" borderId="117" xfId="8" applyNumberFormat="1" applyFont="1" applyBorder="1" applyAlignment="1">
      <alignment horizontal="center"/>
    </xf>
    <xf numFmtId="38" fontId="60" fillId="0" borderId="102" xfId="8" applyNumberFormat="1" applyFont="1" applyBorder="1" applyAlignment="1">
      <alignment horizontal="center"/>
    </xf>
    <xf numFmtId="38" fontId="47" fillId="0" borderId="103" xfId="8" applyNumberFormat="1" applyFont="1" applyBorder="1" applyAlignment="1">
      <alignment horizontal="center"/>
    </xf>
    <xf numFmtId="38" fontId="12" fillId="0" borderId="105" xfId="8" applyNumberFormat="1" applyFont="1" applyBorder="1" applyAlignment="1">
      <alignment horizontal="center"/>
    </xf>
    <xf numFmtId="38" fontId="47" fillId="0" borderId="109" xfId="8" applyNumberFormat="1" applyFont="1" applyBorder="1" applyAlignment="1">
      <alignment horizontal="center"/>
    </xf>
    <xf numFmtId="38" fontId="12" fillId="0" borderId="82" xfId="8" applyNumberFormat="1" applyFont="1" applyBorder="1" applyAlignment="1">
      <alignment horizontal="center"/>
    </xf>
    <xf numFmtId="38" fontId="12" fillId="0" borderId="50" xfId="8" applyNumberFormat="1" applyFont="1" applyBorder="1" applyAlignment="1">
      <alignment horizontal="center"/>
    </xf>
    <xf numFmtId="38" fontId="12" fillId="0" borderId="92" xfId="8" applyNumberFormat="1" applyFont="1" applyBorder="1" applyAlignment="1">
      <alignment horizontal="center"/>
    </xf>
    <xf numFmtId="38" fontId="47" fillId="0" borderId="98" xfId="8" applyNumberFormat="1" applyFont="1" applyBorder="1" applyAlignment="1">
      <alignment horizontal="center"/>
    </xf>
    <xf numFmtId="38" fontId="47" fillId="0" borderId="8" xfId="8" applyNumberFormat="1" applyFont="1" applyBorder="1" applyAlignment="1">
      <alignment horizontal="center" textRotation="90" wrapText="1"/>
    </xf>
    <xf numFmtId="38" fontId="47" fillId="0" borderId="31" xfId="8" applyNumberFormat="1" applyFont="1" applyBorder="1" applyAlignment="1">
      <alignment horizontal="center" textRotation="90" wrapText="1"/>
    </xf>
    <xf numFmtId="38" fontId="47" fillId="0" borderId="32" xfId="8" applyNumberFormat="1" applyFont="1" applyBorder="1" applyAlignment="1">
      <alignment horizontal="center" textRotation="90" wrapText="1"/>
    </xf>
    <xf numFmtId="38" fontId="12" fillId="0" borderId="33" xfId="8" applyNumberFormat="1" applyFont="1" applyBorder="1" applyAlignment="1">
      <alignment horizontal="left"/>
    </xf>
    <xf numFmtId="38" fontId="47" fillId="0" borderId="34" xfId="8" applyNumberFormat="1" applyFont="1" applyBorder="1" applyAlignment="1">
      <alignment horizontal="center"/>
    </xf>
    <xf numFmtId="38" fontId="47" fillId="0" borderId="35" xfId="8" applyNumberFormat="1" applyFont="1" applyBorder="1" applyAlignment="1">
      <alignment horizontal="center"/>
    </xf>
    <xf numFmtId="38" fontId="47" fillId="0" borderId="37" xfId="8" applyNumberFormat="1" applyFont="1" applyBorder="1" applyAlignment="1">
      <alignment horizontal="center"/>
    </xf>
    <xf numFmtId="38" fontId="12" fillId="0" borderId="38" xfId="8" applyNumberFormat="1" applyFont="1" applyBorder="1" applyAlignment="1">
      <alignment horizontal="center"/>
    </xf>
    <xf numFmtId="38" fontId="47" fillId="0" borderId="39" xfId="8" applyNumberFormat="1" applyFont="1" applyBorder="1" applyAlignment="1">
      <alignment horizontal="center"/>
    </xf>
    <xf numFmtId="38" fontId="12" fillId="0" borderId="36" xfId="8" applyNumberFormat="1" applyFont="1" applyBorder="1" applyAlignment="1">
      <alignment horizontal="center"/>
    </xf>
    <xf numFmtId="38" fontId="12" fillId="0" borderId="37" xfId="8" applyNumberFormat="1" applyFont="1" applyBorder="1" applyAlignment="1">
      <alignment horizontal="center"/>
    </xf>
    <xf numFmtId="38" fontId="12" fillId="0" borderId="63" xfId="8" applyNumberFormat="1" applyFont="1" applyBorder="1" applyAlignment="1">
      <alignment horizontal="center"/>
    </xf>
    <xf numFmtId="38" fontId="12" fillId="0" borderId="40" xfId="8" applyNumberFormat="1" applyFont="1" applyBorder="1" applyAlignment="1">
      <alignment horizontal="center"/>
    </xf>
    <xf numFmtId="38" fontId="47" fillId="0" borderId="33" xfId="8" applyNumberFormat="1" applyFont="1" applyBorder="1" applyAlignment="1">
      <alignment horizontal="center"/>
    </xf>
    <xf numFmtId="38" fontId="12" fillId="0" borderId="41" xfId="8" applyNumberFormat="1" applyFont="1" applyBorder="1" applyAlignment="1">
      <alignment horizontal="center"/>
    </xf>
    <xf numFmtId="38" fontId="12" fillId="0" borderId="39" xfId="8" applyNumberFormat="1" applyFont="1" applyBorder="1" applyAlignment="1">
      <alignment horizontal="center"/>
    </xf>
    <xf numFmtId="38" fontId="12" fillId="0" borderId="42" xfId="8" applyNumberFormat="1" applyFont="1" applyBorder="1" applyAlignment="1">
      <alignment horizontal="center"/>
    </xf>
    <xf numFmtId="38" fontId="12" fillId="0" borderId="43" xfId="8" applyNumberFormat="1" applyFont="1" applyBorder="1" applyAlignment="1">
      <alignment horizontal="left"/>
    </xf>
    <xf numFmtId="38" fontId="47" fillId="0" borderId="44" xfId="8" applyNumberFormat="1" applyFont="1" applyBorder="1" applyAlignment="1">
      <alignment horizontal="center"/>
    </xf>
    <xf numFmtId="38" fontId="47" fillId="0" borderId="45" xfId="8" applyNumberFormat="1" applyFont="1" applyBorder="1" applyAlignment="1">
      <alignment horizontal="center"/>
    </xf>
    <xf numFmtId="38" fontId="47" fillId="0" borderId="47" xfId="8" applyNumberFormat="1" applyFont="1" applyBorder="1" applyAlignment="1">
      <alignment horizontal="center"/>
    </xf>
    <xf numFmtId="38" fontId="12" fillId="0" borderId="47" xfId="8" applyNumberFormat="1" applyFont="1" applyBorder="1" applyAlignment="1">
      <alignment horizontal="center"/>
    </xf>
    <xf numFmtId="38" fontId="47" fillId="0" borderId="48" xfId="8" applyNumberFormat="1" applyFont="1" applyBorder="1" applyAlignment="1">
      <alignment horizontal="center"/>
    </xf>
    <xf numFmtId="38" fontId="12" fillId="0" borderId="49" xfId="8" applyNumberFormat="1" applyFont="1" applyBorder="1" applyAlignment="1">
      <alignment horizontal="center"/>
    </xf>
    <xf numFmtId="38" fontId="47" fillId="0" borderId="43" xfId="8" applyNumberFormat="1" applyFont="1" applyBorder="1" applyAlignment="1">
      <alignment horizontal="center"/>
    </xf>
    <xf numFmtId="38" fontId="12" fillId="0" borderId="48" xfId="8" applyNumberFormat="1" applyFont="1" applyBorder="1" applyAlignment="1">
      <alignment horizontal="center"/>
    </xf>
    <xf numFmtId="38" fontId="12" fillId="0" borderId="51" xfId="8" applyNumberFormat="1" applyFont="1" applyBorder="1" applyAlignment="1">
      <alignment horizontal="center"/>
    </xf>
    <xf numFmtId="38" fontId="47" fillId="0" borderId="49" xfId="8" applyNumberFormat="1" applyFont="1" applyBorder="1" applyAlignment="1">
      <alignment horizontal="center"/>
    </xf>
    <xf numFmtId="38" fontId="12" fillId="0" borderId="52" xfId="8" applyNumberFormat="1" applyFont="1" applyBorder="1" applyAlignment="1">
      <alignment horizontal="left"/>
    </xf>
    <xf numFmtId="38" fontId="47" fillId="0" borderId="53" xfId="8" applyNumberFormat="1" applyFont="1" applyBorder="1" applyAlignment="1">
      <alignment horizontal="center"/>
    </xf>
    <xf numFmtId="38" fontId="12" fillId="0" borderId="55" xfId="8" applyNumberFormat="1" applyFont="1" applyBorder="1" applyAlignment="1">
      <alignment horizontal="center"/>
    </xf>
    <xf numFmtId="38" fontId="47" fillId="0" borderId="56" xfId="8" applyNumberFormat="1" applyFont="1" applyBorder="1" applyAlignment="1">
      <alignment horizontal="center"/>
    </xf>
    <xf numFmtId="38" fontId="12" fillId="0" borderId="54" xfId="8" applyNumberFormat="1" applyFont="1" applyBorder="1" applyAlignment="1">
      <alignment horizontal="center"/>
    </xf>
    <xf numFmtId="38" fontId="47" fillId="0" borderId="52" xfId="8" applyNumberFormat="1" applyFont="1" applyBorder="1" applyAlignment="1">
      <alignment horizontal="center"/>
    </xf>
    <xf numFmtId="38" fontId="12" fillId="0" borderId="57" xfId="8" applyNumberFormat="1" applyFont="1" applyBorder="1" applyAlignment="1">
      <alignment horizontal="center"/>
    </xf>
    <xf numFmtId="38" fontId="12" fillId="0" borderId="58" xfId="8" applyNumberFormat="1" applyFont="1" applyBorder="1" applyAlignment="1">
      <alignment horizontal="center"/>
    </xf>
    <xf numFmtId="38" fontId="12" fillId="0" borderId="56" xfId="8" applyNumberFormat="1" applyFont="1" applyBorder="1" applyAlignment="1">
      <alignment horizontal="center"/>
    </xf>
    <xf numFmtId="38" fontId="12" fillId="0" borderId="59" xfId="8" applyNumberFormat="1" applyFont="1" applyBorder="1" applyAlignment="1">
      <alignment horizontal="center"/>
    </xf>
    <xf numFmtId="38" fontId="47" fillId="0" borderId="18" xfId="8" applyNumberFormat="1" applyFont="1" applyBorder="1" applyAlignment="1">
      <alignment horizontal="left"/>
    </xf>
    <xf numFmtId="38" fontId="47" fillId="0" borderId="60" xfId="8" applyNumberFormat="1" applyFont="1" applyBorder="1" applyAlignment="1">
      <alignment horizontal="center"/>
    </xf>
    <xf numFmtId="38" fontId="47" fillId="0" borderId="61" xfId="8" applyNumberFormat="1" applyFont="1" applyBorder="1" applyAlignment="1">
      <alignment horizontal="center"/>
    </xf>
    <xf numFmtId="38" fontId="47" fillId="0" borderId="40" xfId="8" applyNumberFormat="1" applyFont="1" applyBorder="1" applyAlignment="1">
      <alignment horizontal="center"/>
    </xf>
    <xf numFmtId="38" fontId="47" fillId="0" borderId="62" xfId="8" applyNumberFormat="1" applyFont="1" applyBorder="1" applyAlignment="1">
      <alignment horizontal="center"/>
    </xf>
    <xf numFmtId="38" fontId="47" fillId="0" borderId="64" xfId="8" applyNumberFormat="1" applyFont="1" applyBorder="1" applyAlignment="1">
      <alignment horizontal="center"/>
    </xf>
    <xf numFmtId="38" fontId="47" fillId="0" borderId="65" xfId="8" applyNumberFormat="1" applyFont="1" applyBorder="1" applyAlignment="1">
      <alignment horizontal="center"/>
    </xf>
    <xf numFmtId="38" fontId="47" fillId="0" borderId="2" xfId="8" applyNumberFormat="1" applyFont="1" applyBorder="1" applyAlignment="1">
      <alignment horizontal="left"/>
    </xf>
    <xf numFmtId="38" fontId="47" fillId="0" borderId="66" xfId="8" applyNumberFormat="1" applyFont="1" applyBorder="1" applyAlignment="1">
      <alignment horizontal="center"/>
    </xf>
    <xf numFmtId="38" fontId="47" fillId="0" borderId="24" xfId="8" applyNumberFormat="1" applyFont="1" applyBorder="1" applyAlignment="1">
      <alignment horizontal="center"/>
    </xf>
    <xf numFmtId="38" fontId="47" fillId="0" borderId="67" xfId="8" applyNumberFormat="1" applyFont="1" applyBorder="1" applyAlignment="1">
      <alignment horizontal="center"/>
    </xf>
    <xf numFmtId="38" fontId="47" fillId="0" borderId="68" xfId="8" applyNumberFormat="1" applyFont="1" applyBorder="1" applyAlignment="1">
      <alignment horizontal="center"/>
    </xf>
    <xf numFmtId="38" fontId="47" fillId="0" borderId="69" xfId="8" applyNumberFormat="1" applyFont="1" applyBorder="1" applyAlignment="1">
      <alignment horizontal="center"/>
    </xf>
    <xf numFmtId="38" fontId="12" fillId="0" borderId="69" xfId="8" applyNumberFormat="1" applyFont="1" applyBorder="1" applyAlignment="1">
      <alignment horizontal="center"/>
    </xf>
    <xf numFmtId="38" fontId="47" fillId="0" borderId="70" xfId="8" applyNumberFormat="1" applyFont="1" applyBorder="1" applyAlignment="1">
      <alignment horizontal="center"/>
    </xf>
    <xf numFmtId="38" fontId="47" fillId="0" borderId="71" xfId="8" applyNumberFormat="1" applyFont="1" applyBorder="1" applyAlignment="1">
      <alignment horizontal="center"/>
    </xf>
    <xf numFmtId="38" fontId="47" fillId="0" borderId="72" xfId="8" applyNumberFormat="1" applyFont="1" applyBorder="1" applyAlignment="1">
      <alignment horizontal="center"/>
    </xf>
    <xf numFmtId="38" fontId="47" fillId="0" borderId="73" xfId="8" applyNumberFormat="1" applyFont="1" applyBorder="1" applyAlignment="1">
      <alignment horizontal="center"/>
    </xf>
    <xf numFmtId="38" fontId="47" fillId="0" borderId="74" xfId="8" applyNumberFormat="1" applyFont="1" applyBorder="1" applyAlignment="1">
      <alignment horizontal="center"/>
    </xf>
    <xf numFmtId="38" fontId="12" fillId="0" borderId="75" xfId="8" applyNumberFormat="1" applyFont="1" applyBorder="1" applyAlignment="1">
      <alignment horizontal="left"/>
    </xf>
    <xf numFmtId="38" fontId="47" fillId="0" borderId="76" xfId="8" applyNumberFormat="1" applyFont="1" applyBorder="1" applyAlignment="1">
      <alignment horizontal="center"/>
    </xf>
    <xf numFmtId="38" fontId="47" fillId="0" borderId="77" xfId="8" applyNumberFormat="1" applyFont="1" applyBorder="1" applyAlignment="1">
      <alignment horizontal="center"/>
    </xf>
    <xf numFmtId="38" fontId="12" fillId="0" borderId="79" xfId="8" applyNumberFormat="1" applyFont="1" applyBorder="1" applyAlignment="1">
      <alignment horizontal="center"/>
    </xf>
    <xf numFmtId="38" fontId="12" fillId="0" borderId="80" xfId="8" applyNumberFormat="1" applyFont="1" applyBorder="1" applyAlignment="1">
      <alignment horizontal="center"/>
    </xf>
    <xf numFmtId="38" fontId="47" fillId="0" borderId="81" xfId="8" applyNumberFormat="1" applyFont="1" applyBorder="1" applyAlignment="1">
      <alignment horizontal="center"/>
    </xf>
    <xf numFmtId="38" fontId="47" fillId="0" borderId="75" xfId="8" applyNumberFormat="1" applyFont="1" applyBorder="1" applyAlignment="1">
      <alignment horizontal="center"/>
    </xf>
    <xf numFmtId="38" fontId="12" fillId="0" borderId="81" xfId="8" applyNumberFormat="1" applyFont="1" applyBorder="1" applyAlignment="1">
      <alignment horizontal="center"/>
    </xf>
    <xf numFmtId="38" fontId="12" fillId="0" borderId="83" xfId="8" applyNumberFormat="1" applyFont="1" applyBorder="1" applyAlignment="1">
      <alignment horizontal="center"/>
    </xf>
    <xf numFmtId="38" fontId="12" fillId="0" borderId="84" xfId="8" applyNumberFormat="1" applyFont="1" applyBorder="1" applyAlignment="1">
      <alignment horizontal="center"/>
    </xf>
    <xf numFmtId="38" fontId="12" fillId="0" borderId="85" xfId="8" applyNumberFormat="1" applyFont="1" applyBorder="1" applyAlignment="1">
      <alignment horizontal="left"/>
    </xf>
    <xf numFmtId="38" fontId="47" fillId="0" borderId="86" xfId="8" applyNumberFormat="1" applyFont="1" applyBorder="1" applyAlignment="1">
      <alignment horizontal="center"/>
    </xf>
    <xf numFmtId="38" fontId="47" fillId="0" borderId="87" xfId="8" applyNumberFormat="1" applyFont="1" applyBorder="1" applyAlignment="1">
      <alignment horizontal="center"/>
    </xf>
    <xf numFmtId="38" fontId="12" fillId="0" borderId="89" xfId="8" applyNumberFormat="1" applyFont="1" applyBorder="1" applyAlignment="1">
      <alignment horizontal="center"/>
    </xf>
    <xf numFmtId="38" fontId="12" fillId="0" borderId="90" xfId="8" applyNumberFormat="1" applyFont="1" applyBorder="1" applyAlignment="1">
      <alignment horizontal="center"/>
    </xf>
    <xf numFmtId="38" fontId="47" fillId="0" borderId="91" xfId="8" applyNumberFormat="1" applyFont="1" applyBorder="1" applyAlignment="1">
      <alignment horizontal="center"/>
    </xf>
    <xf numFmtId="38" fontId="47" fillId="0" borderId="85" xfId="8" applyNumberFormat="1" applyFont="1" applyBorder="1" applyAlignment="1">
      <alignment horizontal="center"/>
    </xf>
    <xf numFmtId="38" fontId="12" fillId="0" borderId="91" xfId="8" applyNumberFormat="1" applyFont="1" applyBorder="1" applyAlignment="1">
      <alignment horizontal="center"/>
    </xf>
    <xf numFmtId="38" fontId="12" fillId="0" borderId="93" xfId="8" applyNumberFormat="1" applyFont="1" applyBorder="1" applyAlignment="1">
      <alignment horizontal="center"/>
    </xf>
    <xf numFmtId="38" fontId="47" fillId="0" borderId="0" xfId="8" applyNumberFormat="1" applyFont="1" applyAlignment="1">
      <alignment horizontal="left"/>
    </xf>
    <xf numFmtId="38" fontId="47" fillId="0" borderId="25" xfId="8" applyNumberFormat="1" applyFont="1" applyBorder="1" applyAlignment="1">
      <alignment horizontal="center"/>
    </xf>
    <xf numFmtId="38" fontId="47" fillId="0" borderId="94" xfId="8" applyNumberFormat="1" applyFont="1" applyBorder="1" applyAlignment="1">
      <alignment horizontal="center"/>
    </xf>
    <xf numFmtId="38" fontId="47" fillId="0" borderId="96" xfId="8" applyNumberFormat="1" applyFont="1" applyBorder="1" applyAlignment="1">
      <alignment horizontal="center"/>
    </xf>
    <xf numFmtId="38" fontId="47" fillId="0" borderId="97" xfId="8" applyNumberFormat="1" applyFont="1" applyBorder="1" applyAlignment="1">
      <alignment horizontal="center"/>
    </xf>
    <xf numFmtId="38" fontId="47" fillId="0" borderId="15" xfId="8" applyNumberFormat="1" applyFont="1" applyBorder="1" applyAlignment="1">
      <alignment horizontal="center"/>
    </xf>
    <xf numFmtId="38" fontId="47" fillId="0" borderId="16" xfId="8" applyNumberFormat="1" applyFont="1" applyBorder="1" applyAlignment="1">
      <alignment horizontal="center"/>
    </xf>
    <xf numFmtId="38" fontId="47" fillId="0" borderId="99" xfId="8" applyNumberFormat="1" applyFont="1" applyBorder="1" applyAlignment="1">
      <alignment horizontal="center"/>
    </xf>
    <xf numFmtId="38" fontId="12" fillId="0" borderId="100" xfId="8" applyNumberFormat="1" applyFont="1" applyBorder="1" applyAlignment="1">
      <alignment horizontal="center"/>
    </xf>
    <xf numFmtId="1" fontId="12" fillId="0" borderId="48" xfId="8" applyNumberFormat="1" applyFont="1" applyBorder="1" applyAlignment="1">
      <alignment horizontal="center"/>
    </xf>
    <xf numFmtId="38" fontId="47" fillId="0" borderId="114" xfId="8" applyNumberFormat="1" applyFont="1" applyBorder="1" applyAlignment="1">
      <alignment horizontal="left"/>
    </xf>
    <xf numFmtId="38" fontId="47" fillId="0" borderId="115" xfId="8" applyNumberFormat="1" applyFont="1" applyBorder="1" applyAlignment="1">
      <alignment horizontal="center"/>
    </xf>
    <xf numFmtId="38" fontId="47" fillId="0" borderId="116" xfId="8" applyNumberFormat="1" applyFont="1" applyBorder="1" applyAlignment="1">
      <alignment horizontal="center"/>
    </xf>
    <xf numFmtId="38" fontId="12" fillId="0" borderId="118" xfId="8" applyNumberFormat="1" applyFont="1" applyBorder="1" applyAlignment="1">
      <alignment horizontal="center"/>
    </xf>
    <xf numFmtId="38" fontId="12" fillId="0" borderId="119" xfId="8" applyNumberFormat="1" applyFont="1" applyBorder="1" applyAlignment="1">
      <alignment horizontal="center"/>
    </xf>
    <xf numFmtId="38" fontId="47" fillId="0" borderId="120" xfId="8" applyNumberFormat="1" applyFont="1" applyBorder="1" applyAlignment="1">
      <alignment horizontal="center"/>
    </xf>
    <xf numFmtId="38" fontId="47" fillId="0" borderId="114" xfId="8" applyNumberFormat="1" applyFont="1" applyBorder="1" applyAlignment="1">
      <alignment horizontal="center"/>
    </xf>
    <xf numFmtId="38" fontId="12" fillId="0" borderId="121" xfId="8" applyNumberFormat="1" applyFont="1" applyBorder="1" applyAlignment="1">
      <alignment horizontal="center"/>
    </xf>
    <xf numFmtId="38" fontId="12" fillId="0" borderId="98" xfId="8" applyNumberFormat="1" applyFont="1" applyBorder="1" applyAlignment="1">
      <alignment horizontal="center"/>
    </xf>
    <xf numFmtId="38" fontId="12" fillId="0" borderId="120" xfId="8" applyNumberFormat="1" applyFont="1" applyBorder="1" applyAlignment="1">
      <alignment horizontal="center"/>
    </xf>
    <xf numFmtId="38" fontId="12" fillId="0" borderId="122" xfId="8" applyNumberFormat="1" applyFont="1" applyBorder="1" applyAlignment="1">
      <alignment horizontal="center"/>
    </xf>
    <xf numFmtId="38" fontId="47" fillId="0" borderId="101" xfId="8" applyNumberFormat="1" applyFont="1" applyBorder="1" applyAlignment="1">
      <alignment horizontal="center"/>
    </xf>
    <xf numFmtId="38" fontId="47" fillId="0" borderId="79" xfId="8" applyNumberFormat="1" applyFont="1" applyBorder="1" applyAlignment="1">
      <alignment horizontal="center"/>
    </xf>
    <xf numFmtId="38" fontId="12" fillId="0" borderId="75" xfId="8" applyNumberFormat="1" applyFont="1" applyBorder="1" applyAlignment="1">
      <alignment horizontal="center"/>
    </xf>
    <xf numFmtId="38" fontId="12" fillId="0" borderId="0" xfId="8" applyNumberFormat="1" applyFont="1" applyAlignment="1">
      <alignment horizontal="left"/>
    </xf>
    <xf numFmtId="38" fontId="47" fillId="0" borderId="11" xfId="8" applyNumberFormat="1" applyFont="1" applyBorder="1" applyAlignment="1">
      <alignment horizontal="center"/>
    </xf>
    <xf numFmtId="38" fontId="12" fillId="0" borderId="97" xfId="8" applyNumberFormat="1" applyFont="1" applyBorder="1" applyAlignment="1">
      <alignment horizontal="center"/>
    </xf>
    <xf numFmtId="38" fontId="12" fillId="0" borderId="96" xfId="8" applyNumberFormat="1" applyFont="1" applyBorder="1" applyAlignment="1">
      <alignment horizontal="center"/>
    </xf>
    <xf numFmtId="38" fontId="12" fillId="0" borderId="16" xfId="8" applyNumberFormat="1" applyFont="1" applyBorder="1" applyAlignment="1">
      <alignment horizontal="center"/>
    </xf>
    <xf numFmtId="38" fontId="12" fillId="0" borderId="95" xfId="8" applyNumberFormat="1" applyFont="1" applyBorder="1" applyAlignment="1">
      <alignment horizontal="center"/>
    </xf>
    <xf numFmtId="38" fontId="12" fillId="0" borderId="15" xfId="8" applyNumberFormat="1" applyFont="1" applyBorder="1" applyAlignment="1">
      <alignment horizontal="center"/>
    </xf>
    <xf numFmtId="38" fontId="12" fillId="0" borderId="99" xfId="8" applyNumberFormat="1" applyFont="1" applyBorder="1" applyAlignment="1">
      <alignment horizontal="center"/>
    </xf>
    <xf numFmtId="38" fontId="47" fillId="0" borderId="104" xfId="8" applyNumberFormat="1" applyFont="1" applyBorder="1" applyAlignment="1">
      <alignment horizontal="center"/>
    </xf>
    <xf numFmtId="38" fontId="12" fillId="0" borderId="52" xfId="8" applyNumberFormat="1" applyFont="1" applyBorder="1" applyAlignment="1">
      <alignment horizontal="center"/>
    </xf>
    <xf numFmtId="38" fontId="47" fillId="0" borderId="106" xfId="8" applyNumberFormat="1" applyFont="1" applyBorder="1" applyAlignment="1">
      <alignment horizontal="left"/>
    </xf>
    <xf numFmtId="38" fontId="47" fillId="0" borderId="107" xfId="8" applyNumberFormat="1" applyFont="1" applyBorder="1" applyAlignment="1">
      <alignment horizontal="center"/>
    </xf>
    <xf numFmtId="38" fontId="47" fillId="0" borderId="108" xfId="8" applyNumberFormat="1" applyFont="1" applyBorder="1" applyAlignment="1">
      <alignment horizontal="center"/>
    </xf>
    <xf numFmtId="38" fontId="47" fillId="0" borderId="110" xfId="8" applyNumberFormat="1" applyFont="1" applyBorder="1" applyAlignment="1">
      <alignment horizontal="center"/>
    </xf>
    <xf numFmtId="38" fontId="47" fillId="0" borderId="111" xfId="8" applyNumberFormat="1" applyFont="1" applyBorder="1" applyAlignment="1">
      <alignment horizontal="center"/>
    </xf>
    <xf numFmtId="38" fontId="47" fillId="0" borderId="106" xfId="8" applyNumberFormat="1" applyFont="1" applyBorder="1" applyAlignment="1">
      <alignment horizontal="center"/>
    </xf>
    <xf numFmtId="38" fontId="47" fillId="0" borderId="112" xfId="8" applyNumberFormat="1" applyFont="1" applyBorder="1" applyAlignment="1">
      <alignment horizontal="center"/>
    </xf>
    <xf numFmtId="38" fontId="47" fillId="0" borderId="113" xfId="8" applyNumberFormat="1" applyFont="1" applyBorder="1" applyAlignment="1">
      <alignment horizontal="center"/>
    </xf>
    <xf numFmtId="38" fontId="47" fillId="0" borderId="126" xfId="8" applyNumberFormat="1" applyFont="1" applyBorder="1" applyAlignment="1">
      <alignment horizontal="center"/>
    </xf>
    <xf numFmtId="38" fontId="47" fillId="13" borderId="28" xfId="8" applyNumberFormat="1" applyFont="1" applyFill="1" applyBorder="1" applyAlignment="1">
      <alignment horizontal="center" textRotation="90" wrapText="1"/>
    </xf>
    <xf numFmtId="38" fontId="47" fillId="13" borderId="29" xfId="8" applyNumberFormat="1" applyFont="1" applyFill="1" applyBorder="1" applyAlignment="1">
      <alignment horizontal="center" textRotation="90" wrapText="1"/>
    </xf>
    <xf numFmtId="38" fontId="47" fillId="13" borderId="27" xfId="8" applyNumberFormat="1" applyFont="1" applyFill="1" applyBorder="1" applyAlignment="1">
      <alignment horizontal="center" textRotation="90" wrapText="1"/>
    </xf>
    <xf numFmtId="38" fontId="47" fillId="24" borderId="28" xfId="8" applyNumberFormat="1" applyFont="1" applyFill="1" applyBorder="1" applyAlignment="1">
      <alignment horizontal="center" textRotation="90" wrapText="1"/>
    </xf>
    <xf numFmtId="170" fontId="12" fillId="0" borderId="0" xfId="0" applyNumberFormat="1" applyFont="1" applyFill="1"/>
    <xf numFmtId="171" fontId="12" fillId="0" borderId="0" xfId="0" applyNumberFormat="1" applyFont="1" applyFill="1"/>
    <xf numFmtId="171" fontId="0" fillId="0" borderId="0" xfId="0" applyNumberFormat="1" applyFont="1" applyAlignment="1">
      <alignment vertical="center"/>
    </xf>
    <xf numFmtId="10" fontId="0" fillId="0" borderId="0" xfId="2" applyNumberFormat="1" applyFont="1" applyAlignment="1">
      <alignment vertical="center"/>
    </xf>
    <xf numFmtId="2" fontId="0" fillId="0" borderId="0" xfId="2" applyNumberFormat="1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164" fontId="17" fillId="0" borderId="18" xfId="0" applyNumberFormat="1" applyFont="1" applyBorder="1" applyAlignment="1">
      <alignment horizontal="center" vertical="center" wrapText="1"/>
    </xf>
    <xf numFmtId="164" fontId="17" fillId="0" borderId="0" xfId="0" applyNumberFormat="1" applyFont="1" applyBorder="1" applyAlignment="1">
      <alignment horizontal="center" vertical="center" wrapText="1"/>
    </xf>
    <xf numFmtId="164" fontId="17" fillId="0" borderId="6" xfId="0" applyNumberFormat="1" applyFont="1" applyBorder="1" applyAlignment="1">
      <alignment horizontal="center" vertical="center" wrapText="1"/>
    </xf>
    <xf numFmtId="0" fontId="17" fillId="9" borderId="123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10">
    <cellStyle name="2x indented GHG Textfiels" xfId="6" xr:uid="{F367AD60-CF4F-4F65-8FE0-7AC1E326128F}"/>
    <cellStyle name="Accent1" xfId="1" builtinId="29"/>
    <cellStyle name="Calculation" xfId="4" builtinId="22"/>
    <cellStyle name="Comma 2" xfId="7" xr:uid="{4ED46089-709F-4F1F-8F33-B1403B0430BD}"/>
    <cellStyle name="Good" xfId="3" builtinId="26"/>
    <cellStyle name="Normal" xfId="0" builtinId="0"/>
    <cellStyle name="Normal 2" xfId="5" xr:uid="{896CABAA-5062-453C-94CB-476FC98296E2}"/>
    <cellStyle name="Normal_2000balx" xfId="8" xr:uid="{58615571-6739-40F3-BCE5-17ED47C9D01D}"/>
    <cellStyle name="Percent" xfId="2" builtinId="5"/>
    <cellStyle name="Percent 2" xfId="9" xr:uid="{7A495003-52CA-4B03-BC70-B685A811E5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'SEAI-AEA_BioData'!$A$16</c:f>
              <c:strCache>
                <c:ptCount val="1"/>
                <c:pt idx="0">
                  <c:v>Table A. 4: Medium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'SEAI-AEA_BioData'!$J$23:$N$23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18.176172733352441</c:v>
                </c:pt>
                <c:pt idx="2">
                  <c:v>17.579057991783699</c:v>
                </c:pt>
                <c:pt idx="3">
                  <c:v>16.599789815610968</c:v>
                </c:pt>
                <c:pt idx="4">
                  <c:v>15.883252125728479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04-A363-2C5EADDCE506}"/>
            </c:ext>
          </c:extLst>
        </c:ser>
        <c:ser>
          <c:idx val="1"/>
          <c:order val="1"/>
          <c:tx>
            <c:strRef>
              <c:f>'SEAI-AEA_BioData'!$A$48</c:f>
              <c:strCache>
                <c:ptCount val="1"/>
                <c:pt idx="0">
                  <c:v>Table A. 7: Ambitious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'SEAI-AEA_BioData'!$J$55:$N$55</c:f>
              <c:numCache>
                <c:formatCode>0.0</c:formatCode>
                <c:ptCount val="5"/>
                <c:pt idx="0">
                  <c:v>18.606095347281933</c:v>
                </c:pt>
                <c:pt idx="1">
                  <c:v>20.636285468615647</c:v>
                </c:pt>
                <c:pt idx="2">
                  <c:v>22.714244769274863</c:v>
                </c:pt>
                <c:pt idx="3">
                  <c:v>25.174357504538072</c:v>
                </c:pt>
                <c:pt idx="4">
                  <c:v>28.757045953950509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04-A363-2C5EADDCE506}"/>
            </c:ext>
          </c:extLst>
        </c:ser>
        <c:ser>
          <c:idx val="2"/>
          <c:order val="2"/>
          <c:tx>
            <c:strRef>
              <c:f>'SEAI-AEA_BioData'!$A$26</c:f>
              <c:strCache>
                <c:ptCount val="1"/>
                <c:pt idx="0">
                  <c:v>Table A. 5: Ambitious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'SEAI-AEA_BioData'!$J$33:$N$33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18.916595012897677</c:v>
                </c:pt>
                <c:pt idx="2">
                  <c:v>19.083787140536923</c:v>
                </c:pt>
                <c:pt idx="3">
                  <c:v>18.916595012897677</c:v>
                </c:pt>
                <c:pt idx="4">
                  <c:v>19.131556319862423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04-A363-2C5EADDCE506}"/>
            </c:ext>
          </c:extLst>
        </c:ser>
        <c:ser>
          <c:idx val="3"/>
          <c:order val="3"/>
          <c:tx>
            <c:strRef>
              <c:f>'SEAI-AEA_BioData'!$A$37</c:f>
              <c:strCache>
                <c:ptCount val="1"/>
                <c:pt idx="0">
                  <c:v>Table A. 6: Medium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'SEAI-AEA_BioData'!$J$44:$N$44</c:f>
              <c:numCache>
                <c:formatCode>0.0</c:formatCode>
                <c:ptCount val="5"/>
                <c:pt idx="0">
                  <c:v>18.606095347281933</c:v>
                </c:pt>
                <c:pt idx="1">
                  <c:v>19.680901882105665</c:v>
                </c:pt>
                <c:pt idx="2">
                  <c:v>20.684054647941146</c:v>
                </c:pt>
                <c:pt idx="3">
                  <c:v>21.758861182764878</c:v>
                </c:pt>
                <c:pt idx="4">
                  <c:v>23.550205407471097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04-A363-2C5EADDCE506}"/>
            </c:ext>
          </c:extLst>
        </c:ser>
        <c:ser>
          <c:idx val="4"/>
          <c:order val="4"/>
          <c:tx>
            <c:strRef>
              <c:f>'SEAI-AEA_BioData'!$A$5</c:f>
              <c:strCache>
                <c:ptCount val="1"/>
                <c:pt idx="0">
                  <c:v>Table A. 3: Restricted supply/reference demand</c:v>
                </c:pt>
              </c:strCache>
            </c:strRef>
          </c:tx>
          <c:marker>
            <c:symbol val="none"/>
          </c:marker>
          <c:val>
            <c:numRef>
              <c:f>'SEAI-AEA_BioData'!$J$12:$N$12</c:f>
              <c:numCache>
                <c:formatCode>0.0</c:formatCode>
                <c:ptCount val="5"/>
                <c:pt idx="0">
                  <c:v>18.606095347281933</c:v>
                </c:pt>
                <c:pt idx="1">
                  <c:v>17.674596350434697</c:v>
                </c:pt>
                <c:pt idx="2">
                  <c:v>16.552020636285469</c:v>
                </c:pt>
                <c:pt idx="3">
                  <c:v>15.047291487532243</c:v>
                </c:pt>
                <c:pt idx="4">
                  <c:v>13.781408235406515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04-A363-2C5EADDC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42080"/>
        <c:axId val="196956160"/>
      </c:lineChart>
      <c:catAx>
        <c:axId val="1969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56160"/>
        <c:crosses val="autoZero"/>
        <c:auto val="1"/>
        <c:lblAlgn val="ctr"/>
        <c:lblOffset val="100"/>
        <c:noMultiLvlLbl val="0"/>
      </c:catAx>
      <c:valAx>
        <c:axId val="1969561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6942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36</xdr:row>
      <xdr:rowOff>96723</xdr:rowOff>
    </xdr:from>
    <xdr:to>
      <xdr:col>6</xdr:col>
      <xdr:colOff>466725</xdr:colOff>
      <xdr:row>60</xdr:row>
      <xdr:rowOff>113638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2E8AC-7424-4397-8FE4-C0C40773B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145223"/>
          <a:ext cx="6410325" cy="4893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84663</xdr:colOff>
      <xdr:row>3</xdr:row>
      <xdr:rowOff>10584</xdr:rowOff>
    </xdr:from>
    <xdr:to>
      <xdr:col>36</xdr:col>
      <xdr:colOff>201080</xdr:colOff>
      <xdr:row>19</xdr:row>
      <xdr:rowOff>191557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alyk, Olexandr" id="{7C4C8F66-ABE1-4B54-AB0B-7B0CD7FE4B47}" userId="Balyk, Olexand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2" dT="2021-02-10T13:17:04.18" personId="{7C4C8F66-ABE1-4B54-AB0B-7B0CD7FE4B47}" id="{DF35ABC3-9BB5-47E6-9E75-DAC846139278}">
    <text>to make shares sum up to 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8973-03EE-47B5-B88E-68B51CDC4391}">
  <sheetPr codeName="Sheet1"/>
  <dimension ref="B2:T97"/>
  <sheetViews>
    <sheetView zoomScale="80" zoomScaleNormal="80" workbookViewId="0">
      <selection activeCell="C24" sqref="C24"/>
    </sheetView>
  </sheetViews>
  <sheetFormatPr defaultRowHeight="15"/>
  <cols>
    <col min="2" max="2" width="23.28515625" bestFit="1" customWidth="1"/>
    <col min="3" max="3" width="46.7109375" bestFit="1" customWidth="1"/>
    <col min="4" max="4" width="1.5703125" bestFit="1" customWidth="1"/>
    <col min="5" max="5" width="20.85546875" customWidth="1"/>
    <col min="6" max="6" width="85.5703125" bestFit="1" customWidth="1"/>
    <col min="7" max="7" width="14.5703125" customWidth="1"/>
    <col min="8" max="8" width="8.85546875" bestFit="1" customWidth="1"/>
    <col min="9" max="9" width="9.7109375" bestFit="1" customWidth="1"/>
    <col min="10" max="10" width="18.85546875" bestFit="1" customWidth="1"/>
    <col min="11" max="11" width="9.7109375" bestFit="1" customWidth="1"/>
    <col min="12" max="12" width="1.5703125" bestFit="1" customWidth="1"/>
    <col min="13" max="13" width="27.42578125" bestFit="1" customWidth="1"/>
    <col min="14" max="14" width="35.7109375" bestFit="1" customWidth="1"/>
    <col min="16" max="16" width="19.140625" bestFit="1" customWidth="1"/>
    <col min="17" max="17" width="12.28515625" bestFit="1" customWidth="1"/>
  </cols>
  <sheetData>
    <row r="2" spans="2:18" ht="18.75">
      <c r="B2" s="292" t="s">
        <v>329</v>
      </c>
      <c r="C2" s="293"/>
      <c r="E2" s="292" t="s">
        <v>429</v>
      </c>
      <c r="F2" s="293"/>
      <c r="I2" s="292" t="s">
        <v>453</v>
      </c>
      <c r="J2" s="293"/>
      <c r="M2" s="292" t="s">
        <v>436</v>
      </c>
      <c r="N2" s="293"/>
      <c r="P2" s="292" t="s">
        <v>439</v>
      </c>
      <c r="Q2" s="293"/>
    </row>
    <row r="3" spans="2:18" ht="15.75" thickBot="1">
      <c r="B3" s="294" t="s">
        <v>330</v>
      </c>
      <c r="C3" s="294" t="s">
        <v>331</v>
      </c>
      <c r="E3" s="294" t="s">
        <v>330</v>
      </c>
      <c r="F3" s="294" t="s">
        <v>331</v>
      </c>
      <c r="I3" s="294" t="s">
        <v>330</v>
      </c>
      <c r="J3" s="294" t="s">
        <v>331</v>
      </c>
      <c r="M3" s="294" t="s">
        <v>330</v>
      </c>
      <c r="N3" s="294" t="s">
        <v>331</v>
      </c>
      <c r="P3" s="294" t="s">
        <v>330</v>
      </c>
      <c r="Q3" s="294" t="s">
        <v>331</v>
      </c>
    </row>
    <row r="4" spans="2:18">
      <c r="B4" s="295" t="s">
        <v>386</v>
      </c>
      <c r="C4" s="295" t="s">
        <v>387</v>
      </c>
      <c r="E4" s="295" t="s">
        <v>9</v>
      </c>
      <c r="F4" s="295" t="s">
        <v>480</v>
      </c>
      <c r="I4" s="295" t="s">
        <v>430</v>
      </c>
      <c r="J4" s="295" t="s">
        <v>454</v>
      </c>
      <c r="M4" s="295" t="s">
        <v>434</v>
      </c>
      <c r="N4" s="295" t="s">
        <v>437</v>
      </c>
      <c r="P4" s="295" t="s">
        <v>440</v>
      </c>
      <c r="Q4" s="295" t="s">
        <v>442</v>
      </c>
    </row>
    <row r="5" spans="2:18">
      <c r="B5" s="295" t="s">
        <v>332</v>
      </c>
      <c r="C5" s="295" t="s">
        <v>246</v>
      </c>
      <c r="E5" s="295" t="s">
        <v>13</v>
      </c>
      <c r="F5" s="295" t="s">
        <v>450</v>
      </c>
      <c r="I5" s="295" t="s">
        <v>455</v>
      </c>
      <c r="J5" s="295"/>
      <c r="M5" s="295" t="s">
        <v>435</v>
      </c>
      <c r="N5" s="295" t="s">
        <v>438</v>
      </c>
      <c r="P5" s="295" t="s">
        <v>441</v>
      </c>
      <c r="Q5" s="295" t="s">
        <v>443</v>
      </c>
    </row>
    <row r="6" spans="2:18" s="289" customFormat="1">
      <c r="B6" s="295"/>
      <c r="C6" s="295"/>
      <c r="E6" s="295" t="s">
        <v>64</v>
      </c>
      <c r="F6" s="295" t="s">
        <v>451</v>
      </c>
      <c r="I6" s="289" t="s">
        <v>481</v>
      </c>
      <c r="J6" s="289" t="s">
        <v>482</v>
      </c>
      <c r="M6" s="295"/>
      <c r="N6" s="295"/>
      <c r="P6" s="295"/>
      <c r="Q6" s="295"/>
    </row>
    <row r="7" spans="2:18">
      <c r="B7" s="295"/>
      <c r="C7" s="295"/>
      <c r="E7" s="295" t="s">
        <v>478</v>
      </c>
      <c r="F7" s="295" t="s">
        <v>479</v>
      </c>
      <c r="I7" s="295" t="s">
        <v>459</v>
      </c>
      <c r="J7" s="295" t="s">
        <v>463</v>
      </c>
      <c r="P7" s="293"/>
      <c r="Q7" s="293"/>
    </row>
    <row r="8" spans="2:18">
      <c r="B8" s="293"/>
      <c r="C8" s="293"/>
      <c r="E8" s="295" t="s">
        <v>452</v>
      </c>
      <c r="F8" s="295" t="s">
        <v>474</v>
      </c>
      <c r="I8" s="295" t="s">
        <v>460</v>
      </c>
      <c r="J8" s="295" t="s">
        <v>464</v>
      </c>
    </row>
    <row r="9" spans="2:18" s="293" customFormat="1">
      <c r="E9" s="295" t="s">
        <v>475</v>
      </c>
      <c r="F9" s="295" t="s">
        <v>476</v>
      </c>
      <c r="I9" s="293" t="s">
        <v>461</v>
      </c>
      <c r="J9" s="295" t="s">
        <v>465</v>
      </c>
    </row>
    <row r="10" spans="2:18" s="293" customFormat="1">
      <c r="I10" s="295" t="s">
        <v>462</v>
      </c>
      <c r="J10" s="295" t="s">
        <v>466</v>
      </c>
    </row>
    <row r="11" spans="2:18" ht="18.75">
      <c r="B11" s="292" t="s">
        <v>333</v>
      </c>
      <c r="C11" s="293"/>
      <c r="E11" s="292" t="s">
        <v>449</v>
      </c>
      <c r="F11" s="293"/>
      <c r="G11" s="293"/>
      <c r="H11" s="293"/>
      <c r="I11" s="293"/>
      <c r="J11" s="293"/>
      <c r="K11" s="293"/>
      <c r="L11" t="s">
        <v>410</v>
      </c>
      <c r="M11" s="292" t="s">
        <v>388</v>
      </c>
      <c r="N11" s="293"/>
    </row>
    <row r="12" spans="2:18" ht="15.75" thickBot="1">
      <c r="B12" s="294" t="s">
        <v>330</v>
      </c>
      <c r="C12" s="294" t="s">
        <v>331</v>
      </c>
      <c r="E12" s="294" t="s">
        <v>330</v>
      </c>
      <c r="F12" s="294" t="s">
        <v>331</v>
      </c>
      <c r="G12" s="294" t="s">
        <v>393</v>
      </c>
      <c r="H12" s="294" t="s">
        <v>394</v>
      </c>
      <c r="I12" s="294" t="s">
        <v>396</v>
      </c>
      <c r="J12" s="294" t="s">
        <v>431</v>
      </c>
      <c r="K12" s="294" t="s">
        <v>395</v>
      </c>
      <c r="M12" s="294" t="s">
        <v>330</v>
      </c>
      <c r="N12" s="294" t="s">
        <v>331</v>
      </c>
    </row>
    <row r="13" spans="2:18">
      <c r="B13" s="295" t="s">
        <v>334</v>
      </c>
      <c r="C13" s="295" t="s">
        <v>88</v>
      </c>
      <c r="E13" s="295" t="str">
        <f t="shared" ref="E13" si="0">I13&amp;H13&amp;J13</f>
        <v>IMPCOABIT</v>
      </c>
      <c r="F13" s="293" t="str">
        <f t="shared" ref="F13:F44" si="1">G13 &amp; " of " &amp; VLOOKUP(H13,$B$13:$C$92,2,FALSE) &amp; IF(J13&lt;&gt;0,IF(VLOOKUP(J13,$I$4:$J$10,2,FALSE)&lt;&gt;""," - " &amp; VLOOKUP(J13,$I$4:$J$10,2,FALSE),""),"")</f>
        <v xml:space="preserve">Import of Bituminous Coal </v>
      </c>
      <c r="G13" s="295" t="str">
        <f t="shared" ref="G13:G35" si="2">VLOOKUP(I13,$E$4:$F$9,2,FALSE)</f>
        <v>Import</v>
      </c>
      <c r="H13" s="295" t="str">
        <f>B46</f>
        <v>COABIT</v>
      </c>
      <c r="I13" s="295" t="str">
        <f t="shared" ref="I13:I44" si="3">$E$5</f>
        <v>IMP</v>
      </c>
      <c r="J13" s="296"/>
      <c r="K13" s="295" t="s">
        <v>13</v>
      </c>
      <c r="M13" s="295" t="s">
        <v>389</v>
      </c>
      <c r="N13" s="295" t="s">
        <v>444</v>
      </c>
    </row>
    <row r="14" spans="2:18">
      <c r="B14" s="295" t="s">
        <v>335</v>
      </c>
      <c r="C14" s="295" t="s">
        <v>336</v>
      </c>
      <c r="E14" s="295" t="str">
        <f>I14&amp;H14&amp;J14</f>
        <v>IMPCOAHAR</v>
      </c>
      <c r="F14" s="293" t="str">
        <f t="shared" si="1"/>
        <v xml:space="preserve">Import of Hard Coal / Antracite </v>
      </c>
      <c r="G14" s="295" t="str">
        <f t="shared" si="2"/>
        <v>Import</v>
      </c>
      <c r="H14" s="295" t="str">
        <f>B47</f>
        <v>COAHAR</v>
      </c>
      <c r="I14" s="295" t="str">
        <f t="shared" si="3"/>
        <v>IMP</v>
      </c>
      <c r="J14" s="296"/>
      <c r="K14" s="295" t="s">
        <v>13</v>
      </c>
      <c r="M14" s="295" t="s">
        <v>419</v>
      </c>
      <c r="N14" s="295" t="s">
        <v>445</v>
      </c>
    </row>
    <row r="15" spans="2:18">
      <c r="B15" s="295" t="s">
        <v>337</v>
      </c>
      <c r="C15" s="295" t="s">
        <v>338</v>
      </c>
      <c r="E15" s="295" t="str">
        <f t="shared" ref="E15:E16" si="4">I15&amp;H15&amp;J15</f>
        <v>IMPCOACOK</v>
      </c>
      <c r="F15" s="293" t="str">
        <f t="shared" si="1"/>
        <v xml:space="preserve">Import of Coke Coal </v>
      </c>
      <c r="G15" s="295" t="str">
        <f t="shared" si="2"/>
        <v>Import</v>
      </c>
      <c r="H15" s="295" t="str">
        <f>B48</f>
        <v>COACOK</v>
      </c>
      <c r="I15" s="295" t="str">
        <f t="shared" si="3"/>
        <v>IMP</v>
      </c>
      <c r="J15" s="296"/>
      <c r="K15" s="295" t="s">
        <v>13</v>
      </c>
      <c r="M15" s="295" t="s">
        <v>390</v>
      </c>
      <c r="N15" s="295" t="s">
        <v>446</v>
      </c>
    </row>
    <row r="16" spans="2:18">
      <c r="B16" s="295" t="s">
        <v>339</v>
      </c>
      <c r="C16" s="295" t="s">
        <v>340</v>
      </c>
      <c r="E16" s="295" t="str">
        <f t="shared" si="4"/>
        <v>IMPCOALIG</v>
      </c>
      <c r="F16" s="293" t="str">
        <f t="shared" si="1"/>
        <v xml:space="preserve">Import of Lignite /  Brown Coal </v>
      </c>
      <c r="G16" s="295" t="str">
        <f t="shared" si="2"/>
        <v>Import</v>
      </c>
      <c r="H16" s="295" t="str">
        <f>B49</f>
        <v>COALIG</v>
      </c>
      <c r="I16" s="295" t="str">
        <f t="shared" si="3"/>
        <v>IMP</v>
      </c>
      <c r="J16" s="296"/>
      <c r="K16" s="295" t="s">
        <v>13</v>
      </c>
      <c r="M16" s="295" t="s">
        <v>447</v>
      </c>
      <c r="N16" s="273" t="s">
        <v>448</v>
      </c>
      <c r="O16" s="293"/>
      <c r="P16" s="293"/>
      <c r="Q16" s="293"/>
      <c r="R16" s="293"/>
    </row>
    <row r="17" spans="2:14">
      <c r="B17" s="295" t="s">
        <v>341</v>
      </c>
      <c r="C17" s="295" t="s">
        <v>342</v>
      </c>
      <c r="E17" s="295" t="str">
        <f>I17&amp;H17&amp;J17</f>
        <v>IMPOILCRD</v>
      </c>
      <c r="F17" s="293" t="str">
        <f t="shared" si="1"/>
        <v xml:space="preserve">Import of Crude Oil </v>
      </c>
      <c r="G17" s="295" t="str">
        <f t="shared" si="2"/>
        <v>Import</v>
      </c>
      <c r="H17" s="295" t="str">
        <f>B51</f>
        <v>OILCRD</v>
      </c>
      <c r="I17" s="295" t="str">
        <f>$E$5</f>
        <v>IMP</v>
      </c>
      <c r="J17" s="296"/>
      <c r="K17" s="295" t="s">
        <v>13</v>
      </c>
      <c r="M17" s="295" t="s">
        <v>391</v>
      </c>
      <c r="N17" s="309" t="s">
        <v>415</v>
      </c>
    </row>
    <row r="18" spans="2:14">
      <c r="B18" s="295" t="s">
        <v>343</v>
      </c>
      <c r="C18" s="295" t="s">
        <v>344</v>
      </c>
      <c r="E18" s="295" t="str">
        <f>I18&amp;H18&amp;J18</f>
        <v>IMPOILKER</v>
      </c>
      <c r="F18" s="293" t="str">
        <f t="shared" si="1"/>
        <v xml:space="preserve">Import of Kerosene </v>
      </c>
      <c r="G18" s="295" t="str">
        <f t="shared" si="2"/>
        <v>Import</v>
      </c>
      <c r="H18" s="295" t="str">
        <f t="shared" ref="H18:H23" si="5">B53</f>
        <v>OILKER</v>
      </c>
      <c r="I18" s="295" t="str">
        <f t="shared" ref="I18:I24" si="6">$E$5</f>
        <v>IMP</v>
      </c>
      <c r="J18" s="296"/>
      <c r="K18" s="295" t="s">
        <v>13</v>
      </c>
      <c r="M18" s="295" t="s">
        <v>392</v>
      </c>
      <c r="N18" s="309" t="s">
        <v>416</v>
      </c>
    </row>
    <row r="19" spans="2:14">
      <c r="B19" s="295" t="s">
        <v>345</v>
      </c>
      <c r="C19" s="295" t="s">
        <v>87</v>
      </c>
      <c r="E19" s="295" t="str">
        <f>I19&amp;H19&amp;J19</f>
        <v>IMPOILHFO</v>
      </c>
      <c r="F19" s="293" t="str">
        <f t="shared" si="1"/>
        <v xml:space="preserve">Import of Heavy Fuel Oil </v>
      </c>
      <c r="G19" s="295" t="str">
        <f t="shared" si="2"/>
        <v>Import</v>
      </c>
      <c r="H19" s="295" t="str">
        <f t="shared" si="5"/>
        <v>OILHFO</v>
      </c>
      <c r="I19" s="295" t="str">
        <f t="shared" si="6"/>
        <v>IMP</v>
      </c>
      <c r="J19" s="296"/>
      <c r="K19" s="295" t="s">
        <v>13</v>
      </c>
      <c r="M19" s="295" t="s">
        <v>427</v>
      </c>
      <c r="N19" s="309" t="s">
        <v>428</v>
      </c>
    </row>
    <row r="20" spans="2:14">
      <c r="B20" s="295" t="s">
        <v>346</v>
      </c>
      <c r="C20" s="295" t="s">
        <v>347</v>
      </c>
      <c r="E20" s="295" t="str">
        <f>I20&amp;H20&amp;J20</f>
        <v>IMPOILDST</v>
      </c>
      <c r="F20" s="293" t="str">
        <f t="shared" si="1"/>
        <v xml:space="preserve">Import of Diesel Oil </v>
      </c>
      <c r="G20" s="295" t="str">
        <f t="shared" si="2"/>
        <v>Import</v>
      </c>
      <c r="H20" s="295" t="str">
        <f t="shared" si="5"/>
        <v>OILDST</v>
      </c>
      <c r="I20" s="295" t="str">
        <f t="shared" si="6"/>
        <v>IMP</v>
      </c>
      <c r="J20" s="296"/>
      <c r="K20" s="295" t="s">
        <v>13</v>
      </c>
      <c r="M20" s="295" t="s">
        <v>411</v>
      </c>
      <c r="N20" s="273" t="s">
        <v>414</v>
      </c>
    </row>
    <row r="21" spans="2:14">
      <c r="B21" s="295" t="s">
        <v>432</v>
      </c>
      <c r="C21" s="295" t="s">
        <v>433</v>
      </c>
      <c r="E21" s="295" t="str">
        <f t="shared" ref="E21:E22" si="7">I21&amp;H21&amp;J21</f>
        <v>IMPOILLPG</v>
      </c>
      <c r="F21" s="293" t="str">
        <f t="shared" si="1"/>
        <v xml:space="preserve">Import of Liquified Petroleum Gas </v>
      </c>
      <c r="G21" s="295" t="str">
        <f t="shared" si="2"/>
        <v>Import</v>
      </c>
      <c r="H21" s="295" t="str">
        <f t="shared" si="5"/>
        <v>OILLPG</v>
      </c>
      <c r="I21" s="295" t="str">
        <f t="shared" si="6"/>
        <v>IMP</v>
      </c>
      <c r="J21" s="296"/>
      <c r="K21" s="295" t="s">
        <v>13</v>
      </c>
      <c r="M21" s="295" t="s">
        <v>412</v>
      </c>
      <c r="N21" s="289" t="s">
        <v>417</v>
      </c>
    </row>
    <row r="22" spans="2:14">
      <c r="B22" s="295" t="s">
        <v>348</v>
      </c>
      <c r="C22" s="293" t="s">
        <v>349</v>
      </c>
      <c r="E22" s="295" t="str">
        <f t="shared" si="7"/>
        <v>IMPOILGSL</v>
      </c>
      <c r="F22" s="293" t="str">
        <f t="shared" si="1"/>
        <v xml:space="preserve">Import of Gasoline </v>
      </c>
      <c r="G22" s="295" t="str">
        <f t="shared" si="2"/>
        <v>Import</v>
      </c>
      <c r="H22" s="295" t="str">
        <f t="shared" si="5"/>
        <v>OILGSL</v>
      </c>
      <c r="I22" s="295" t="str">
        <f t="shared" si="6"/>
        <v>IMP</v>
      </c>
      <c r="J22" s="296"/>
      <c r="K22" s="295" t="s">
        <v>13</v>
      </c>
      <c r="M22" s="295" t="s">
        <v>413</v>
      </c>
      <c r="N22" s="289" t="s">
        <v>418</v>
      </c>
    </row>
    <row r="23" spans="2:14">
      <c r="B23" s="295" t="s">
        <v>350</v>
      </c>
      <c r="C23" s="295" t="s">
        <v>351</v>
      </c>
      <c r="E23" s="295" t="str">
        <f t="shared" ref="E23" si="8">I23&amp;H23&amp;J23</f>
        <v>IMPOILCOK</v>
      </c>
      <c r="F23" s="293" t="str">
        <f t="shared" si="1"/>
        <v xml:space="preserve">Import of Petroleum Coke </v>
      </c>
      <c r="G23" s="295" t="str">
        <f t="shared" si="2"/>
        <v>Import</v>
      </c>
      <c r="H23" s="295" t="str">
        <f t="shared" si="5"/>
        <v>OILCOK</v>
      </c>
      <c r="I23" s="295" t="str">
        <f t="shared" si="6"/>
        <v>IMP</v>
      </c>
      <c r="J23" s="296"/>
      <c r="K23" s="295" t="s">
        <v>13</v>
      </c>
      <c r="M23" s="289"/>
    </row>
    <row r="24" spans="2:14">
      <c r="B24" s="295" t="s">
        <v>352</v>
      </c>
      <c r="C24" s="295" t="s">
        <v>353</v>
      </c>
      <c r="E24" s="295" t="str">
        <f>I24&amp;H24&amp;J24</f>
        <v>IMPOILNEU</v>
      </c>
      <c r="F24" s="293" t="str">
        <f t="shared" si="1"/>
        <v>Import of Oil for Non-Energy uses</v>
      </c>
      <c r="G24" s="295" t="str">
        <f t="shared" si="2"/>
        <v>Import</v>
      </c>
      <c r="H24" s="295" t="str">
        <f>B60</f>
        <v>OILNEU</v>
      </c>
      <c r="I24" s="295" t="str">
        <f t="shared" si="6"/>
        <v>IMP</v>
      </c>
      <c r="J24" s="296"/>
      <c r="K24" s="295" t="s">
        <v>13</v>
      </c>
    </row>
    <row r="25" spans="2:14">
      <c r="B25" s="295" t="s">
        <v>354</v>
      </c>
      <c r="C25" s="295" t="s">
        <v>422</v>
      </c>
      <c r="E25" s="295" t="str">
        <f>I25&amp;H25&amp;J25</f>
        <v>IMPGASNAT_UK</v>
      </c>
      <c r="F25" s="293" t="str">
        <f t="shared" si="1"/>
        <v>Import of Natural Gas  - UK</v>
      </c>
      <c r="G25" s="295" t="str">
        <f t="shared" si="2"/>
        <v>Import</v>
      </c>
      <c r="H25" s="295" t="str">
        <f>B61</f>
        <v>GASNAT</v>
      </c>
      <c r="I25" s="295" t="str">
        <f t="shared" si="3"/>
        <v>IMP</v>
      </c>
      <c r="J25" s="295" t="str">
        <f>I4</f>
        <v>_UK</v>
      </c>
      <c r="K25" s="295" t="s">
        <v>13</v>
      </c>
    </row>
    <row r="26" spans="2:14">
      <c r="B26" s="295" t="s">
        <v>355</v>
      </c>
      <c r="C26" s="295" t="s">
        <v>356</v>
      </c>
      <c r="E26" s="295" t="str">
        <f>I26&amp;H26&amp;J26</f>
        <v>IMPGASLNG_GLOBAL</v>
      </c>
      <c r="F26" s="293" t="str">
        <f t="shared" si="1"/>
        <v xml:space="preserve">Import of Liquified Natural Gas </v>
      </c>
      <c r="G26" s="295" t="str">
        <f t="shared" si="2"/>
        <v>Import</v>
      </c>
      <c r="H26" s="295" t="str">
        <f>B62</f>
        <v>GASLNG</v>
      </c>
      <c r="I26" s="295" t="str">
        <f t="shared" si="3"/>
        <v>IMP</v>
      </c>
      <c r="J26" s="295" t="str">
        <f>I5</f>
        <v>_GLOBAL</v>
      </c>
      <c r="K26" s="295" t="s">
        <v>13</v>
      </c>
    </row>
    <row r="27" spans="2:14">
      <c r="B27" s="295" t="s">
        <v>357</v>
      </c>
      <c r="C27" s="295" t="s">
        <v>358</v>
      </c>
      <c r="E27" s="295" t="str">
        <f>I27&amp;H27&amp;J27</f>
        <v>IMPNUCURM</v>
      </c>
      <c r="F27" s="293" t="str">
        <f t="shared" si="1"/>
        <v>Import of Uranium</v>
      </c>
      <c r="G27" s="295" t="str">
        <f t="shared" si="2"/>
        <v>Import</v>
      </c>
      <c r="H27" s="295" t="str">
        <f>B63</f>
        <v>NUCURM</v>
      </c>
      <c r="I27" s="295" t="str">
        <f t="shared" si="3"/>
        <v>IMP</v>
      </c>
      <c r="J27" s="295"/>
      <c r="K27" s="295" t="s">
        <v>13</v>
      </c>
    </row>
    <row r="28" spans="2:14">
      <c r="B28" s="295" t="s">
        <v>424</v>
      </c>
      <c r="C28" s="295" t="s">
        <v>359</v>
      </c>
      <c r="E28" s="295" t="str">
        <f>I28&amp;H28&amp;J28</f>
        <v>IMPBIOETH1G_S1</v>
      </c>
      <c r="F28" s="293" t="str">
        <f t="shared" si="1"/>
        <v>Import of Ethanol 1st generation  - Step 1</v>
      </c>
      <c r="G28" s="295" t="str">
        <f t="shared" si="2"/>
        <v>Import</v>
      </c>
      <c r="H28" s="295" t="str">
        <f>B70</f>
        <v>BIOETH1G</v>
      </c>
      <c r="I28" s="295" t="str">
        <f t="shared" si="3"/>
        <v>IMP</v>
      </c>
      <c r="J28" s="295" t="str">
        <f>$I$7</f>
        <v>_S1</v>
      </c>
      <c r="K28" s="295" t="s">
        <v>13</v>
      </c>
    </row>
    <row r="29" spans="2:14">
      <c r="B29" s="295" t="s">
        <v>423</v>
      </c>
      <c r="C29" s="295" t="s">
        <v>360</v>
      </c>
      <c r="E29" s="295" t="str">
        <f t="shared" ref="E29:E36" si="9">I29&amp;H29&amp;J29</f>
        <v>IMPBIOETH1G_S2</v>
      </c>
      <c r="F29" s="293" t="str">
        <f t="shared" si="1"/>
        <v>Import of Ethanol 1st generation  - Step 2</v>
      </c>
      <c r="G29" s="295" t="str">
        <f t="shared" si="2"/>
        <v>Import</v>
      </c>
      <c r="H29" s="295" t="str">
        <f>B70</f>
        <v>BIOETH1G</v>
      </c>
      <c r="I29" s="295" t="str">
        <f t="shared" si="3"/>
        <v>IMP</v>
      </c>
      <c r="J29" s="295" t="str">
        <f>$I$8</f>
        <v>_S2</v>
      </c>
      <c r="K29" s="295" t="s">
        <v>13</v>
      </c>
    </row>
    <row r="30" spans="2:14">
      <c r="B30" s="295" t="s">
        <v>352</v>
      </c>
      <c r="C30" s="295" t="s">
        <v>361</v>
      </c>
      <c r="E30" s="295" t="str">
        <f t="shared" si="9"/>
        <v>IMPBIOETH1G_S3</v>
      </c>
      <c r="F30" s="293" t="str">
        <f t="shared" si="1"/>
        <v>Import of Ethanol 1st generation  - Step 3</v>
      </c>
      <c r="G30" s="295" t="str">
        <f t="shared" si="2"/>
        <v>Import</v>
      </c>
      <c r="H30" s="295" t="str">
        <f>B70</f>
        <v>BIOETH1G</v>
      </c>
      <c r="I30" s="295" t="str">
        <f t="shared" si="3"/>
        <v>IMP</v>
      </c>
      <c r="J30" s="295" t="str">
        <f>$I$9</f>
        <v>_S3</v>
      </c>
      <c r="K30" s="295" t="s">
        <v>13</v>
      </c>
    </row>
    <row r="31" spans="2:14">
      <c r="B31" s="295" t="s">
        <v>362</v>
      </c>
      <c r="C31" s="295" t="s">
        <v>363</v>
      </c>
      <c r="E31" s="295" t="str">
        <f t="shared" si="9"/>
        <v>IMPBIOETH1G_S4</v>
      </c>
      <c r="F31" s="293" t="str">
        <f t="shared" si="1"/>
        <v>Import of Ethanol 1st generation  - Step 4</v>
      </c>
      <c r="G31" s="295" t="str">
        <f t="shared" si="2"/>
        <v>Import</v>
      </c>
      <c r="H31" s="295" t="str">
        <f>B70</f>
        <v>BIOETH1G</v>
      </c>
      <c r="I31" s="295" t="str">
        <f t="shared" si="3"/>
        <v>IMP</v>
      </c>
      <c r="J31" s="295" t="str">
        <f>$I$10</f>
        <v>_S4</v>
      </c>
      <c r="K31" s="295" t="s">
        <v>13</v>
      </c>
    </row>
    <row r="32" spans="2:14">
      <c r="B32" s="295" t="s">
        <v>364</v>
      </c>
      <c r="C32" s="295" t="s">
        <v>365</v>
      </c>
      <c r="E32" s="295" t="str">
        <f t="shared" si="9"/>
        <v>IMPBIODST1G_S1</v>
      </c>
      <c r="F32" s="293" t="str">
        <f t="shared" si="1"/>
        <v>Import of Biodiesel 1st generation  - Step 1</v>
      </c>
      <c r="G32" s="295" t="str">
        <f t="shared" si="2"/>
        <v>Import</v>
      </c>
      <c r="H32" s="295" t="str">
        <f>B72</f>
        <v>BIODST1G</v>
      </c>
      <c r="I32" s="295" t="str">
        <f t="shared" si="3"/>
        <v>IMP</v>
      </c>
      <c r="J32" s="295" t="str">
        <f>$I$7</f>
        <v>_S1</v>
      </c>
      <c r="K32" s="295" t="s">
        <v>13</v>
      </c>
    </row>
    <row r="33" spans="2:20">
      <c r="B33" s="311" t="s">
        <v>366</v>
      </c>
      <c r="C33" s="313" t="s">
        <v>367</v>
      </c>
      <c r="E33" s="295" t="str">
        <f t="shared" si="9"/>
        <v>IMPBIODST1G_S2</v>
      </c>
      <c r="F33" s="293" t="str">
        <f t="shared" si="1"/>
        <v>Import of Biodiesel 1st generation  - Step 2</v>
      </c>
      <c r="G33" s="295" t="str">
        <f t="shared" si="2"/>
        <v>Import</v>
      </c>
      <c r="H33" s="295" t="str">
        <f>B72</f>
        <v>BIODST1G</v>
      </c>
      <c r="I33" s="295" t="str">
        <f t="shared" si="3"/>
        <v>IMP</v>
      </c>
      <c r="J33" s="295" t="str">
        <f>$I$8</f>
        <v>_S2</v>
      </c>
      <c r="K33" s="295" t="s">
        <v>13</v>
      </c>
    </row>
    <row r="34" spans="2:20">
      <c r="B34" s="311" t="s">
        <v>368</v>
      </c>
      <c r="C34" s="313" t="s">
        <v>369</v>
      </c>
      <c r="E34" s="295" t="str">
        <f t="shared" si="9"/>
        <v>IMPBIODST1G_S3</v>
      </c>
      <c r="F34" s="293" t="str">
        <f t="shared" si="1"/>
        <v>Import of Biodiesel 1st generation  - Step 3</v>
      </c>
      <c r="G34" s="295" t="str">
        <f t="shared" si="2"/>
        <v>Import</v>
      </c>
      <c r="H34" s="295" t="str">
        <f>B72</f>
        <v>BIODST1G</v>
      </c>
      <c r="I34" s="295" t="str">
        <f t="shared" si="3"/>
        <v>IMP</v>
      </c>
      <c r="J34" s="295" t="str">
        <f>$I$9</f>
        <v>_S3</v>
      </c>
      <c r="K34" s="295" t="s">
        <v>13</v>
      </c>
    </row>
    <row r="35" spans="2:20">
      <c r="B35" s="311" t="s">
        <v>370</v>
      </c>
      <c r="C35" s="311" t="s">
        <v>371</v>
      </c>
      <c r="E35" s="295" t="str">
        <f t="shared" si="9"/>
        <v>IMPBIODST1G_S4</v>
      </c>
      <c r="F35" s="293" t="str">
        <f t="shared" si="1"/>
        <v>Import of Biodiesel 1st generation  - Step 4</v>
      </c>
      <c r="G35" s="295" t="str">
        <f t="shared" si="2"/>
        <v>Import</v>
      </c>
      <c r="H35" s="295" t="str">
        <f>B72</f>
        <v>BIODST1G</v>
      </c>
      <c r="I35" s="295" t="str">
        <f t="shared" si="3"/>
        <v>IMP</v>
      </c>
      <c r="J35" s="295" t="str">
        <f>$I$10</f>
        <v>_S4</v>
      </c>
      <c r="K35" s="295" t="s">
        <v>13</v>
      </c>
    </row>
    <row r="36" spans="2:20">
      <c r="B36" s="311" t="s">
        <v>372</v>
      </c>
      <c r="C36" s="311" t="s">
        <v>373</v>
      </c>
      <c r="E36" s="340" t="str">
        <f t="shared" si="9"/>
        <v>IMPBIOJKR_S1</v>
      </c>
      <c r="F36" s="340" t="str">
        <f t="shared" si="1"/>
        <v>Import of Bio Jet Kerosene - Step 1</v>
      </c>
      <c r="G36" s="340" t="str">
        <f t="shared" ref="G36:G45" si="10">VLOOKUP(I36,$E$4:$F$9,2,FALSE)</f>
        <v>Import</v>
      </c>
      <c r="H36" s="340" t="str">
        <f>B76</f>
        <v>BIOJKR</v>
      </c>
      <c r="I36" s="340" t="str">
        <f t="shared" si="3"/>
        <v>IMP</v>
      </c>
      <c r="J36" s="340" t="str">
        <f>$I$7</f>
        <v>_S1</v>
      </c>
      <c r="K36" s="340" t="s">
        <v>13</v>
      </c>
    </row>
    <row r="37" spans="2:20">
      <c r="B37" s="311" t="s">
        <v>374</v>
      </c>
      <c r="C37" s="313" t="s">
        <v>375</v>
      </c>
      <c r="E37" s="295" t="str">
        <f t="shared" ref="E37:E49" si="11">I37&amp;H37&amp;J37</f>
        <v>IMPBIOWPE_S1</v>
      </c>
      <c r="F37" s="293" t="str">
        <f t="shared" si="1"/>
        <v>Import of Wood Pellets  - Step 1</v>
      </c>
      <c r="G37" s="295" t="str">
        <f t="shared" si="10"/>
        <v>Import</v>
      </c>
      <c r="H37" s="295" t="str">
        <f>B81</f>
        <v>BIOWPE</v>
      </c>
      <c r="I37" s="295" t="str">
        <f t="shared" si="3"/>
        <v>IMP</v>
      </c>
      <c r="J37" s="295" t="str">
        <f>$I$7</f>
        <v>_S1</v>
      </c>
      <c r="K37" s="295" t="s">
        <v>13</v>
      </c>
    </row>
    <row r="38" spans="2:20">
      <c r="B38" s="311" t="s">
        <v>376</v>
      </c>
      <c r="C38" s="313" t="s">
        <v>377</v>
      </c>
      <c r="E38" s="295" t="str">
        <f t="shared" si="11"/>
        <v>IMPBIOWPE_S2</v>
      </c>
      <c r="F38" s="293" t="str">
        <f t="shared" si="1"/>
        <v>Import of Wood Pellets  - Step 2</v>
      </c>
      <c r="G38" s="295" t="str">
        <f t="shared" si="10"/>
        <v>Import</v>
      </c>
      <c r="H38" s="295" t="str">
        <f>B81</f>
        <v>BIOWPE</v>
      </c>
      <c r="I38" s="295" t="str">
        <f t="shared" si="3"/>
        <v>IMP</v>
      </c>
      <c r="J38" s="295" t="str">
        <f>$I$8</f>
        <v>_S2</v>
      </c>
      <c r="K38" s="295" t="s">
        <v>13</v>
      </c>
    </row>
    <row r="39" spans="2:20">
      <c r="B39" s="311" t="s">
        <v>378</v>
      </c>
      <c r="C39" s="295" t="s">
        <v>379</v>
      </c>
      <c r="E39" s="295" t="str">
        <f t="shared" si="11"/>
        <v>IMPBIOWPE_S3</v>
      </c>
      <c r="F39" s="293" t="str">
        <f t="shared" si="1"/>
        <v>Import of Wood Pellets  - Step 3</v>
      </c>
      <c r="G39" s="295" t="str">
        <f t="shared" si="10"/>
        <v>Import</v>
      </c>
      <c r="H39" s="295" t="str">
        <f>B81</f>
        <v>BIOWPE</v>
      </c>
      <c r="I39" s="295" t="str">
        <f t="shared" si="3"/>
        <v>IMP</v>
      </c>
      <c r="J39" s="295" t="str">
        <f>$I$9</f>
        <v>_S3</v>
      </c>
      <c r="K39" s="295" t="s">
        <v>13</v>
      </c>
    </row>
    <row r="40" spans="2:20">
      <c r="B40" s="311" t="s">
        <v>380</v>
      </c>
      <c r="C40" s="295" t="s">
        <v>381</v>
      </c>
      <c r="E40" s="295" t="str">
        <f t="shared" si="11"/>
        <v>IMPBIOWPE_S4</v>
      </c>
      <c r="F40" s="293" t="str">
        <f t="shared" si="1"/>
        <v>Import of Wood Pellets  - Step 4</v>
      </c>
      <c r="G40" s="295" t="str">
        <f t="shared" si="10"/>
        <v>Import</v>
      </c>
      <c r="H40" s="295" t="str">
        <f>B81</f>
        <v>BIOWPE</v>
      </c>
      <c r="I40" s="295" t="str">
        <f t="shared" si="3"/>
        <v>IMP</v>
      </c>
      <c r="J40" s="295" t="str">
        <f>$I$10</f>
        <v>_S4</v>
      </c>
      <c r="K40" s="295" t="s">
        <v>13</v>
      </c>
    </row>
    <row r="41" spans="2:20">
      <c r="B41" s="311" t="s">
        <v>382</v>
      </c>
      <c r="C41" s="295" t="s">
        <v>383</v>
      </c>
      <c r="E41" s="295" t="str">
        <f t="shared" si="11"/>
        <v>IMPBIOWCH_S1</v>
      </c>
      <c r="F41" s="293" t="str">
        <f t="shared" si="1"/>
        <v>Import of Wood Chip  - Step 1</v>
      </c>
      <c r="G41" s="295" t="str">
        <f t="shared" si="10"/>
        <v>Import</v>
      </c>
      <c r="H41" s="295" t="str">
        <f>B82</f>
        <v>BIOWCH</v>
      </c>
      <c r="I41" s="295" t="str">
        <f t="shared" si="3"/>
        <v>IMP</v>
      </c>
      <c r="J41" s="295" t="str">
        <f>$I$7</f>
        <v>_S1</v>
      </c>
      <c r="K41" s="295" t="s">
        <v>13</v>
      </c>
    </row>
    <row r="42" spans="2:20">
      <c r="B42" s="311" t="s">
        <v>384</v>
      </c>
      <c r="C42" s="295" t="s">
        <v>316</v>
      </c>
      <c r="E42" s="295" t="str">
        <f t="shared" si="11"/>
        <v>IMPBIOWCH_S2</v>
      </c>
      <c r="F42" s="293" t="str">
        <f t="shared" si="1"/>
        <v>Import of Wood Chip  - Step 2</v>
      </c>
      <c r="G42" s="295" t="str">
        <f t="shared" si="10"/>
        <v>Import</v>
      </c>
      <c r="H42" s="295" t="str">
        <f>B82</f>
        <v>BIOWCH</v>
      </c>
      <c r="I42" s="295" t="str">
        <f t="shared" si="3"/>
        <v>IMP</v>
      </c>
      <c r="J42" s="295" t="str">
        <f>$I$8</f>
        <v>_S2</v>
      </c>
      <c r="K42" s="295" t="s">
        <v>13</v>
      </c>
    </row>
    <row r="43" spans="2:20">
      <c r="B43" s="311" t="s">
        <v>332</v>
      </c>
      <c r="C43" s="295" t="s">
        <v>246</v>
      </c>
      <c r="E43" s="295" t="str">
        <f t="shared" si="11"/>
        <v>IMPBIOWCH_S3</v>
      </c>
      <c r="F43" s="293" t="str">
        <f t="shared" si="1"/>
        <v>Import of Wood Chip  - Step 3</v>
      </c>
      <c r="G43" s="295" t="str">
        <f t="shared" si="10"/>
        <v>Import</v>
      </c>
      <c r="H43" s="295" t="str">
        <f>B82</f>
        <v>BIOWCH</v>
      </c>
      <c r="I43" s="295" t="str">
        <f t="shared" si="3"/>
        <v>IMP</v>
      </c>
      <c r="J43" s="295" t="str">
        <f>$I$9</f>
        <v>_S3</v>
      </c>
      <c r="K43" s="295" t="s">
        <v>13</v>
      </c>
    </row>
    <row r="44" spans="2:20" s="289" customFormat="1">
      <c r="B44" s="311" t="s">
        <v>385</v>
      </c>
      <c r="C44" s="295" t="s">
        <v>247</v>
      </c>
      <c r="E44" s="295" t="str">
        <f t="shared" si="11"/>
        <v>IMPBIOWCH_S4</v>
      </c>
      <c r="F44" s="293" t="str">
        <f t="shared" si="1"/>
        <v>Import of Wood Chip  - Step 4</v>
      </c>
      <c r="G44" s="295" t="str">
        <f t="shared" si="10"/>
        <v>Import</v>
      </c>
      <c r="H44" s="295" t="str">
        <f>B82</f>
        <v>BIOWCH</v>
      </c>
      <c r="I44" s="295" t="str">
        <f t="shared" si="3"/>
        <v>IMP</v>
      </c>
      <c r="J44" s="295" t="str">
        <f>$I$10</f>
        <v>_S4</v>
      </c>
      <c r="K44" s="295" t="s">
        <v>13</v>
      </c>
      <c r="M44" s="274"/>
      <c r="N44" s="274"/>
      <c r="O44" s="274"/>
      <c r="P44" s="274"/>
      <c r="Q44" s="199"/>
      <c r="R44" s="58"/>
      <c r="S44" s="274"/>
      <c r="T44" s="199"/>
    </row>
    <row r="45" spans="2:20">
      <c r="B45" s="312" t="s">
        <v>420</v>
      </c>
      <c r="C45" s="295" t="s">
        <v>421</v>
      </c>
      <c r="E45" s="295" t="str">
        <f t="shared" si="11"/>
        <v>MINGASNAT_S1</v>
      </c>
      <c r="F45" s="293" t="str">
        <f t="shared" ref="F45:F76" si="12">G45 &amp; " of " &amp; VLOOKUP(H45,$B$13:$C$92,2,FALSE) &amp; IF(J45&lt;&gt;0,IF(VLOOKUP(J45,$I$4:$J$10,2,FALSE)&lt;&gt;""," - " &amp; VLOOKUP(J45,$I$4:$J$10,2,FALSE),""),"")</f>
        <v>Domestic Potential of Natural Gas  - Step 1</v>
      </c>
      <c r="G45" s="295" t="str">
        <f t="shared" si="10"/>
        <v>Domestic Potential</v>
      </c>
      <c r="H45" s="295" t="str">
        <f>B61</f>
        <v>GASNAT</v>
      </c>
      <c r="I45" s="295" t="str">
        <f>$E$4</f>
        <v>MIN</v>
      </c>
      <c r="J45" s="295" t="str">
        <f>$I$7</f>
        <v>_S1</v>
      </c>
      <c r="K45" s="295" t="s">
        <v>9</v>
      </c>
      <c r="M45" s="290"/>
      <c r="N45" s="290"/>
      <c r="O45" s="274"/>
      <c r="P45" s="290"/>
      <c r="Q45" s="290"/>
      <c r="R45" s="58"/>
      <c r="S45" s="290"/>
      <c r="T45" s="290"/>
    </row>
    <row r="46" spans="2:20">
      <c r="B46" s="311" t="s">
        <v>24</v>
      </c>
      <c r="C46" s="295" t="s">
        <v>282</v>
      </c>
      <c r="E46" s="295" t="str">
        <f t="shared" si="11"/>
        <v>MINGASNAT_S2</v>
      </c>
      <c r="F46" s="293" t="str">
        <f t="shared" si="12"/>
        <v>Domestic Potential of Natural Gas  - Step 2</v>
      </c>
      <c r="G46" s="295" t="str">
        <f t="shared" ref="G46:G75" si="13">VLOOKUP(I46,$E$4:$F$9,2,FALSE)</f>
        <v>Domestic Potential</v>
      </c>
      <c r="H46" s="295" t="str">
        <f>B61</f>
        <v>GASNAT</v>
      </c>
      <c r="I46" s="295" t="str">
        <f>$E$4</f>
        <v>MIN</v>
      </c>
      <c r="J46" s="295" t="str">
        <f>$I$8</f>
        <v>_S2</v>
      </c>
      <c r="K46" s="295" t="s">
        <v>9</v>
      </c>
      <c r="M46" s="199"/>
      <c r="N46" s="274"/>
      <c r="O46" s="274"/>
      <c r="P46" s="274"/>
      <c r="Q46" s="199"/>
      <c r="R46" s="58"/>
      <c r="S46" s="274"/>
      <c r="T46" s="199"/>
    </row>
    <row r="47" spans="2:20">
      <c r="B47" s="311" t="s">
        <v>26</v>
      </c>
      <c r="C47" s="295" t="s">
        <v>283</v>
      </c>
      <c r="E47" s="295" t="str">
        <f t="shared" si="11"/>
        <v>MINPEAT_S1</v>
      </c>
      <c r="F47" s="293" t="str">
        <f t="shared" si="12"/>
        <v>Domestic Potential of Peat  - Step 1</v>
      </c>
      <c r="G47" s="295" t="str">
        <f t="shared" si="13"/>
        <v>Domestic Potential</v>
      </c>
      <c r="H47" s="295" t="str">
        <f>B50</f>
        <v>PEAT</v>
      </c>
      <c r="I47" s="295" t="str">
        <f t="shared" ref="I47:I88" si="14">$E$4</f>
        <v>MIN</v>
      </c>
      <c r="J47" s="295" t="str">
        <f>$I$7</f>
        <v>_S1</v>
      </c>
      <c r="K47" s="295" t="s">
        <v>9</v>
      </c>
    </row>
    <row r="48" spans="2:20">
      <c r="B48" s="311" t="s">
        <v>25</v>
      </c>
      <c r="C48" s="295" t="s">
        <v>284</v>
      </c>
      <c r="E48" s="295" t="str">
        <f t="shared" si="11"/>
        <v>MINPEAT_S2</v>
      </c>
      <c r="F48" s="293" t="str">
        <f t="shared" si="12"/>
        <v>Domestic Potential of Peat  - Step 2</v>
      </c>
      <c r="G48" s="295" t="str">
        <f t="shared" si="13"/>
        <v>Domestic Potential</v>
      </c>
      <c r="H48" s="295" t="str">
        <f>B50</f>
        <v>PEAT</v>
      </c>
      <c r="I48" s="295" t="str">
        <f t="shared" si="14"/>
        <v>MIN</v>
      </c>
      <c r="J48" s="295" t="str">
        <f>$I$8</f>
        <v>_S2</v>
      </c>
      <c r="K48" s="295" t="s">
        <v>9</v>
      </c>
    </row>
    <row r="49" spans="2:20">
      <c r="B49" s="311" t="s">
        <v>323</v>
      </c>
      <c r="C49" s="295" t="s">
        <v>285</v>
      </c>
      <c r="E49" s="295" t="str">
        <f t="shared" si="11"/>
        <v>MINRENHYD</v>
      </c>
      <c r="F49" s="293" t="str">
        <f t="shared" si="12"/>
        <v xml:space="preserve">Domestic Potential of Hydro </v>
      </c>
      <c r="G49" s="295" t="str">
        <f t="shared" si="13"/>
        <v>Domestic Potential</v>
      </c>
      <c r="H49" s="295" t="str">
        <f t="shared" ref="H49:H54" si="15">B64</f>
        <v>RENHYD</v>
      </c>
      <c r="I49" s="295" t="str">
        <f t="shared" si="14"/>
        <v>MIN</v>
      </c>
      <c r="J49" s="295"/>
      <c r="K49" s="295" t="s">
        <v>9</v>
      </c>
    </row>
    <row r="50" spans="2:20">
      <c r="B50" s="311" t="s">
        <v>12</v>
      </c>
      <c r="C50" s="295" t="s">
        <v>286</v>
      </c>
      <c r="E50" s="295" t="str">
        <f t="shared" ref="E50:E55" si="16">I50&amp;H50&amp;J50</f>
        <v>MINRENWIN</v>
      </c>
      <c r="F50" s="293" t="str">
        <f t="shared" si="12"/>
        <v xml:space="preserve">Domestic Potential of Wind </v>
      </c>
      <c r="G50" s="295" t="str">
        <f t="shared" si="13"/>
        <v>Domestic Potential</v>
      </c>
      <c r="H50" s="295" t="str">
        <f t="shared" si="15"/>
        <v>RENWIN</v>
      </c>
      <c r="I50" s="295" t="str">
        <f t="shared" si="14"/>
        <v>MIN</v>
      </c>
      <c r="J50" s="295"/>
      <c r="K50" s="295" t="s">
        <v>9</v>
      </c>
    </row>
    <row r="51" spans="2:20">
      <c r="B51" s="311" t="s">
        <v>28</v>
      </c>
      <c r="C51" s="295" t="s">
        <v>287</v>
      </c>
      <c r="E51" s="295" t="str">
        <f t="shared" si="16"/>
        <v>MINRENSOL</v>
      </c>
      <c r="F51" s="293" t="str">
        <f t="shared" si="12"/>
        <v xml:space="preserve">Domestic Potential of Solar </v>
      </c>
      <c r="G51" s="295" t="str">
        <f t="shared" si="13"/>
        <v>Domestic Potential</v>
      </c>
      <c r="H51" s="295" t="str">
        <f t="shared" si="15"/>
        <v>RENSOL</v>
      </c>
      <c r="I51" s="295" t="str">
        <f t="shared" si="14"/>
        <v>MIN</v>
      </c>
      <c r="J51" s="295"/>
      <c r="K51" s="295" t="s">
        <v>9</v>
      </c>
    </row>
    <row r="52" spans="2:20">
      <c r="B52" s="312" t="s">
        <v>253</v>
      </c>
      <c r="C52" s="295" t="s">
        <v>288</v>
      </c>
      <c r="E52" s="295" t="str">
        <f t="shared" si="16"/>
        <v>MINMSWAS</v>
      </c>
      <c r="F52" s="293" t="str">
        <f t="shared" si="12"/>
        <v xml:space="preserve">Domestic Potential of Municipal Solid Waste </v>
      </c>
      <c r="G52" s="295" t="str">
        <f t="shared" si="13"/>
        <v>Domestic Potential</v>
      </c>
      <c r="H52" s="295" t="str">
        <f t="shared" si="15"/>
        <v>MSWAS</v>
      </c>
      <c r="I52" s="295" t="str">
        <f t="shared" si="14"/>
        <v>MIN</v>
      </c>
      <c r="J52" s="295"/>
      <c r="K52" s="295" t="s">
        <v>9</v>
      </c>
    </row>
    <row r="53" spans="2:20">
      <c r="B53" s="311" t="s">
        <v>32</v>
      </c>
      <c r="C53" s="295" t="s">
        <v>289</v>
      </c>
      <c r="E53" s="295" t="str">
        <f t="shared" si="16"/>
        <v>MINRENOCE</v>
      </c>
      <c r="F53" s="293" t="str">
        <f t="shared" si="12"/>
        <v xml:space="preserve">Domestic Potential of Ocean </v>
      </c>
      <c r="G53" s="295" t="str">
        <f t="shared" si="13"/>
        <v>Domestic Potential</v>
      </c>
      <c r="H53" s="295" t="str">
        <f t="shared" si="15"/>
        <v>RENOCE</v>
      </c>
      <c r="I53" s="295" t="str">
        <f t="shared" si="14"/>
        <v>MIN</v>
      </c>
      <c r="J53" s="295"/>
      <c r="K53" s="295" t="s">
        <v>9</v>
      </c>
    </row>
    <row r="54" spans="2:20">
      <c r="B54" s="311" t="s">
        <v>31</v>
      </c>
      <c r="C54" s="295" t="s">
        <v>290</v>
      </c>
      <c r="E54" s="295" t="str">
        <f t="shared" si="16"/>
        <v>MINRENGEO</v>
      </c>
      <c r="F54" s="293" t="str">
        <f t="shared" si="12"/>
        <v xml:space="preserve">Domestic Potential of Geothermal </v>
      </c>
      <c r="G54" s="295" t="str">
        <f t="shared" si="13"/>
        <v>Domestic Potential</v>
      </c>
      <c r="H54" s="295" t="str">
        <f t="shared" si="15"/>
        <v>RENGEO</v>
      </c>
      <c r="I54" s="295" t="str">
        <f t="shared" si="14"/>
        <v>MIN</v>
      </c>
      <c r="J54" s="295"/>
      <c r="K54" s="295" t="s">
        <v>9</v>
      </c>
    </row>
    <row r="55" spans="2:20">
      <c r="B55" s="311" t="s">
        <v>29</v>
      </c>
      <c r="C55" s="295" t="s">
        <v>291</v>
      </c>
      <c r="E55" s="295" t="str">
        <f t="shared" si="16"/>
        <v>MINBIOWOO1_S1</v>
      </c>
      <c r="F55" s="293" t="str">
        <f t="shared" si="12"/>
        <v>Domestic Potential of Sawmill residues - Step 1</v>
      </c>
      <c r="G55" s="295" t="str">
        <f t="shared" si="13"/>
        <v>Domestic Potential</v>
      </c>
      <c r="H55" s="295" t="str">
        <f>$B$78</f>
        <v>BIOWOO1</v>
      </c>
      <c r="I55" s="295" t="str">
        <f t="shared" si="14"/>
        <v>MIN</v>
      </c>
      <c r="J55" s="295" t="str">
        <f>$I$7</f>
        <v>_S1</v>
      </c>
      <c r="K55" s="295" t="s">
        <v>9</v>
      </c>
    </row>
    <row r="56" spans="2:20">
      <c r="B56" s="311" t="s">
        <v>33</v>
      </c>
      <c r="C56" s="295" t="s">
        <v>292</v>
      </c>
      <c r="E56" s="295" t="str">
        <f t="shared" ref="E56:E64" si="17">I56&amp;H56&amp;J56</f>
        <v>MINBIOWOO1_S2</v>
      </c>
      <c r="F56" s="293" t="str">
        <f t="shared" si="12"/>
        <v>Domestic Potential of Sawmill residues - Step 2</v>
      </c>
      <c r="G56" s="295" t="str">
        <f t="shared" si="13"/>
        <v>Domestic Potential</v>
      </c>
      <c r="H56" s="295" t="str">
        <f>$B$78</f>
        <v>BIOWOO1</v>
      </c>
      <c r="I56" s="295" t="str">
        <f t="shared" si="14"/>
        <v>MIN</v>
      </c>
      <c r="J56" s="295" t="str">
        <f>$I$8</f>
        <v>_S2</v>
      </c>
      <c r="K56" s="295" t="s">
        <v>9</v>
      </c>
    </row>
    <row r="57" spans="2:20">
      <c r="B57" s="311" t="s">
        <v>30</v>
      </c>
      <c r="C57" s="295" t="s">
        <v>293</v>
      </c>
      <c r="E57" s="295" t="str">
        <f t="shared" si="17"/>
        <v>MINBIOWOO1_S3</v>
      </c>
      <c r="F57" s="293" t="str">
        <f t="shared" si="12"/>
        <v>Domestic Potential of Sawmill residues - Step 3</v>
      </c>
      <c r="G57" s="295" t="str">
        <f t="shared" si="13"/>
        <v>Domestic Potential</v>
      </c>
      <c r="H57" s="295" t="str">
        <f>$B$78</f>
        <v>BIOWOO1</v>
      </c>
      <c r="I57" s="295" t="str">
        <f t="shared" si="14"/>
        <v>MIN</v>
      </c>
      <c r="J57" s="295" t="str">
        <f>$I$9</f>
        <v>_S3</v>
      </c>
      <c r="K57" s="295" t="s">
        <v>9</v>
      </c>
    </row>
    <row r="58" spans="2:20">
      <c r="B58" s="311" t="s">
        <v>78</v>
      </c>
      <c r="C58" s="295" t="s">
        <v>294</v>
      </c>
      <c r="E58" s="295" t="str">
        <f t="shared" si="17"/>
        <v>MINBIOWOO2_S1</v>
      </c>
      <c r="F58" s="293" t="str">
        <f t="shared" si="12"/>
        <v>Domestic Potential of Post-Consumer Recycled Wood - Step 1</v>
      </c>
      <c r="G58" s="295" t="str">
        <f t="shared" si="13"/>
        <v>Domestic Potential</v>
      </c>
      <c r="H58" s="295" t="str">
        <f>$B$79</f>
        <v>BIOWOO2</v>
      </c>
      <c r="I58" s="295" t="str">
        <f t="shared" si="14"/>
        <v>MIN</v>
      </c>
      <c r="J58" s="295" t="str">
        <f>$I$7</f>
        <v>_S1</v>
      </c>
      <c r="K58" s="295" t="s">
        <v>9</v>
      </c>
      <c r="M58" s="293"/>
      <c r="N58" s="293"/>
      <c r="O58" s="293"/>
      <c r="P58" s="293"/>
      <c r="Q58" s="293"/>
      <c r="R58" s="293"/>
      <c r="S58" s="293"/>
      <c r="T58" s="293"/>
    </row>
    <row r="59" spans="2:20">
      <c r="B59" s="312" t="s">
        <v>254</v>
      </c>
      <c r="C59" s="295" t="s">
        <v>295</v>
      </c>
      <c r="E59" s="295" t="str">
        <f t="shared" si="17"/>
        <v>MINBIOWOO2_S2</v>
      </c>
      <c r="F59" s="293" t="str">
        <f t="shared" si="12"/>
        <v>Domestic Potential of Post-Consumer Recycled Wood - Step 2</v>
      </c>
      <c r="G59" s="295" t="str">
        <f t="shared" si="13"/>
        <v>Domestic Potential</v>
      </c>
      <c r="H59" s="295" t="str">
        <f>$B$79</f>
        <v>BIOWOO2</v>
      </c>
      <c r="I59" s="295" t="str">
        <f t="shared" si="14"/>
        <v>MIN</v>
      </c>
      <c r="J59" s="295" t="str">
        <f>$I$8</f>
        <v>_S2</v>
      </c>
      <c r="K59" s="295" t="s">
        <v>9</v>
      </c>
    </row>
    <row r="60" spans="2:20">
      <c r="B60" s="311" t="s">
        <v>324</v>
      </c>
      <c r="C60" s="295" t="s">
        <v>325</v>
      </c>
      <c r="E60" s="295" t="str">
        <f t="shared" si="17"/>
        <v>MINBIOWOO2_S3</v>
      </c>
      <c r="F60" s="293" t="str">
        <f t="shared" si="12"/>
        <v>Domestic Potential of Post-Consumer Recycled Wood - Step 3</v>
      </c>
      <c r="G60" s="295" t="str">
        <f t="shared" si="13"/>
        <v>Domestic Potential</v>
      </c>
      <c r="H60" s="295" t="str">
        <f>$B$79</f>
        <v>BIOWOO2</v>
      </c>
      <c r="I60" s="295" t="str">
        <f t="shared" si="14"/>
        <v>MIN</v>
      </c>
      <c r="J60" s="295" t="str">
        <f>$I$9</f>
        <v>_S3</v>
      </c>
      <c r="K60" s="295" t="s">
        <v>9</v>
      </c>
    </row>
    <row r="61" spans="2:20">
      <c r="B61" s="311" t="s">
        <v>11</v>
      </c>
      <c r="C61" s="295" t="s">
        <v>280</v>
      </c>
      <c r="E61" s="295" t="str">
        <f t="shared" si="17"/>
        <v>MINBIOWOO3_S1</v>
      </c>
      <c r="F61" s="293" t="str">
        <f t="shared" si="12"/>
        <v>Domestic Potential of Straw - Step 1</v>
      </c>
      <c r="G61" s="295" t="str">
        <f t="shared" si="13"/>
        <v>Domestic Potential</v>
      </c>
      <c r="H61" s="295" t="str">
        <f>$B$80</f>
        <v>BIOWOO3</v>
      </c>
      <c r="I61" s="295" t="str">
        <f t="shared" si="14"/>
        <v>MIN</v>
      </c>
      <c r="J61" s="295" t="str">
        <f>$I$7</f>
        <v>_S1</v>
      </c>
      <c r="K61" s="295" t="s">
        <v>9</v>
      </c>
    </row>
    <row r="62" spans="2:20">
      <c r="B62" s="311" t="s">
        <v>27</v>
      </c>
      <c r="C62" s="295" t="s">
        <v>281</v>
      </c>
      <c r="E62" s="295" t="str">
        <f t="shared" si="17"/>
        <v>MINBIOWOO3_S2</v>
      </c>
      <c r="F62" s="293" t="str">
        <f t="shared" si="12"/>
        <v>Domestic Potential of Straw - Step 2</v>
      </c>
      <c r="G62" s="295" t="str">
        <f t="shared" si="13"/>
        <v>Domestic Potential</v>
      </c>
      <c r="H62" s="295" t="str">
        <f>$B$80</f>
        <v>BIOWOO3</v>
      </c>
      <c r="I62" s="295" t="str">
        <f t="shared" si="14"/>
        <v>MIN</v>
      </c>
      <c r="J62" s="295" t="str">
        <f>$I$8</f>
        <v>_S2</v>
      </c>
      <c r="K62" s="295" t="s">
        <v>9</v>
      </c>
    </row>
    <row r="63" spans="2:20">
      <c r="B63" s="311" t="s">
        <v>409</v>
      </c>
      <c r="C63" s="295" t="s">
        <v>316</v>
      </c>
      <c r="E63" s="295" t="str">
        <f t="shared" si="17"/>
        <v>MINBIOWOO3_S3</v>
      </c>
      <c r="F63" s="293" t="str">
        <f t="shared" si="12"/>
        <v>Domestic Potential of Straw - Step 3</v>
      </c>
      <c r="G63" s="295" t="str">
        <f t="shared" si="13"/>
        <v>Domestic Potential</v>
      </c>
      <c r="H63" s="295" t="str">
        <f>$B$80</f>
        <v>BIOWOO3</v>
      </c>
      <c r="I63" s="295" t="str">
        <f t="shared" si="14"/>
        <v>MIN</v>
      </c>
      <c r="J63" s="295" t="str">
        <f>$I$9</f>
        <v>_S3</v>
      </c>
      <c r="K63" s="295" t="s">
        <v>9</v>
      </c>
    </row>
    <row r="64" spans="2:20">
      <c r="B64" s="311" t="s">
        <v>34</v>
      </c>
      <c r="C64" s="295" t="s">
        <v>296</v>
      </c>
      <c r="E64" s="295" t="str">
        <f t="shared" si="17"/>
        <v>MINBIOMSW1_S1</v>
      </c>
      <c r="F64" s="293" t="str">
        <f t="shared" si="12"/>
        <v>Domestic Potential of Biodegradable Municipal Solid Waste potential - Solid  - Step 1</v>
      </c>
      <c r="G64" s="295" t="str">
        <f t="shared" si="13"/>
        <v>Domestic Potential</v>
      </c>
      <c r="H64" s="295" t="str">
        <f>$B$83</f>
        <v>BIOMSW1</v>
      </c>
      <c r="I64" s="295" t="str">
        <f t="shared" si="14"/>
        <v>MIN</v>
      </c>
      <c r="J64" s="295" t="str">
        <f>$I$7</f>
        <v>_S1</v>
      </c>
      <c r="K64" s="295" t="s">
        <v>9</v>
      </c>
    </row>
    <row r="65" spans="2:11">
      <c r="B65" s="311" t="s">
        <v>35</v>
      </c>
      <c r="C65" s="295" t="s">
        <v>297</v>
      </c>
      <c r="E65" s="295" t="str">
        <f t="shared" ref="E65:E75" si="18">I65&amp;H65&amp;J65</f>
        <v>MINBIOMSW1_S2</v>
      </c>
      <c r="F65" s="293" t="str">
        <f t="shared" si="12"/>
        <v>Domestic Potential of Biodegradable Municipal Solid Waste potential - Solid  - Step 2</v>
      </c>
      <c r="G65" s="295" t="str">
        <f t="shared" si="13"/>
        <v>Domestic Potential</v>
      </c>
      <c r="H65" s="295" t="str">
        <f>$B$83</f>
        <v>BIOMSW1</v>
      </c>
      <c r="I65" s="295" t="str">
        <f t="shared" si="14"/>
        <v>MIN</v>
      </c>
      <c r="J65" s="295" t="str">
        <f>$I$8</f>
        <v>_S2</v>
      </c>
      <c r="K65" s="295" t="s">
        <v>9</v>
      </c>
    </row>
    <row r="66" spans="2:11">
      <c r="B66" s="312" t="s">
        <v>36</v>
      </c>
      <c r="C66" s="295" t="s">
        <v>298</v>
      </c>
      <c r="E66" s="295" t="str">
        <f t="shared" si="18"/>
        <v>MINBIOMSW1_S3</v>
      </c>
      <c r="F66" s="293" t="str">
        <f t="shared" si="12"/>
        <v>Domestic Potential of Biodegradable Municipal Solid Waste potential - Solid  - Step 3</v>
      </c>
      <c r="G66" s="295" t="str">
        <f t="shared" si="13"/>
        <v>Domestic Potential</v>
      </c>
      <c r="H66" s="295" t="str">
        <f>$B$83</f>
        <v>BIOMSW1</v>
      </c>
      <c r="I66" s="295" t="str">
        <f t="shared" si="14"/>
        <v>MIN</v>
      </c>
      <c r="J66" s="295" t="str">
        <f>$I$9</f>
        <v>_S3</v>
      </c>
      <c r="K66" s="295" t="s">
        <v>9</v>
      </c>
    </row>
    <row r="67" spans="2:11">
      <c r="B67" s="311" t="s">
        <v>58</v>
      </c>
      <c r="C67" s="295" t="s">
        <v>299</v>
      </c>
      <c r="E67" s="295" t="str">
        <f t="shared" si="18"/>
        <v>MINBIOMSW2_S1</v>
      </c>
      <c r="F67" s="293" t="str">
        <f t="shared" si="12"/>
        <v>Domestic Potential of Biodegradable Municipal Solid Waste  - Step 1</v>
      </c>
      <c r="G67" s="295" t="str">
        <f t="shared" si="13"/>
        <v>Domestic Potential</v>
      </c>
      <c r="H67" s="295" t="str">
        <f>$B$84</f>
        <v>BIOMSW2</v>
      </c>
      <c r="I67" s="295" t="str">
        <f t="shared" si="14"/>
        <v>MIN</v>
      </c>
      <c r="J67" s="295" t="str">
        <f>$I$7</f>
        <v>_S1</v>
      </c>
      <c r="K67" s="295" t="s">
        <v>9</v>
      </c>
    </row>
    <row r="68" spans="2:11">
      <c r="B68" s="311" t="s">
        <v>37</v>
      </c>
      <c r="C68" s="295" t="s">
        <v>300</v>
      </c>
      <c r="E68" s="295" t="str">
        <f t="shared" si="18"/>
        <v>MINBIOMSW2_S2</v>
      </c>
      <c r="F68" s="293" t="str">
        <f t="shared" si="12"/>
        <v>Domestic Potential of Biodegradable Municipal Solid Waste  - Step 2</v>
      </c>
      <c r="G68" s="295" t="str">
        <f t="shared" si="13"/>
        <v>Domestic Potential</v>
      </c>
      <c r="H68" s="295" t="str">
        <f>$B$84</f>
        <v>BIOMSW2</v>
      </c>
      <c r="I68" s="295" t="str">
        <f t="shared" si="14"/>
        <v>MIN</v>
      </c>
      <c r="J68" s="295" t="str">
        <f>$I$8</f>
        <v>_S2</v>
      </c>
      <c r="K68" s="295" t="s">
        <v>9</v>
      </c>
    </row>
    <row r="69" spans="2:11">
      <c r="B69" s="311" t="s">
        <v>38</v>
      </c>
      <c r="C69" s="295" t="s">
        <v>301</v>
      </c>
      <c r="E69" s="295" t="str">
        <f t="shared" si="18"/>
        <v>MINBIOMSW2_S3</v>
      </c>
      <c r="F69" s="293" t="str">
        <f t="shared" si="12"/>
        <v>Domestic Potential of Biodegradable Municipal Solid Waste  - Step 3</v>
      </c>
      <c r="G69" s="295" t="str">
        <f t="shared" si="13"/>
        <v>Domestic Potential</v>
      </c>
      <c r="H69" s="295" t="str">
        <f>$B$84</f>
        <v>BIOMSW2</v>
      </c>
      <c r="I69" s="295" t="str">
        <f t="shared" si="14"/>
        <v>MIN</v>
      </c>
      <c r="J69" s="295" t="str">
        <f>$I$9</f>
        <v>_S3</v>
      </c>
      <c r="K69" s="295" t="s">
        <v>9</v>
      </c>
    </row>
    <row r="70" spans="2:11">
      <c r="B70" s="311" t="s">
        <v>74</v>
      </c>
      <c r="C70" s="295" t="s">
        <v>302</v>
      </c>
      <c r="E70" s="295" t="str">
        <f t="shared" si="18"/>
        <v>MINBIOTLW_S1</v>
      </c>
      <c r="F70" s="293" t="str">
        <f t="shared" si="12"/>
        <v>Domestic Potential of Tallow  - Step 1</v>
      </c>
      <c r="G70" s="295" t="str">
        <f t="shared" si="13"/>
        <v>Domestic Potential</v>
      </c>
      <c r="H70" s="295" t="str">
        <f>$B$85</f>
        <v>BIOTLW</v>
      </c>
      <c r="I70" s="295" t="str">
        <f t="shared" si="14"/>
        <v>MIN</v>
      </c>
      <c r="J70" s="295" t="str">
        <f>$I$7</f>
        <v>_S1</v>
      </c>
      <c r="K70" s="295" t="s">
        <v>9</v>
      </c>
    </row>
    <row r="71" spans="2:11">
      <c r="B71" s="311" t="s">
        <v>76</v>
      </c>
      <c r="C71" s="295" t="s">
        <v>303</v>
      </c>
      <c r="E71" s="295" t="str">
        <f t="shared" si="18"/>
        <v>MINBIOTLW_S2</v>
      </c>
      <c r="F71" s="293" t="str">
        <f t="shared" si="12"/>
        <v>Domestic Potential of Tallow  - Step 2</v>
      </c>
      <c r="G71" s="295" t="str">
        <f t="shared" si="13"/>
        <v>Domestic Potential</v>
      </c>
      <c r="H71" s="295" t="str">
        <f>$B$85</f>
        <v>BIOTLW</v>
      </c>
      <c r="I71" s="295" t="str">
        <f t="shared" si="14"/>
        <v>MIN</v>
      </c>
      <c r="J71" s="295" t="str">
        <f>$I$8</f>
        <v>_S2</v>
      </c>
      <c r="K71" s="295" t="s">
        <v>9</v>
      </c>
    </row>
    <row r="72" spans="2:11">
      <c r="B72" s="311" t="s">
        <v>75</v>
      </c>
      <c r="C72" s="295" t="s">
        <v>304</v>
      </c>
      <c r="E72" s="295" t="str">
        <f t="shared" si="18"/>
        <v>MINBIOTLW_S3</v>
      </c>
      <c r="F72" s="293" t="str">
        <f t="shared" si="12"/>
        <v>Domestic Potential of Tallow  - Step 3</v>
      </c>
      <c r="G72" s="295" t="str">
        <f t="shared" si="13"/>
        <v>Domestic Potential</v>
      </c>
      <c r="H72" s="295" t="str">
        <f>$B$85</f>
        <v>BIOTLW</v>
      </c>
      <c r="I72" s="295" t="str">
        <f t="shared" si="14"/>
        <v>MIN</v>
      </c>
      <c r="J72" s="295" t="str">
        <f>$I$9</f>
        <v>_S3</v>
      </c>
      <c r="K72" s="295" t="s">
        <v>9</v>
      </c>
    </row>
    <row r="73" spans="2:11">
      <c r="B73" s="312" t="s">
        <v>77</v>
      </c>
      <c r="C73" s="295" t="s">
        <v>509</v>
      </c>
      <c r="E73" s="295" t="str">
        <f t="shared" si="18"/>
        <v>MINBIORVO_S1</v>
      </c>
      <c r="F73" s="293" t="str">
        <f t="shared" si="12"/>
        <v>Domestic Potential of Recovered Vegetable Oil  - Step 1</v>
      </c>
      <c r="G73" s="295" t="str">
        <f t="shared" si="13"/>
        <v>Domestic Potential</v>
      </c>
      <c r="H73" s="295" t="str">
        <f>$B$86</f>
        <v>BIORVO</v>
      </c>
      <c r="I73" s="295" t="str">
        <f t="shared" si="14"/>
        <v>MIN</v>
      </c>
      <c r="J73" s="295" t="str">
        <f>$I$7</f>
        <v>_S1</v>
      </c>
      <c r="K73" s="295" t="s">
        <v>9</v>
      </c>
    </row>
    <row r="74" spans="2:11">
      <c r="B74" s="311" t="s">
        <v>178</v>
      </c>
      <c r="C74" s="295" t="s">
        <v>305</v>
      </c>
      <c r="E74" s="295" t="str">
        <f t="shared" si="18"/>
        <v>MINBIORVO_S2</v>
      </c>
      <c r="F74" s="293" t="str">
        <f t="shared" si="12"/>
        <v>Domestic Potential of Recovered Vegetable Oil  - Step 2</v>
      </c>
      <c r="G74" s="295" t="str">
        <f t="shared" si="13"/>
        <v>Domestic Potential</v>
      </c>
      <c r="H74" s="295" t="str">
        <f>$B$86</f>
        <v>BIORVO</v>
      </c>
      <c r="I74" s="295" t="str">
        <f t="shared" si="14"/>
        <v>MIN</v>
      </c>
      <c r="J74" s="295" t="str">
        <f>$I$8</f>
        <v>_S2</v>
      </c>
      <c r="K74" s="295" t="s">
        <v>9</v>
      </c>
    </row>
    <row r="75" spans="2:11">
      <c r="B75" s="311" t="s">
        <v>179</v>
      </c>
      <c r="C75" s="295" t="s">
        <v>306</v>
      </c>
      <c r="E75" s="295" t="str">
        <f t="shared" si="18"/>
        <v>MINBIORVO_S3</v>
      </c>
      <c r="F75" s="293" t="str">
        <f t="shared" si="12"/>
        <v>Domestic Potential of Recovered Vegetable Oil  - Step 3</v>
      </c>
      <c r="G75" s="295" t="str">
        <f t="shared" si="13"/>
        <v>Domestic Potential</v>
      </c>
      <c r="H75" s="295" t="str">
        <f>$B$86</f>
        <v>BIORVO</v>
      </c>
      <c r="I75" s="295" t="str">
        <f t="shared" si="14"/>
        <v>MIN</v>
      </c>
      <c r="J75" s="295" t="str">
        <f>$I$9</f>
        <v>_S3</v>
      </c>
      <c r="K75" s="295" t="s">
        <v>9</v>
      </c>
    </row>
    <row r="76" spans="2:11">
      <c r="B76" s="339" t="s">
        <v>497</v>
      </c>
      <c r="C76" s="340" t="s">
        <v>496</v>
      </c>
      <c r="E76" s="340" t="str">
        <f t="shared" ref="E76:E85" si="19">I76&amp;H76&amp;J76</f>
        <v>MINBIOJKR_S1</v>
      </c>
      <c r="F76" s="340" t="str">
        <f t="shared" si="12"/>
        <v>Domestic Potential of Bio Jet Kerosene - Step 1</v>
      </c>
      <c r="G76" s="340" t="str">
        <f>VLOOKUP(I76,$E$4:$F$9,2,FALSE)</f>
        <v>Domestic Potential</v>
      </c>
      <c r="H76" s="340" t="str">
        <f>$B$76</f>
        <v>BIOJKR</v>
      </c>
      <c r="I76" s="340" t="str">
        <f t="shared" si="14"/>
        <v>MIN</v>
      </c>
      <c r="J76" s="340" t="str">
        <f>$I$7</f>
        <v>_S1</v>
      </c>
      <c r="K76" s="295" t="s">
        <v>9</v>
      </c>
    </row>
    <row r="77" spans="2:11">
      <c r="B77" s="311" t="s">
        <v>167</v>
      </c>
      <c r="C77" s="295" t="s">
        <v>470</v>
      </c>
      <c r="E77" s="295" t="str">
        <f t="shared" si="19"/>
        <v>MINBIOCATW_S1</v>
      </c>
      <c r="F77" s="293" t="str">
        <f t="shared" ref="F77:F89" si="20">G77 &amp; " of " &amp; VLOOKUP(H77,$B$13:$C$92,2,FALSE) &amp; IF(J77&lt;&gt;0,IF(VLOOKUP(J77,$I$4:$J$10,2,FALSE)&lt;&gt;""," - " &amp; VLOOKUP(J77,$I$4:$J$10,2,FALSE),""),"")</f>
        <v>Domestic Potential of Cattle Waste  - Step 1</v>
      </c>
      <c r="G77" s="295" t="str">
        <f>VLOOKUP(I77,$E$4:$F$9,2,FALSE)</f>
        <v>Domestic Potential</v>
      </c>
      <c r="H77" s="295" t="str">
        <f>$B$87</f>
        <v>BIOCATW</v>
      </c>
      <c r="I77" s="295" t="str">
        <f t="shared" si="14"/>
        <v>MIN</v>
      </c>
      <c r="J77" s="295" t="str">
        <f>$I$7</f>
        <v>_S1</v>
      </c>
      <c r="K77" s="295" t="s">
        <v>9</v>
      </c>
    </row>
    <row r="78" spans="2:11">
      <c r="B78" s="311" t="s">
        <v>467</v>
      </c>
      <c r="C78" s="295" t="s">
        <v>471</v>
      </c>
      <c r="E78" s="295" t="str">
        <f t="shared" si="19"/>
        <v>MINBIOCATW_S2</v>
      </c>
      <c r="F78" s="293" t="str">
        <f t="shared" si="20"/>
        <v>Domestic Potential of Cattle Waste  - Step 2</v>
      </c>
      <c r="G78" s="295" t="str">
        <f>VLOOKUP(I78,$E$4:$F$9,2,FALSE)</f>
        <v>Domestic Potential</v>
      </c>
      <c r="H78" s="295" t="str">
        <f>$B$87</f>
        <v>BIOCATW</v>
      </c>
      <c r="I78" s="295" t="str">
        <f t="shared" si="14"/>
        <v>MIN</v>
      </c>
      <c r="J78" s="295" t="str">
        <f>$I$8</f>
        <v>_S2</v>
      </c>
      <c r="K78" s="295" t="s">
        <v>9</v>
      </c>
    </row>
    <row r="79" spans="2:11">
      <c r="B79" s="311" t="s">
        <v>468</v>
      </c>
      <c r="C79" s="295" t="s">
        <v>472</v>
      </c>
      <c r="E79" s="295" t="str">
        <f t="shared" si="19"/>
        <v>MINBIOCATW_S3</v>
      </c>
      <c r="F79" s="293" t="str">
        <f t="shared" si="20"/>
        <v>Domestic Potential of Cattle Waste  - Step 3</v>
      </c>
      <c r="G79" s="295" t="str">
        <f t="shared" ref="G79:G85" si="21">VLOOKUP(I79,$E$4:$F$9,2,FALSE)</f>
        <v>Domestic Potential</v>
      </c>
      <c r="H79" s="295" t="str">
        <f>$B$87</f>
        <v>BIOCATW</v>
      </c>
      <c r="I79" s="295" t="str">
        <f t="shared" si="14"/>
        <v>MIN</v>
      </c>
      <c r="J79" s="295" t="str">
        <f>$I$9</f>
        <v>_S3</v>
      </c>
      <c r="K79" s="295" t="s">
        <v>9</v>
      </c>
    </row>
    <row r="80" spans="2:11">
      <c r="B80" s="311" t="s">
        <v>469</v>
      </c>
      <c r="C80" s="295" t="s">
        <v>473</v>
      </c>
      <c r="E80" s="295" t="str">
        <f t="shared" si="19"/>
        <v>MINBIOPIGW_S1</v>
      </c>
      <c r="F80" s="293" t="str">
        <f t="shared" si="20"/>
        <v>Domestic Potential of Pig Waste  - Step 1</v>
      </c>
      <c r="G80" s="295" t="str">
        <f t="shared" si="21"/>
        <v>Domestic Potential</v>
      </c>
      <c r="H80" s="295" t="str">
        <f>$B$88</f>
        <v>BIOPIGW</v>
      </c>
      <c r="I80" s="295" t="str">
        <f t="shared" si="14"/>
        <v>MIN</v>
      </c>
      <c r="J80" s="295" t="str">
        <f>$I$7</f>
        <v>_S1</v>
      </c>
      <c r="K80" s="295" t="s">
        <v>9</v>
      </c>
    </row>
    <row r="81" spans="2:12">
      <c r="B81" s="311" t="s">
        <v>62</v>
      </c>
      <c r="C81" s="295" t="s">
        <v>307</v>
      </c>
      <c r="E81" s="295" t="str">
        <f t="shared" si="19"/>
        <v>MINBIOPIGW_S2</v>
      </c>
      <c r="F81" s="293" t="str">
        <f t="shared" si="20"/>
        <v>Domestic Potential of Pig Waste  - Step 2</v>
      </c>
      <c r="G81" s="295" t="str">
        <f t="shared" si="21"/>
        <v>Domestic Potential</v>
      </c>
      <c r="H81" s="295" t="str">
        <f>$B$88</f>
        <v>BIOPIGW</v>
      </c>
      <c r="I81" s="295" t="str">
        <f t="shared" si="14"/>
        <v>MIN</v>
      </c>
      <c r="J81" s="295" t="str">
        <f>$I$8</f>
        <v>_S2</v>
      </c>
      <c r="K81" s="295" t="s">
        <v>9</v>
      </c>
    </row>
    <row r="82" spans="2:12">
      <c r="B82" s="311" t="s">
        <v>63</v>
      </c>
      <c r="C82" s="295" t="s">
        <v>308</v>
      </c>
      <c r="E82" s="295" t="str">
        <f t="shared" si="19"/>
        <v>MINBIOPIGW_S3</v>
      </c>
      <c r="F82" s="293" t="str">
        <f t="shared" si="20"/>
        <v>Domestic Potential of Pig Waste  - Step 3</v>
      </c>
      <c r="G82" s="295" t="str">
        <f t="shared" si="21"/>
        <v>Domestic Potential</v>
      </c>
      <c r="H82" s="295" t="str">
        <f>$B$88</f>
        <v>BIOPIGW</v>
      </c>
      <c r="I82" s="295" t="str">
        <f t="shared" si="14"/>
        <v>MIN</v>
      </c>
      <c r="J82" s="295" t="str">
        <f>$I$9</f>
        <v>_S3</v>
      </c>
      <c r="K82" s="295" t="s">
        <v>9</v>
      </c>
    </row>
    <row r="83" spans="2:12">
      <c r="B83" s="311" t="s">
        <v>174</v>
      </c>
      <c r="C83" s="295" t="s">
        <v>309</v>
      </c>
      <c r="E83" s="295" t="str">
        <f t="shared" si="19"/>
        <v>MINBIOINDF_S1</v>
      </c>
      <c r="F83" s="293" t="str">
        <f t="shared" si="20"/>
        <v>Domestic Potential of Industrial Food Waste  - Step 1</v>
      </c>
      <c r="G83" s="295" t="str">
        <f t="shared" si="21"/>
        <v>Domestic Potential</v>
      </c>
      <c r="H83" s="295" t="str">
        <f>$B$89</f>
        <v>BIOINDF</v>
      </c>
      <c r="I83" s="295" t="str">
        <f t="shared" si="14"/>
        <v>MIN</v>
      </c>
      <c r="J83" s="295" t="str">
        <f>$I$7</f>
        <v>_S1</v>
      </c>
      <c r="K83" s="295" t="s">
        <v>9</v>
      </c>
    </row>
    <row r="84" spans="2:12">
      <c r="B84" s="312" t="s">
        <v>175</v>
      </c>
      <c r="C84" s="295" t="s">
        <v>310</v>
      </c>
      <c r="E84" s="295" t="str">
        <f t="shared" si="19"/>
        <v>MINBIOINDF_S2</v>
      </c>
      <c r="F84" s="293" t="str">
        <f t="shared" si="20"/>
        <v>Domestic Potential of Industrial Food Waste  - Step 2</v>
      </c>
      <c r="G84" s="295" t="str">
        <f t="shared" si="21"/>
        <v>Domestic Potential</v>
      </c>
      <c r="H84" s="295" t="str">
        <f>$B$89</f>
        <v>BIOINDF</v>
      </c>
      <c r="I84" s="295" t="str">
        <f t="shared" si="14"/>
        <v>MIN</v>
      </c>
      <c r="J84" s="295" t="str">
        <f>$I$8</f>
        <v>_S2</v>
      </c>
      <c r="K84" s="295" t="s">
        <v>9</v>
      </c>
      <c r="L84" s="293"/>
    </row>
    <row r="85" spans="2:12">
      <c r="B85" s="311" t="s">
        <v>171</v>
      </c>
      <c r="C85" s="295" t="s">
        <v>311</v>
      </c>
      <c r="E85" s="295" t="str">
        <f t="shared" si="19"/>
        <v>MINBIOINDF_S3</v>
      </c>
      <c r="F85" s="293" t="str">
        <f t="shared" si="20"/>
        <v>Domestic Potential of Industrial Food Waste  - Step 3</v>
      </c>
      <c r="G85" s="295" t="str">
        <f t="shared" si="21"/>
        <v>Domestic Potential</v>
      </c>
      <c r="H85" s="295" t="str">
        <f>$B$89</f>
        <v>BIOINDF</v>
      </c>
      <c r="I85" s="295" t="str">
        <f t="shared" si="14"/>
        <v>MIN</v>
      </c>
      <c r="J85" s="295" t="str">
        <f>$I$9</f>
        <v>_S3</v>
      </c>
      <c r="K85" s="295" t="s">
        <v>9</v>
      </c>
      <c r="L85" s="293"/>
    </row>
    <row r="86" spans="2:12">
      <c r="B86" s="311" t="s">
        <v>170</v>
      </c>
      <c r="C86" s="295" t="s">
        <v>312</v>
      </c>
      <c r="E86" s="295" t="str">
        <f t="shared" ref="E86:E87" si="22">I86&amp;H86&amp;J86</f>
        <v>MINCYC</v>
      </c>
      <c r="F86" s="293" t="str">
        <f t="shared" si="20"/>
        <v>Domestic Potential of Cycling</v>
      </c>
      <c r="G86" s="295" t="str">
        <f t="shared" ref="G86:G87" si="23">VLOOKUP(I86,$E$4:$F$9,2,FALSE)</f>
        <v>Domestic Potential</v>
      </c>
      <c r="H86" s="295" t="str">
        <f>$B$91</f>
        <v>CYC</v>
      </c>
      <c r="I86" s="295" t="str">
        <f t="shared" si="14"/>
        <v>MIN</v>
      </c>
      <c r="J86" s="295"/>
      <c r="K86" s="295" t="s">
        <v>9</v>
      </c>
    </row>
    <row r="87" spans="2:12">
      <c r="B87" s="311" t="s">
        <v>173</v>
      </c>
      <c r="C87" s="295" t="s">
        <v>313</v>
      </c>
      <c r="E87" s="295" t="str">
        <f t="shared" si="22"/>
        <v>MINWLK</v>
      </c>
      <c r="F87" s="293" t="str">
        <f t="shared" si="20"/>
        <v>Domestic Potential of Walking</v>
      </c>
      <c r="G87" s="295" t="str">
        <f t="shared" si="23"/>
        <v>Domestic Potential</v>
      </c>
      <c r="H87" s="295" t="str">
        <f>$B$92</f>
        <v>WLK</v>
      </c>
      <c r="I87" s="295" t="str">
        <f t="shared" si="14"/>
        <v>MIN</v>
      </c>
      <c r="J87" s="295"/>
      <c r="K87" s="295" t="s">
        <v>9</v>
      </c>
    </row>
    <row r="88" spans="2:12">
      <c r="B88" s="311" t="s">
        <v>172</v>
      </c>
      <c r="C88" s="295" t="s">
        <v>314</v>
      </c>
      <c r="E88" s="295" t="str">
        <f t="shared" ref="E88" si="24">I88&amp;H88&amp;J88</f>
        <v>MINAMBHET</v>
      </c>
      <c r="F88" s="293" t="str">
        <f>G88 &amp; " of " &amp; VLOOKUP(H88,$B$13:$C$93,2,FALSE) &amp; IF(J88&lt;&gt;0,IF(VLOOKUP(J88,$I$4:$J$10,2,FALSE)&lt;&gt;""," - " &amp; VLOOKUP(J88,$I$4:$J$10,2,FALSE),""),"")</f>
        <v>Domestic Potential of Ambient Heat</v>
      </c>
      <c r="G88" s="295" t="str">
        <f t="shared" ref="G88" si="25">VLOOKUP(I88,$E$4:$F$9,2,FALSE)</f>
        <v>Domestic Potential</v>
      </c>
      <c r="H88" s="295" t="str">
        <f>$B$93</f>
        <v>AMBHET</v>
      </c>
      <c r="I88" s="295" t="str">
        <f t="shared" si="14"/>
        <v>MIN</v>
      </c>
      <c r="J88" s="295"/>
      <c r="K88" s="295" t="s">
        <v>9</v>
      </c>
    </row>
    <row r="89" spans="2:12">
      <c r="B89" s="311" t="s">
        <v>176</v>
      </c>
      <c r="C89" s="295" t="s">
        <v>315</v>
      </c>
      <c r="E89" s="295" t="str">
        <f t="shared" ref="E89:E90" si="26">I89&amp;H89&amp;J89</f>
        <v>IMPELC_UK</v>
      </c>
      <c r="F89" s="293" t="str">
        <f t="shared" si="20"/>
        <v>Import of Electricity - UK</v>
      </c>
      <c r="G89" s="295" t="str">
        <f t="shared" ref="G89:G90" si="27">VLOOKUP(I89,$E$4:$F$9,2,FALSE)</f>
        <v>Import</v>
      </c>
      <c r="H89" s="295" t="str">
        <f>$B$43</f>
        <v>ELC</v>
      </c>
      <c r="I89" s="295" t="str">
        <f>$E$5</f>
        <v>IMP</v>
      </c>
      <c r="J89" s="295" t="str">
        <f>$I$4</f>
        <v>_UK</v>
      </c>
      <c r="K89" s="295" t="s">
        <v>13</v>
      </c>
    </row>
    <row r="90" spans="2:12">
      <c r="B90" s="311" t="s">
        <v>425</v>
      </c>
      <c r="C90" s="295" t="s">
        <v>426</v>
      </c>
      <c r="E90" s="295" t="str">
        <f t="shared" si="26"/>
        <v>EXPELC_UK</v>
      </c>
      <c r="F90" s="293" t="str">
        <f>G90 &amp; " of " &amp; VLOOKUP(H90,$B$13:$C$91,2,FALSE) &amp; IF(J90&lt;&gt;0,IF(VLOOKUP(J90,$I$4:$J$10,2,FALSE)&lt;&gt;""," - " &amp; VLOOKUP(J90,$I$4:$J$10,2,FALSE),""),"")</f>
        <v>Export of Electricity - UK</v>
      </c>
      <c r="G90" s="295" t="str">
        <f t="shared" si="27"/>
        <v>Export</v>
      </c>
      <c r="H90" s="295" t="str">
        <f>$B$43</f>
        <v>ELC</v>
      </c>
      <c r="I90" s="295" t="str">
        <f>$E$6</f>
        <v>EXP</v>
      </c>
      <c r="J90" s="295" t="str">
        <f>$I$4</f>
        <v>_UK</v>
      </c>
      <c r="K90" s="295" t="s">
        <v>64</v>
      </c>
    </row>
    <row r="91" spans="2:12">
      <c r="B91" s="312" t="s">
        <v>492</v>
      </c>
      <c r="C91" s="295" t="s">
        <v>494</v>
      </c>
      <c r="E91" s="295" t="str">
        <f t="shared" ref="E91" si="28">I91&amp;H91&amp;J91</f>
        <v>BDNBIOWOO</v>
      </c>
      <c r="F91" s="293" t="str">
        <f>G91 &amp; " of " &amp; VLOOKUP(H91,$B$13:$C$91,2,FALSE) &amp; IF(J91&lt;&gt;0,IF(VLOOKUP(J91,$I$4:$J$10,2,FALSE)&lt;&gt;""," - " &amp; VLOOKUP(J91,$I$4:$J$10,2,FALSE),""),"")</f>
        <v xml:space="preserve">Blending of Biomass - generic </v>
      </c>
      <c r="G91" s="295" t="str">
        <f>VLOOKUP(I91,$E$4:$F$9,2,FALSE)</f>
        <v>Blending</v>
      </c>
      <c r="H91" s="295" t="str">
        <f>B77</f>
        <v>BIOWOO</v>
      </c>
      <c r="I91" s="295" t="str">
        <f>$E$9</f>
        <v>BDN</v>
      </c>
      <c r="K91" s="295" t="s">
        <v>186</v>
      </c>
    </row>
    <row r="92" spans="2:12">
      <c r="B92" s="311" t="s">
        <v>493</v>
      </c>
      <c r="C92" s="295" t="s">
        <v>495</v>
      </c>
      <c r="E92" s="295" t="str">
        <f>LEFT(B4,1)&amp;I92&amp;H92&amp;J92</f>
        <v>SREFOILCRD_Whitegate</v>
      </c>
      <c r="F92" s="293" t="str">
        <f>G92 &amp; " of " &amp; VLOOKUP(H92,$B$13:$C$91,2,FALSE) &amp; IF(J92&lt;&gt;0,IF(VLOOKUP(J92,$I$4:$J$10,2,FALSE)&lt;&gt;""," - " &amp; VLOOKUP(J92,$I$4:$J$10,2,FALSE),""),"")</f>
        <v>Refinery of Crude Oil  - Whitegate</v>
      </c>
      <c r="G92" s="295" t="str">
        <f>VLOOKUP(I92,$E$4:$F$9,2,FALSE)</f>
        <v>Refinery</v>
      </c>
      <c r="H92" t="str">
        <f>B51</f>
        <v>OILCRD</v>
      </c>
      <c r="I92" s="295" t="str">
        <f>$E$7</f>
        <v>REF</v>
      </c>
      <c r="J92" t="str">
        <f>I6</f>
        <v>_Whitegate</v>
      </c>
      <c r="K92" s="295" t="s">
        <v>186</v>
      </c>
    </row>
    <row r="93" spans="2:12">
      <c r="B93" s="311" t="s">
        <v>498</v>
      </c>
      <c r="C93" s="295" t="s">
        <v>499</v>
      </c>
      <c r="E93" s="295" t="str">
        <f>I93&amp;$B$4&amp;H93&amp;J93</f>
        <v>FT-SUPNGA</v>
      </c>
      <c r="F93" s="293" t="str">
        <f>G93 &amp; " - " &amp; VLOOKUP(H93,$B$13:$C$92,2,FALSE) &amp; IF(J93&lt;&gt;0,IF(VLOOKUP(J93,$I$4:$J$10,2,FALSE)&lt;&gt;""," - " &amp; VLOOKUP(J93,$I$4:$J$10,2,FALSE),""),"") &amp; " (" &amp; $B$4 &amp; ")"</f>
        <v>Fuel Tech - Natural Gas (SUP)</v>
      </c>
      <c r="G93" s="295" t="str">
        <f t="shared" ref="G93" si="29">VLOOKUP(I93,$E$4:$F$9,2,FALSE)</f>
        <v>Fuel Tech</v>
      </c>
      <c r="H93" s="293" t="str">
        <f>B20</f>
        <v>NGA</v>
      </c>
      <c r="I93" s="295" t="str">
        <f>$E$8</f>
        <v>FT-</v>
      </c>
      <c r="J93" s="293"/>
      <c r="K93" s="295" t="s">
        <v>186</v>
      </c>
    </row>
    <row r="94" spans="2:12">
      <c r="E94" s="295" t="str">
        <f t="shared" ref="E94:E97" si="30">I94&amp;$B$4&amp;H94&amp;J94</f>
        <v>FT-SUPCOA</v>
      </c>
      <c r="F94" s="293" t="str">
        <f>G94 &amp; " - " &amp; VLOOKUP(H94,$B$13:$C$92,2,FALSE) &amp; IF(J94&lt;&gt;0,IF(VLOOKUP(J94,$I$4:$J$10,2,FALSE)&lt;&gt;""," - " &amp; VLOOKUP(J94,$I$4:$J$10,2,FALSE),""),"") &amp; " (" &amp; $B$4 &amp; ")"</f>
        <v>Fuel Tech - Coal (SUP)</v>
      </c>
      <c r="G94" s="295" t="str">
        <f t="shared" ref="G94:G97" si="31">VLOOKUP(I94,$E$4:$F$9,2,FALSE)</f>
        <v>Fuel Tech</v>
      </c>
      <c r="H94" s="293" t="str">
        <f>B13</f>
        <v>COA</v>
      </c>
      <c r="I94" s="295" t="str">
        <f t="shared" ref="I94:I97" si="32">$E$8</f>
        <v>FT-</v>
      </c>
      <c r="J94" s="293"/>
      <c r="K94" s="295" t="s">
        <v>186</v>
      </c>
    </row>
    <row r="95" spans="2:12">
      <c r="E95" s="295" t="str">
        <f t="shared" si="30"/>
        <v>FT-SUPWAS</v>
      </c>
      <c r="F95" s="293" t="str">
        <f>G95 &amp; " - " &amp; VLOOKUP(H95,$B$13:$C$92,2,FALSE) &amp; IF(J95&lt;&gt;0,IF(VLOOKUP(J95,$I$4:$J$10,2,FALSE)&lt;&gt;""," - " &amp; VLOOKUP(J95,$I$4:$J$10,2,FALSE),""),"") &amp; " (" &amp; $B$4 &amp; ")"</f>
        <v>Fuel Tech - Waste (SUP)</v>
      </c>
      <c r="G95" s="295" t="str">
        <f t="shared" si="31"/>
        <v>Fuel Tech</v>
      </c>
      <c r="H95" s="293" t="str">
        <f>B45</f>
        <v>WAS</v>
      </c>
      <c r="I95" s="295" t="str">
        <f t="shared" si="32"/>
        <v>FT-</v>
      </c>
      <c r="J95" s="293"/>
      <c r="K95" s="295" t="s">
        <v>186</v>
      </c>
    </row>
    <row r="96" spans="2:12">
      <c r="E96" s="295" t="str">
        <f t="shared" si="30"/>
        <v>FT-SUPBIO</v>
      </c>
      <c r="F96" s="293" t="str">
        <f>G96 &amp; " - " &amp; VLOOKUP(H96,$B$13:$C$92,2,FALSE) &amp; IF(J96&lt;&gt;0,IF(VLOOKUP(J96,$I$4:$J$10,2,FALSE)&lt;&gt;""," - " &amp; VLOOKUP(J96,$I$4:$J$10,2,FALSE),""),"") &amp; " (" &amp; $B$4 &amp; ")"</f>
        <v>Fuel Tech - Biomass (SUP)</v>
      </c>
      <c r="G96" s="295" t="str">
        <f t="shared" si="31"/>
        <v>Fuel Tech</v>
      </c>
      <c r="H96" s="293" t="str">
        <f>B21</f>
        <v>BIO</v>
      </c>
      <c r="I96" s="295" t="str">
        <f t="shared" si="32"/>
        <v>FT-</v>
      </c>
      <c r="J96" s="293"/>
      <c r="K96" s="295" t="s">
        <v>186</v>
      </c>
    </row>
    <row r="97" spans="5:11">
      <c r="E97" s="295" t="str">
        <f t="shared" si="30"/>
        <v>FT-SUPELC</v>
      </c>
      <c r="F97" s="293" t="str">
        <f>G97 &amp; " - " &amp; VLOOKUP(H97,$B$13:$C$92,2,FALSE) &amp; IF(J97&lt;&gt;0,IF(VLOOKUP(J97,$I$4:$J$10,2,FALSE)&lt;&gt;""," - " &amp; VLOOKUP(J97,$I$4:$J$10,2,FALSE),""),"") &amp; " (" &amp; $B$4 &amp; ")"</f>
        <v>Fuel Tech - Electricity (SUP)</v>
      </c>
      <c r="G97" s="295" t="str">
        <f t="shared" si="31"/>
        <v>Fuel Tech</v>
      </c>
      <c r="H97" s="293" t="str">
        <f>B43</f>
        <v>ELC</v>
      </c>
      <c r="I97" s="295" t="str">
        <f t="shared" si="32"/>
        <v>FT-</v>
      </c>
      <c r="J97" s="293"/>
      <c r="K97" s="295" t="s">
        <v>186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B2:S36"/>
  <sheetViews>
    <sheetView workbookViewId="0">
      <selection activeCell="K5" sqref="K5"/>
    </sheetView>
  </sheetViews>
  <sheetFormatPr defaultColWidth="9.140625" defaultRowHeight="15"/>
  <cols>
    <col min="1" max="1" width="9.140625" style="42"/>
    <col min="2" max="2" width="15.5703125" style="42" customWidth="1"/>
    <col min="3" max="3" width="26.5703125" style="42" bestFit="1" customWidth="1"/>
    <col min="4" max="4" width="10.85546875" style="42" customWidth="1"/>
    <col min="5" max="5" width="10.85546875" style="42" bestFit="1" customWidth="1"/>
    <col min="6" max="14" width="10.140625" style="42" customWidth="1"/>
    <col min="15" max="20" width="10.28515625" style="42" customWidth="1"/>
    <col min="21" max="21" width="9.140625" style="42"/>
    <col min="22" max="22" width="12" style="42" bestFit="1" customWidth="1"/>
    <col min="23" max="23" width="26.5703125" style="42" bestFit="1" customWidth="1"/>
    <col min="24" max="16384" width="9.140625" style="42"/>
  </cols>
  <sheetData>
    <row r="2" spans="2:19" ht="18.75">
      <c r="B2" s="16" t="s">
        <v>59</v>
      </c>
      <c r="C2" s="17"/>
      <c r="E2" s="18" t="s">
        <v>97</v>
      </c>
      <c r="F2" s="214"/>
      <c r="G2" s="19"/>
      <c r="H2" s="19"/>
      <c r="I2" s="19"/>
      <c r="J2" s="19"/>
      <c r="K2" s="19"/>
    </row>
    <row r="3" spans="2:19" ht="25.5">
      <c r="B3" s="21" t="s">
        <v>2</v>
      </c>
      <c r="C3" s="21" t="s">
        <v>3</v>
      </c>
      <c r="D3" s="22" t="s">
        <v>69</v>
      </c>
      <c r="E3" s="22" t="s">
        <v>40</v>
      </c>
      <c r="F3" s="24" t="s">
        <v>42</v>
      </c>
      <c r="G3" s="24" t="s">
        <v>43</v>
      </c>
      <c r="H3" s="24" t="s">
        <v>45</v>
      </c>
      <c r="I3" s="24" t="s">
        <v>46</v>
      </c>
      <c r="J3" s="24" t="s">
        <v>47</v>
      </c>
      <c r="K3" s="24" t="s">
        <v>486</v>
      </c>
      <c r="L3" s="24" t="s">
        <v>66</v>
      </c>
      <c r="M3" s="24" t="s">
        <v>67</v>
      </c>
      <c r="N3" s="133" t="s">
        <v>68</v>
      </c>
    </row>
    <row r="4" spans="2:19" ht="15.75" thickBot="1">
      <c r="B4" s="26" t="s">
        <v>48</v>
      </c>
      <c r="C4" s="27" t="s">
        <v>49</v>
      </c>
      <c r="D4" s="27"/>
      <c r="E4" s="27"/>
      <c r="F4" s="28" t="s">
        <v>56</v>
      </c>
      <c r="G4" s="28" t="s">
        <v>56</v>
      </c>
      <c r="H4" s="28" t="s">
        <v>56</v>
      </c>
      <c r="I4" s="28" t="s">
        <v>56</v>
      </c>
      <c r="J4" s="28" t="s">
        <v>56</v>
      </c>
      <c r="K4" s="28" t="s">
        <v>10</v>
      </c>
      <c r="L4" s="28" t="s">
        <v>10</v>
      </c>
      <c r="M4" s="28" t="s">
        <v>10</v>
      </c>
      <c r="N4" s="56"/>
    </row>
    <row r="5" spans="2:19">
      <c r="B5" s="42" t="str">
        <f>Processes!C85</f>
        <v>IMPELC_UK</v>
      </c>
      <c r="C5" s="42" t="str">
        <f>Processes!D85</f>
        <v>Import of Electricity - UK</v>
      </c>
      <c r="E5" s="42" t="str">
        <f>Commodities!C58</f>
        <v>ELCC</v>
      </c>
      <c r="F5" s="193">
        <f>F22</f>
        <v>12.785422166133992</v>
      </c>
      <c r="G5" s="193">
        <f>G22</f>
        <v>13.29765454468259</v>
      </c>
      <c r="H5" s="193">
        <f>H22</f>
        <v>19.864459777168182</v>
      </c>
      <c r="I5" s="193">
        <f>I22</f>
        <v>23.122039979266045</v>
      </c>
      <c r="J5" s="193">
        <f>J22</f>
        <v>26.829511103517522</v>
      </c>
      <c r="K5" s="54">
        <f>'EB2018'!AO3*Conversions!B2</f>
        <v>5.8385184241824009</v>
      </c>
      <c r="L5" s="53">
        <f>MAX(K5:K5)*1.1</f>
        <v>6.422370266600641</v>
      </c>
      <c r="M5" s="53">
        <f>L5</f>
        <v>6.422370266600641</v>
      </c>
      <c r="N5" s="47">
        <v>5</v>
      </c>
    </row>
    <row r="6" spans="2:19">
      <c r="B6" s="49" t="str">
        <f>Processes!C86</f>
        <v>EXPELC_UK</v>
      </c>
      <c r="C6" s="49" t="str">
        <f>Processes!D86</f>
        <v>Export of Electricity - UK</v>
      </c>
      <c r="D6" s="49" t="str">
        <f>Commodities!C58</f>
        <v>ELCC</v>
      </c>
      <c r="E6" s="49"/>
      <c r="F6" s="236">
        <f t="shared" ref="F6:J6" si="0">F5*0.7</f>
        <v>8.9497955162937934</v>
      </c>
      <c r="G6" s="50">
        <f t="shared" si="0"/>
        <v>9.3083581812778124</v>
      </c>
      <c r="H6" s="50">
        <f t="shared" si="0"/>
        <v>13.905121844017726</v>
      </c>
      <c r="I6" s="50">
        <f t="shared" si="0"/>
        <v>16.185427985486232</v>
      </c>
      <c r="J6" s="50">
        <f t="shared" si="0"/>
        <v>18.780657772462263</v>
      </c>
      <c r="K6" s="55">
        <f>'EB2018'!AO4*Conversions!B2</f>
        <v>5.9383641411770398</v>
      </c>
      <c r="L6" s="51">
        <f>L5</f>
        <v>6.422370266600641</v>
      </c>
      <c r="M6" s="51">
        <f t="shared" ref="M6" si="1">M5</f>
        <v>6.422370266600641</v>
      </c>
      <c r="N6" s="52">
        <v>5</v>
      </c>
    </row>
    <row r="7" spans="2:19">
      <c r="B7" s="57" t="s">
        <v>71</v>
      </c>
      <c r="C7" s="57"/>
      <c r="D7" s="57"/>
      <c r="E7" s="57"/>
      <c r="F7" s="518" t="s">
        <v>195</v>
      </c>
      <c r="G7" s="518"/>
      <c r="H7" s="518"/>
      <c r="I7" s="518"/>
      <c r="J7" s="518"/>
      <c r="K7" s="331" t="s">
        <v>72</v>
      </c>
      <c r="L7" s="518" t="s">
        <v>270</v>
      </c>
      <c r="M7" s="518"/>
      <c r="N7" s="57"/>
    </row>
    <row r="9" spans="2:19">
      <c r="N9" s="48"/>
      <c r="O9" s="48"/>
      <c r="P9" s="48"/>
    </row>
    <row r="11" spans="2:19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2:19">
      <c r="B12"/>
      <c r="D12" t="s">
        <v>154</v>
      </c>
      <c r="E12"/>
      <c r="F12" t="s">
        <v>153</v>
      </c>
      <c r="G12"/>
      <c r="H12"/>
      <c r="I12" s="293"/>
      <c r="J12"/>
      <c r="K12"/>
      <c r="L12"/>
      <c r="M12"/>
      <c r="N12"/>
      <c r="O12"/>
      <c r="P12"/>
      <c r="Q12"/>
      <c r="R12"/>
    </row>
    <row r="13" spans="2:19">
      <c r="B13"/>
      <c r="D13" t="s">
        <v>152</v>
      </c>
      <c r="E13"/>
      <c r="F13" s="293">
        <v>2015</v>
      </c>
      <c r="G13">
        <v>2020</v>
      </c>
      <c r="H13">
        <v>2030</v>
      </c>
      <c r="I13">
        <v>2040</v>
      </c>
      <c r="J13">
        <v>2050</v>
      </c>
      <c r="K13"/>
      <c r="L13"/>
      <c r="M13"/>
      <c r="N13"/>
      <c r="O13"/>
    </row>
    <row r="14" spans="2:19">
      <c r="B14" t="s">
        <v>151</v>
      </c>
      <c r="D14">
        <v>1800</v>
      </c>
      <c r="E14"/>
      <c r="F14" s="293"/>
      <c r="G14"/>
      <c r="H14"/>
      <c r="I14"/>
      <c r="J14"/>
      <c r="K14"/>
      <c r="L14"/>
      <c r="M14"/>
      <c r="N14"/>
      <c r="O14"/>
      <c r="P14" s="274"/>
    </row>
    <row r="15" spans="2:19">
      <c r="B15" t="s">
        <v>150</v>
      </c>
      <c r="D15">
        <v>0.47499999999999998</v>
      </c>
      <c r="E15"/>
      <c r="F15" s="190">
        <f>F19/$D$15</f>
        <v>59.752421052631576</v>
      </c>
      <c r="G15" s="190">
        <f>G19/$D$15</f>
        <v>59.752421052631576</v>
      </c>
      <c r="H15" s="190">
        <v>60</v>
      </c>
      <c r="I15" s="190">
        <v>60</v>
      </c>
      <c r="J15" s="190">
        <f>J19/$D$15</f>
        <v>59.752421052631576</v>
      </c>
      <c r="K15"/>
      <c r="L15" t="s">
        <v>10</v>
      </c>
      <c r="M15" t="s">
        <v>149</v>
      </c>
      <c r="N15"/>
      <c r="O15"/>
    </row>
    <row r="16" spans="2:19">
      <c r="B16"/>
      <c r="D16"/>
      <c r="E16"/>
      <c r="F16" s="293"/>
      <c r="G16"/>
      <c r="H16"/>
      <c r="I16"/>
      <c r="J16"/>
      <c r="K16"/>
      <c r="L16"/>
      <c r="M16"/>
      <c r="N16"/>
      <c r="O16"/>
    </row>
    <row r="17" spans="2:19">
      <c r="B17" t="s">
        <v>148</v>
      </c>
      <c r="D17"/>
      <c r="E17"/>
      <c r="F17" s="172">
        <f>Imports_Fossil!E6</f>
        <v>5.6772421955803125</v>
      </c>
      <c r="G17" s="172">
        <f>Imports_Fossil!F6</f>
        <v>5.9205525753908965</v>
      </c>
      <c r="H17" s="172">
        <f>Imports_Fossil!G6</f>
        <v>9.0024840529916368</v>
      </c>
      <c r="I17" s="172">
        <f>Imports_Fossil!H6</f>
        <v>10.543449791792009</v>
      </c>
      <c r="J17" s="172">
        <f>Imports_Fossil!I6</f>
        <v>12.348184440837489</v>
      </c>
      <c r="K17"/>
      <c r="L17" s="189" t="str">
        <f>Imports_Fossil!J6</f>
        <v>WEO2016 potential - Current Policies Scenario</v>
      </c>
      <c r="M17"/>
      <c r="N17"/>
      <c r="O17"/>
    </row>
    <row r="18" spans="2:19">
      <c r="B18"/>
      <c r="D18"/>
      <c r="E18"/>
      <c r="F18" s="188">
        <f>F17*F15/F19</f>
        <v>11.952088832800658</v>
      </c>
      <c r="G18" s="188">
        <f>G17*G15/G19</f>
        <v>12.464321211349256</v>
      </c>
      <c r="H18" s="188">
        <f t="shared" ref="H18:J18" si="2">H17*H15/H19</f>
        <v>19.03112644383485</v>
      </c>
      <c r="I18" s="188">
        <f t="shared" si="2"/>
        <v>22.288706645932713</v>
      </c>
      <c r="J18" s="188">
        <f t="shared" si="2"/>
        <v>25.99617777018419</v>
      </c>
      <c r="K18"/>
      <c r="L18" t="s">
        <v>155</v>
      </c>
      <c r="M18"/>
      <c r="N18"/>
      <c r="O18"/>
    </row>
    <row r="19" spans="2:19">
      <c r="B19" t="s">
        <v>147</v>
      </c>
      <c r="D19">
        <v>900</v>
      </c>
      <c r="E19"/>
      <c r="F19" s="172">
        <f t="shared" ref="F19:J19" si="3">$D$19*8760*3.6*10^-6</f>
        <v>28.382399999999997</v>
      </c>
      <c r="G19" s="172">
        <f t="shared" si="3"/>
        <v>28.382399999999997</v>
      </c>
      <c r="H19" s="172">
        <f t="shared" si="3"/>
        <v>28.382399999999997</v>
      </c>
      <c r="I19" s="172">
        <f t="shared" si="3"/>
        <v>28.382399999999997</v>
      </c>
      <c r="J19" s="172">
        <f t="shared" si="3"/>
        <v>28.382399999999997</v>
      </c>
      <c r="K19"/>
      <c r="L19" t="s">
        <v>10</v>
      </c>
      <c r="M19" t="s">
        <v>146</v>
      </c>
      <c r="N19"/>
      <c r="O19"/>
    </row>
    <row r="20" spans="2:19">
      <c r="B20" t="s">
        <v>145</v>
      </c>
      <c r="D20">
        <v>3</v>
      </c>
      <c r="E20"/>
      <c r="F20" s="48">
        <f t="shared" ref="F20:J20" si="4">$D$20/3.6</f>
        <v>0.83333333333333326</v>
      </c>
      <c r="G20" s="48">
        <f t="shared" si="4"/>
        <v>0.83333333333333326</v>
      </c>
      <c r="H20" s="48">
        <f t="shared" si="4"/>
        <v>0.83333333333333326</v>
      </c>
      <c r="I20" s="48">
        <f t="shared" si="4"/>
        <v>0.83333333333333326</v>
      </c>
      <c r="J20" s="48">
        <f t="shared" si="4"/>
        <v>0.83333333333333326</v>
      </c>
      <c r="K20"/>
      <c r="L20" t="s">
        <v>144</v>
      </c>
      <c r="M20" t="s">
        <v>143</v>
      </c>
      <c r="N20"/>
      <c r="O20"/>
    </row>
    <row r="21" spans="2:19">
      <c r="B21"/>
      <c r="C21"/>
      <c r="D21"/>
      <c r="E21"/>
      <c r="F21" s="293"/>
      <c r="G21"/>
      <c r="H21"/>
      <c r="I21"/>
      <c r="J21"/>
      <c r="K21"/>
      <c r="L21"/>
      <c r="M21"/>
      <c r="N21"/>
      <c r="O21"/>
    </row>
    <row r="22" spans="2:19">
      <c r="B22"/>
      <c r="C22"/>
      <c r="D22"/>
      <c r="E22"/>
      <c r="F22" s="187">
        <f t="shared" ref="F22" si="5">F18+F20</f>
        <v>12.785422166133992</v>
      </c>
      <c r="G22" s="187">
        <f t="shared" ref="G22:J22" si="6">G18+G20</f>
        <v>13.29765454468259</v>
      </c>
      <c r="H22" s="187">
        <f t="shared" si="6"/>
        <v>19.864459777168182</v>
      </c>
      <c r="I22" s="187">
        <f t="shared" si="6"/>
        <v>23.122039979266045</v>
      </c>
      <c r="J22" s="187">
        <f t="shared" si="6"/>
        <v>26.829511103517522</v>
      </c>
      <c r="K22"/>
      <c r="L22" s="186" t="s">
        <v>142</v>
      </c>
      <c r="M22" t="s">
        <v>141</v>
      </c>
      <c r="N22"/>
      <c r="O22" t="s">
        <v>140</v>
      </c>
    </row>
    <row r="23" spans="2:19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9">
      <c r="B24"/>
      <c r="C24"/>
      <c r="D24"/>
      <c r="E24"/>
      <c r="F24" s="41"/>
      <c r="G24" s="41"/>
      <c r="H24" s="41"/>
      <c r="I24" s="191"/>
      <c r="J24" s="191"/>
      <c r="K24" s="192"/>
      <c r="L24" s="192"/>
      <c r="M24"/>
      <c r="N24"/>
      <c r="O24"/>
      <c r="P24"/>
      <c r="Q24"/>
    </row>
    <row r="25" spans="2:19">
      <c r="B25"/>
      <c r="C25"/>
      <c r="D25"/>
      <c r="E25"/>
      <c r="F25" s="41"/>
      <c r="G25" s="41"/>
      <c r="H25" s="41"/>
      <c r="I25" s="41"/>
      <c r="J25" s="41"/>
      <c r="K25" s="41"/>
      <c r="L25" s="41"/>
      <c r="M25"/>
      <c r="N25"/>
      <c r="O25"/>
      <c r="P25"/>
      <c r="Q25"/>
    </row>
    <row r="26" spans="2:19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9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19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2:19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2:19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2:19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19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2:19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</sheetData>
  <mergeCells count="2">
    <mergeCell ref="L7:M7"/>
    <mergeCell ref="F7:J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AC73-3506-47A0-A87E-4DEE2B4424AC}">
  <sheetPr codeName="Sheet11"/>
  <dimension ref="A1:J19"/>
  <sheetViews>
    <sheetView workbookViewId="0">
      <selection activeCell="J19" sqref="J19"/>
    </sheetView>
  </sheetViews>
  <sheetFormatPr defaultColWidth="9.140625" defaultRowHeight="15"/>
  <cols>
    <col min="1" max="1" width="9.140625" style="275"/>
    <col min="2" max="2" width="18.85546875" style="275" customWidth="1"/>
    <col min="3" max="16384" width="9.140625" style="275"/>
  </cols>
  <sheetData>
    <row r="1" spans="1:6">
      <c r="A1" s="285" t="s">
        <v>317</v>
      </c>
      <c r="B1" s="285"/>
      <c r="C1" s="286"/>
      <c r="D1" s="286"/>
      <c r="E1" s="286"/>
    </row>
    <row r="4" spans="1:6">
      <c r="B4" s="2" t="s">
        <v>318</v>
      </c>
    </row>
    <row r="5" spans="1:6" ht="15.75" thickBot="1">
      <c r="B5" s="287" t="s">
        <v>16</v>
      </c>
      <c r="C5" s="288" t="str">
        <f>Commodities!C54</f>
        <v>SUPNGA</v>
      </c>
      <c r="D5" s="288" t="str">
        <f>Commodities!C53</f>
        <v>SUPCOA</v>
      </c>
      <c r="E5" s="288" t="str">
        <f>Commodities!C57</f>
        <v>SUPWAS</v>
      </c>
      <c r="F5" s="288" t="s">
        <v>319</v>
      </c>
    </row>
    <row r="6" spans="1:6">
      <c r="B6" s="275" t="str">
        <f>Commodities!C68</f>
        <v>SUPCO2N</v>
      </c>
      <c r="C6" s="148">
        <v>56.1</v>
      </c>
      <c r="D6" s="148">
        <v>96.1</v>
      </c>
      <c r="E6" s="148">
        <v>75.3</v>
      </c>
      <c r="F6" s="148" t="s">
        <v>320</v>
      </c>
    </row>
    <row r="7" spans="1:6">
      <c r="B7" s="275" t="str">
        <f>Commodities!C64</f>
        <v>SUPCH4N</v>
      </c>
      <c r="C7" s="148"/>
      <c r="D7" s="148"/>
      <c r="E7" s="148"/>
    </row>
    <row r="8" spans="1:6">
      <c r="B8" s="275" t="str">
        <f>Commodities!C67</f>
        <v>SUPSO2N</v>
      </c>
      <c r="C8" s="148"/>
      <c r="D8" s="148"/>
      <c r="E8" s="148"/>
    </row>
    <row r="9" spans="1:6">
      <c r="B9" s="275" t="str">
        <f>Commodities!C71</f>
        <v>SUPNOXN</v>
      </c>
      <c r="C9" s="148"/>
      <c r="D9" s="148"/>
      <c r="E9" s="148"/>
    </row>
    <row r="10" spans="1:6">
      <c r="B10" s="274" t="str">
        <f>Commodities!C72</f>
        <v>SUPPM10</v>
      </c>
    </row>
    <row r="11" spans="1:6">
      <c r="B11" s="274" t="str">
        <f>Commodities!C73</f>
        <v>SUPPM25</v>
      </c>
    </row>
    <row r="19" spans="10:10">
      <c r="J19" s="234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>
    <tabColor rgb="FFFF0000"/>
  </sheetPr>
  <dimension ref="A1:Z57"/>
  <sheetViews>
    <sheetView zoomScale="90" zoomScaleNormal="90" workbookViewId="0">
      <pane xSplit="1" topLeftCell="B1" activePane="topRight" state="frozen"/>
      <selection activeCell="D3" sqref="D3"/>
      <selection pane="topRight" activeCell="G13" sqref="G13"/>
    </sheetView>
  </sheetViews>
  <sheetFormatPr defaultRowHeight="15"/>
  <cols>
    <col min="1" max="1" width="20.42578125" customWidth="1"/>
    <col min="2" max="7" width="12" customWidth="1"/>
  </cols>
  <sheetData>
    <row r="1" spans="1:22">
      <c r="A1" s="149" t="s">
        <v>108</v>
      </c>
      <c r="B1" s="142" t="s">
        <v>109</v>
      </c>
      <c r="C1" s="142"/>
      <c r="D1" s="142"/>
      <c r="E1" s="142"/>
      <c r="F1" s="142"/>
      <c r="G1" s="142"/>
      <c r="H1" s="142"/>
      <c r="I1" s="142"/>
      <c r="J1" s="117" t="s">
        <v>110</v>
      </c>
      <c r="P1" s="522" t="s">
        <v>111</v>
      </c>
      <c r="Q1" s="522"/>
    </row>
    <row r="2" spans="1:22">
      <c r="H2" s="142"/>
      <c r="I2" s="142"/>
      <c r="J2" s="61" t="s">
        <v>112</v>
      </c>
      <c r="K2" s="64">
        <v>41.868000000000002</v>
      </c>
      <c r="L2" s="61" t="s">
        <v>113</v>
      </c>
      <c r="P2" s="150" t="s">
        <v>114</v>
      </c>
      <c r="Q2" s="151">
        <v>2010</v>
      </c>
    </row>
    <row r="3" spans="1:22" ht="15.75" thickBot="1">
      <c r="A3" s="152" t="s">
        <v>115</v>
      </c>
      <c r="B3" s="164"/>
      <c r="H3" s="142"/>
      <c r="I3" s="142"/>
      <c r="J3" s="61" t="s">
        <v>116</v>
      </c>
      <c r="K3" s="153">
        <v>4.1868000000000002E-2</v>
      </c>
      <c r="L3" s="61" t="s">
        <v>10</v>
      </c>
      <c r="P3" s="154">
        <v>36861</v>
      </c>
      <c r="Q3" s="155">
        <v>127.61664564943254</v>
      </c>
    </row>
    <row r="4" spans="1:22">
      <c r="A4" s="156" t="s">
        <v>117</v>
      </c>
      <c r="H4" s="142"/>
      <c r="I4" s="142"/>
      <c r="J4" s="41"/>
      <c r="K4" s="157"/>
      <c r="L4" s="41"/>
      <c r="P4" s="142" t="s">
        <v>118</v>
      </c>
      <c r="Q4" s="142"/>
    </row>
    <row r="5" spans="1:22" ht="15.75" thickBot="1">
      <c r="A5" s="158" t="s">
        <v>119</v>
      </c>
      <c r="H5" s="142"/>
      <c r="I5" s="159" t="s">
        <v>120</v>
      </c>
      <c r="J5" s="142"/>
    </row>
    <row r="6" spans="1:22" ht="15.75" thickBot="1">
      <c r="A6" s="160"/>
      <c r="B6" s="161" t="s">
        <v>18</v>
      </c>
      <c r="C6" s="161">
        <v>2010</v>
      </c>
      <c r="D6" s="161">
        <v>2015</v>
      </c>
      <c r="E6" s="161">
        <v>2020</v>
      </c>
      <c r="F6" s="161">
        <v>2025</v>
      </c>
      <c r="G6" s="161">
        <v>2030</v>
      </c>
      <c r="H6" s="142"/>
      <c r="I6" s="162" t="s">
        <v>18</v>
      </c>
      <c r="J6" s="162">
        <v>2010</v>
      </c>
      <c r="K6" s="162">
        <v>2015</v>
      </c>
      <c r="L6" s="162">
        <v>2020</v>
      </c>
      <c r="M6" s="162">
        <v>2025</v>
      </c>
      <c r="N6" s="162">
        <v>2030</v>
      </c>
      <c r="P6" s="158" t="s">
        <v>119</v>
      </c>
    </row>
    <row r="7" spans="1:22" ht="15.75" thickBot="1">
      <c r="A7" s="163" t="s">
        <v>121</v>
      </c>
      <c r="B7" s="164" t="s">
        <v>122</v>
      </c>
      <c r="C7" s="165">
        <v>9358</v>
      </c>
      <c r="D7" s="164">
        <v>0</v>
      </c>
      <c r="E7" s="165">
        <v>24163</v>
      </c>
      <c r="F7" s="165">
        <v>139233</v>
      </c>
      <c r="G7" s="165">
        <v>470124</v>
      </c>
      <c r="H7" s="142"/>
      <c r="I7" s="136" t="s">
        <v>10</v>
      </c>
      <c r="J7" s="118">
        <f>C7*$K$3/1000</f>
        <v>0.39180074400000003</v>
      </c>
      <c r="K7" s="118">
        <f t="shared" ref="K7:N7" si="0">D7*$K$3/1000</f>
        <v>0</v>
      </c>
      <c r="L7" s="118">
        <f t="shared" si="0"/>
        <v>1.0116564840000002</v>
      </c>
      <c r="M7" s="118">
        <f t="shared" si="0"/>
        <v>5.8294072440000004</v>
      </c>
      <c r="N7" s="118">
        <f t="shared" si="0"/>
        <v>19.683151632000001</v>
      </c>
      <c r="P7" s="166" t="s">
        <v>123</v>
      </c>
      <c r="Q7" s="167"/>
      <c r="R7" s="167"/>
      <c r="S7" s="167"/>
    </row>
    <row r="8" spans="1:22" ht="15.75" thickBot="1">
      <c r="A8" s="163" t="s">
        <v>121</v>
      </c>
      <c r="B8" s="164" t="s">
        <v>124</v>
      </c>
      <c r="C8" s="164">
        <v>288</v>
      </c>
      <c r="D8" s="164">
        <v>162</v>
      </c>
      <c r="E8" s="164">
        <v>126</v>
      </c>
      <c r="F8" s="164">
        <v>106</v>
      </c>
      <c r="G8" s="164">
        <v>98</v>
      </c>
      <c r="H8" s="142"/>
      <c r="I8" s="136" t="s">
        <v>51</v>
      </c>
      <c r="J8" s="118">
        <f>C8/$K$2</f>
        <v>6.8787618228718825</v>
      </c>
      <c r="K8" s="118">
        <f t="shared" ref="K8:N8" si="1">D8/$K$2</f>
        <v>3.8693035253654342</v>
      </c>
      <c r="L8" s="118">
        <f t="shared" si="1"/>
        <v>3.0094582975064488</v>
      </c>
      <c r="M8" s="118">
        <f t="shared" si="1"/>
        <v>2.5317665042514568</v>
      </c>
      <c r="N8" s="118">
        <f t="shared" si="1"/>
        <v>2.3406897869494601</v>
      </c>
      <c r="P8" s="168" t="s">
        <v>125</v>
      </c>
      <c r="Q8" s="167"/>
      <c r="R8" s="167"/>
      <c r="S8" s="167"/>
    </row>
    <row r="9" spans="1:22" ht="15.75" thickBot="1">
      <c r="A9" s="163" t="s">
        <v>126</v>
      </c>
      <c r="B9" s="164" t="s">
        <v>122</v>
      </c>
      <c r="C9" s="165">
        <v>28075</v>
      </c>
      <c r="D9" s="164">
        <v>0</v>
      </c>
      <c r="E9" s="165">
        <v>72490</v>
      </c>
      <c r="F9" s="165">
        <v>417699</v>
      </c>
      <c r="G9" s="165">
        <v>1410371</v>
      </c>
      <c r="H9" s="142"/>
      <c r="I9" s="136" t="s">
        <v>10</v>
      </c>
      <c r="J9" s="118">
        <f>C9*$K$3/1000</f>
        <v>1.1754441000000002</v>
      </c>
      <c r="K9" s="118">
        <f t="shared" ref="K9:N9" si="2">D9*$K$3/1000</f>
        <v>0</v>
      </c>
      <c r="L9" s="118">
        <f t="shared" si="2"/>
        <v>3.0350113200000002</v>
      </c>
      <c r="M9" s="118">
        <f t="shared" si="2"/>
        <v>17.488221732000003</v>
      </c>
      <c r="N9" s="118">
        <f t="shared" si="2"/>
        <v>59.049413028000004</v>
      </c>
      <c r="P9" s="166" t="s">
        <v>127</v>
      </c>
      <c r="Q9" s="167"/>
      <c r="R9" s="167"/>
      <c r="S9" s="167"/>
    </row>
    <row r="10" spans="1:22" ht="15.75" thickBot="1">
      <c r="A10" s="163" t="s">
        <v>126</v>
      </c>
      <c r="B10" s="164" t="s">
        <v>124</v>
      </c>
      <c r="C10" s="164">
        <v>590</v>
      </c>
      <c r="D10" s="164">
        <v>385</v>
      </c>
      <c r="E10" s="164">
        <v>300</v>
      </c>
      <c r="F10" s="164">
        <v>251</v>
      </c>
      <c r="G10" s="164">
        <v>232</v>
      </c>
      <c r="H10" s="142"/>
      <c r="I10" s="136" t="s">
        <v>51</v>
      </c>
      <c r="J10" s="118">
        <f>C10/$K$2</f>
        <v>14.09190790102226</v>
      </c>
      <c r="K10" s="118">
        <f t="shared" ref="K10:N10" si="3">D10/$K$2</f>
        <v>9.1955670201585935</v>
      </c>
      <c r="L10" s="118">
        <f t="shared" si="3"/>
        <v>7.1653768988248778</v>
      </c>
      <c r="M10" s="118">
        <f t="shared" si="3"/>
        <v>5.995032005350148</v>
      </c>
      <c r="N10" s="118">
        <f t="shared" si="3"/>
        <v>5.5412248017579051</v>
      </c>
      <c r="P10" s="168" t="s">
        <v>128</v>
      </c>
      <c r="Q10" s="167"/>
      <c r="R10" s="167"/>
      <c r="S10" s="167"/>
    </row>
    <row r="11" spans="1:22" ht="15.75" thickBot="1">
      <c r="A11" s="163" t="s">
        <v>106</v>
      </c>
      <c r="B11" s="164" t="s">
        <v>122</v>
      </c>
      <c r="C11" s="165">
        <v>535616</v>
      </c>
      <c r="D11" s="165">
        <v>310101</v>
      </c>
      <c r="E11" s="165">
        <v>6531</v>
      </c>
      <c r="F11" s="165">
        <v>43493</v>
      </c>
      <c r="G11" s="165">
        <v>130927</v>
      </c>
      <c r="H11" s="142"/>
      <c r="I11" s="136" t="s">
        <v>10</v>
      </c>
      <c r="J11" s="118">
        <f>C11*$K$3/1000</f>
        <v>22.425170688000001</v>
      </c>
      <c r="K11" s="118">
        <f t="shared" ref="K11:N11" si="4">D11*$K$3/1000</f>
        <v>12.983308668000001</v>
      </c>
      <c r="L11" s="118">
        <f t="shared" si="4"/>
        <v>0.27343990800000001</v>
      </c>
      <c r="M11" s="118">
        <f t="shared" si="4"/>
        <v>1.8209649240000001</v>
      </c>
      <c r="N11" s="118">
        <f t="shared" si="4"/>
        <v>5.4816516360000005</v>
      </c>
    </row>
    <row r="12" spans="1:22" ht="15.75" thickBot="1">
      <c r="A12" s="163" t="s">
        <v>106</v>
      </c>
      <c r="B12" s="164" t="s">
        <v>124</v>
      </c>
      <c r="C12" s="164">
        <v>779</v>
      </c>
      <c r="D12" s="164">
        <v>740</v>
      </c>
      <c r="E12" s="164">
        <v>693</v>
      </c>
      <c r="F12" s="164">
        <v>630</v>
      </c>
      <c r="G12" s="164">
        <v>577</v>
      </c>
      <c r="H12" s="142"/>
      <c r="I12" s="136" t="s">
        <v>51</v>
      </c>
      <c r="J12" s="118">
        <f>C12/$K$2</f>
        <v>18.606095347281933</v>
      </c>
      <c r="K12" s="118">
        <f t="shared" ref="K12:N12" si="5">D12/$K$2</f>
        <v>17.674596350434697</v>
      </c>
      <c r="L12" s="118">
        <f t="shared" si="5"/>
        <v>16.552020636285469</v>
      </c>
      <c r="M12" s="118">
        <f t="shared" si="5"/>
        <v>15.047291487532243</v>
      </c>
      <c r="N12" s="118">
        <f t="shared" si="5"/>
        <v>13.781408235406515</v>
      </c>
    </row>
    <row r="13" spans="1:22" ht="15.75" thickBot="1">
      <c r="A13" s="163" t="s">
        <v>107</v>
      </c>
      <c r="B13" s="164" t="s">
        <v>122</v>
      </c>
      <c r="C13" s="165">
        <v>106129</v>
      </c>
      <c r="D13" s="164">
        <v>75725</v>
      </c>
      <c r="E13" s="164">
        <v>0</v>
      </c>
      <c r="F13" s="164">
        <v>0</v>
      </c>
      <c r="G13" s="164">
        <v>0</v>
      </c>
      <c r="H13" s="142"/>
      <c r="I13" s="136" t="s">
        <v>10</v>
      </c>
      <c r="J13" s="118">
        <f>C13*$K$3/1000</f>
        <v>4.4434089720000003</v>
      </c>
      <c r="K13" s="118">
        <f>D13*$K$3/1000</f>
        <v>3.1704543000000003</v>
      </c>
      <c r="L13" s="118">
        <f t="shared" ref="L13:N13" si="6">E13*$K$3/1000</f>
        <v>0</v>
      </c>
      <c r="M13" s="118">
        <f t="shared" si="6"/>
        <v>0</v>
      </c>
      <c r="N13" s="118">
        <f t="shared" si="6"/>
        <v>0</v>
      </c>
    </row>
    <row r="14" spans="1:22" ht="15.75" thickBot="1">
      <c r="A14" s="163" t="s">
        <v>107</v>
      </c>
      <c r="B14" s="164" t="s">
        <v>124</v>
      </c>
      <c r="C14" s="165">
        <v>1209</v>
      </c>
      <c r="D14" s="165">
        <v>1276</v>
      </c>
      <c r="E14" s="165">
        <v>1312</v>
      </c>
      <c r="F14" s="165">
        <v>1218</v>
      </c>
      <c r="G14" s="165">
        <v>1156</v>
      </c>
      <c r="H14" s="142"/>
      <c r="I14" s="136" t="s">
        <v>51</v>
      </c>
      <c r="J14" s="118">
        <f>C14/$K$2</f>
        <v>28.876468902264257</v>
      </c>
      <c r="K14" s="118">
        <f t="shared" ref="K14:N14" si="7">D14/$K$2</f>
        <v>30.476736409668479</v>
      </c>
      <c r="L14" s="118">
        <f t="shared" si="7"/>
        <v>31.336581637527466</v>
      </c>
      <c r="M14" s="118">
        <f t="shared" si="7"/>
        <v>29.091430209229003</v>
      </c>
      <c r="N14" s="118">
        <f t="shared" si="7"/>
        <v>27.610585650138528</v>
      </c>
    </row>
    <row r="15" spans="1:22">
      <c r="A15" s="169"/>
      <c r="H15" s="142"/>
      <c r="I15" s="142"/>
      <c r="J15" s="142"/>
    </row>
    <row r="16" spans="1:22" ht="15.75" thickBot="1">
      <c r="A16" s="170" t="s">
        <v>123</v>
      </c>
      <c r="B16" s="66"/>
      <c r="C16" s="66"/>
      <c r="D16" s="66"/>
      <c r="E16" s="66"/>
      <c r="F16" s="66"/>
      <c r="G16" s="66"/>
      <c r="H16" s="142"/>
      <c r="I16" s="159" t="s">
        <v>120</v>
      </c>
      <c r="J16" s="142"/>
      <c r="P16" t="s">
        <v>129</v>
      </c>
      <c r="V16" s="159" t="s">
        <v>130</v>
      </c>
    </row>
    <row r="17" spans="1:26" ht="15.75" thickBot="1">
      <c r="A17" s="160"/>
      <c r="B17" s="161" t="s">
        <v>18</v>
      </c>
      <c r="C17" s="161">
        <v>2010</v>
      </c>
      <c r="D17" s="161">
        <v>2015</v>
      </c>
      <c r="E17" s="161">
        <v>2020</v>
      </c>
      <c r="F17" s="161">
        <v>2025</v>
      </c>
      <c r="G17" s="161">
        <v>2030</v>
      </c>
      <c r="H17" s="142"/>
      <c r="I17" s="162" t="s">
        <v>18</v>
      </c>
      <c r="J17" s="162">
        <v>2010</v>
      </c>
      <c r="K17" s="162">
        <v>2015</v>
      </c>
      <c r="L17" s="162">
        <v>2020</v>
      </c>
      <c r="M17" s="162">
        <v>2025</v>
      </c>
      <c r="N17" s="162">
        <v>2030</v>
      </c>
      <c r="P17" s="171">
        <v>2010</v>
      </c>
      <c r="Q17" s="171">
        <v>2015</v>
      </c>
      <c r="R17" s="171">
        <v>2020</v>
      </c>
      <c r="S17" s="171">
        <v>2025</v>
      </c>
      <c r="T17" s="171">
        <v>2030</v>
      </c>
      <c r="V17" s="171">
        <v>2010</v>
      </c>
      <c r="W17" s="171">
        <v>2015</v>
      </c>
      <c r="X17" s="171">
        <v>2020</v>
      </c>
      <c r="Y17" s="171">
        <v>2025</v>
      </c>
      <c r="Z17" s="171">
        <v>2030</v>
      </c>
    </row>
    <row r="18" spans="1:26" ht="15.75" thickBot="1">
      <c r="A18" s="163" t="s">
        <v>121</v>
      </c>
      <c r="B18" s="164" t="s">
        <v>122</v>
      </c>
      <c r="C18" s="165">
        <v>7640</v>
      </c>
      <c r="D18" s="165">
        <v>7551</v>
      </c>
      <c r="E18" s="165">
        <v>141276</v>
      </c>
      <c r="F18" s="165">
        <v>452161</v>
      </c>
      <c r="G18" s="165">
        <v>1150679</v>
      </c>
      <c r="H18" s="142"/>
      <c r="I18" s="136" t="s">
        <v>10</v>
      </c>
      <c r="J18" s="118">
        <f>C18*$K$3/1000</f>
        <v>0.31987152000000002</v>
      </c>
      <c r="K18" s="118">
        <f t="shared" ref="K18:N18" si="8">D18*$K$3/1000</f>
        <v>0.31614526800000003</v>
      </c>
      <c r="L18" s="118">
        <f t="shared" si="8"/>
        <v>5.9149435680000009</v>
      </c>
      <c r="M18" s="118">
        <f t="shared" si="8"/>
        <v>18.931076747999999</v>
      </c>
      <c r="N18" s="118">
        <f t="shared" si="8"/>
        <v>48.176628371999996</v>
      </c>
      <c r="O18" s="142"/>
      <c r="P18" s="172"/>
    </row>
    <row r="19" spans="1:26" ht="15.75" thickBot="1">
      <c r="A19" s="163" t="s">
        <v>121</v>
      </c>
      <c r="B19" s="164" t="s">
        <v>124</v>
      </c>
      <c r="C19" s="164">
        <v>288</v>
      </c>
      <c r="D19" s="164">
        <v>218</v>
      </c>
      <c r="E19" s="164">
        <v>174</v>
      </c>
      <c r="F19" s="164">
        <v>149</v>
      </c>
      <c r="G19" s="164">
        <v>142</v>
      </c>
      <c r="H19" s="142"/>
      <c r="I19" s="136" t="s">
        <v>51</v>
      </c>
      <c r="J19" s="118">
        <f>C19/$K$2</f>
        <v>6.8787618228718825</v>
      </c>
      <c r="K19" s="118">
        <f t="shared" ref="K19:N19" si="9">D19/$K$2</f>
        <v>5.2068405464794116</v>
      </c>
      <c r="L19" s="118">
        <f t="shared" si="9"/>
        <v>4.1559186013184295</v>
      </c>
      <c r="M19" s="118">
        <f t="shared" si="9"/>
        <v>3.5588038597496894</v>
      </c>
      <c r="N19" s="118">
        <f t="shared" si="9"/>
        <v>3.3916117321104422</v>
      </c>
      <c r="P19" s="173">
        <f>J19/$J19</f>
        <v>1</v>
      </c>
      <c r="Q19" s="173">
        <f>K19/$J19</f>
        <v>0.75694444444444453</v>
      </c>
      <c r="R19" s="173">
        <f t="shared" ref="R19:T19" si="10">L19/$J19</f>
        <v>0.60416666666666674</v>
      </c>
      <c r="S19" s="173">
        <f t="shared" si="10"/>
        <v>0.51736111111111116</v>
      </c>
      <c r="T19" s="173">
        <f t="shared" si="10"/>
        <v>0.49305555555555558</v>
      </c>
      <c r="V19" s="174">
        <f>J19*100/$Q$3</f>
        <v>5.3901760133768803</v>
      </c>
      <c r="W19" s="174">
        <f t="shared" ref="W19:Z19" si="11">K19*100/$Q$3</f>
        <v>4.0800637879033328</v>
      </c>
      <c r="X19" s="174">
        <f t="shared" si="11"/>
        <v>3.2565646747485322</v>
      </c>
      <c r="Y19" s="174">
        <f t="shared" si="11"/>
        <v>2.788667451365122</v>
      </c>
      <c r="Z19" s="174">
        <f t="shared" si="11"/>
        <v>2.6576562288177672</v>
      </c>
    </row>
    <row r="20" spans="1:26" ht="15.75" thickBot="1">
      <c r="A20" s="163" t="s">
        <v>126</v>
      </c>
      <c r="B20" s="164" t="s">
        <v>122</v>
      </c>
      <c r="C20" s="165">
        <v>22921</v>
      </c>
      <c r="D20" s="165">
        <v>22653</v>
      </c>
      <c r="E20" s="165">
        <v>423827</v>
      </c>
      <c r="F20" s="165">
        <v>1356482</v>
      </c>
      <c r="G20" s="165">
        <v>3452038</v>
      </c>
      <c r="H20" s="142"/>
      <c r="I20" s="136" t="s">
        <v>10</v>
      </c>
      <c r="J20" s="118">
        <f>C20*$K$3/1000</f>
        <v>0.95965642799999995</v>
      </c>
      <c r="K20" s="118">
        <f t="shared" ref="K20:N20" si="12">D20*$K$3/1000</f>
        <v>0.94843580400000005</v>
      </c>
      <c r="L20" s="118">
        <f t="shared" si="12"/>
        <v>17.744788836000001</v>
      </c>
      <c r="M20" s="118">
        <f t="shared" si="12"/>
        <v>56.793188376000003</v>
      </c>
      <c r="N20" s="118">
        <f t="shared" si="12"/>
        <v>144.52992698400001</v>
      </c>
    </row>
    <row r="21" spans="1:26" ht="15.75" thickBot="1">
      <c r="A21" s="163" t="s">
        <v>126</v>
      </c>
      <c r="B21" s="164" t="s">
        <v>124</v>
      </c>
      <c r="C21" s="164">
        <v>590</v>
      </c>
      <c r="D21" s="164">
        <v>446</v>
      </c>
      <c r="E21" s="164">
        <v>356</v>
      </c>
      <c r="F21" s="164">
        <v>305</v>
      </c>
      <c r="G21" s="164">
        <v>291</v>
      </c>
      <c r="H21" s="142"/>
      <c r="I21" s="136" t="s">
        <v>51</v>
      </c>
      <c r="J21" s="118">
        <f>C21/$K$2</f>
        <v>14.09190790102226</v>
      </c>
      <c r="K21" s="118">
        <f t="shared" ref="K21:N21" si="13">D21/$K$2</f>
        <v>10.652526989586319</v>
      </c>
      <c r="L21" s="118">
        <f t="shared" si="13"/>
        <v>8.5029139199388553</v>
      </c>
      <c r="M21" s="118">
        <f t="shared" si="13"/>
        <v>7.2847998471386255</v>
      </c>
      <c r="N21" s="118">
        <f t="shared" si="13"/>
        <v>6.9504155918601311</v>
      </c>
      <c r="P21" s="173">
        <f>J21/$J21</f>
        <v>1</v>
      </c>
      <c r="Q21" s="173">
        <f t="shared" ref="Q21:T21" si="14">K21/$J21</f>
        <v>0.75593220338983047</v>
      </c>
      <c r="R21" s="173">
        <f t="shared" si="14"/>
        <v>0.60338983050847461</v>
      </c>
      <c r="S21" s="173">
        <f t="shared" si="14"/>
        <v>0.51694915254237284</v>
      </c>
      <c r="T21" s="173">
        <f t="shared" si="14"/>
        <v>0.49322033898305079</v>
      </c>
      <c r="V21" s="174">
        <f>J21*100/$Q$3</f>
        <v>11.04237447184847</v>
      </c>
      <c r="W21" s="174">
        <f t="shared" ref="W21:Z21" si="15">K21*100/$Q$3</f>
        <v>8.3472864651600283</v>
      </c>
      <c r="X21" s="174">
        <f t="shared" si="15"/>
        <v>6.6628564609797554</v>
      </c>
      <c r="Y21" s="174">
        <f t="shared" si="15"/>
        <v>5.7083461252775987</v>
      </c>
      <c r="Z21" s="174">
        <f t="shared" si="15"/>
        <v>5.4463236801828891</v>
      </c>
    </row>
    <row r="22" spans="1:26" ht="15.75" thickBot="1">
      <c r="A22" s="163" t="s">
        <v>106</v>
      </c>
      <c r="B22" s="164" t="s">
        <v>122</v>
      </c>
      <c r="C22" s="165">
        <v>781304</v>
      </c>
      <c r="D22" s="165">
        <v>791507</v>
      </c>
      <c r="E22" s="165">
        <v>441100</v>
      </c>
      <c r="F22" s="165">
        <v>807242</v>
      </c>
      <c r="G22" s="165">
        <v>1351788</v>
      </c>
      <c r="H22" s="142"/>
      <c r="I22" s="136" t="s">
        <v>10</v>
      </c>
      <c r="J22" s="118">
        <f>C22*$K$3/1000</f>
        <v>32.711635872000002</v>
      </c>
      <c r="K22" s="118">
        <f t="shared" ref="K22:N22" si="16">D22*$K$3/1000</f>
        <v>33.138815076</v>
      </c>
      <c r="L22" s="118">
        <f t="shared" si="16"/>
        <v>18.4679748</v>
      </c>
      <c r="M22" s="118">
        <f t="shared" si="16"/>
        <v>33.797608056000001</v>
      </c>
      <c r="N22" s="118">
        <f t="shared" si="16"/>
        <v>56.596659984000006</v>
      </c>
      <c r="P22" s="172"/>
    </row>
    <row r="23" spans="1:26" ht="15.75" thickBot="1">
      <c r="A23" s="163" t="s">
        <v>106</v>
      </c>
      <c r="B23" s="164" t="s">
        <v>124</v>
      </c>
      <c r="C23" s="164">
        <v>779</v>
      </c>
      <c r="D23" s="164">
        <v>761</v>
      </c>
      <c r="E23" s="164">
        <v>736</v>
      </c>
      <c r="F23" s="164">
        <v>695</v>
      </c>
      <c r="G23" s="164">
        <v>665</v>
      </c>
      <c r="H23" s="142"/>
      <c r="I23" s="136" t="s">
        <v>51</v>
      </c>
      <c r="J23" s="118">
        <f>C23/$K$2</f>
        <v>18.606095347281933</v>
      </c>
      <c r="K23" s="118">
        <f t="shared" ref="K23:N23" si="17">D23/$K$2</f>
        <v>18.176172733352441</v>
      </c>
      <c r="L23" s="118">
        <f t="shared" si="17"/>
        <v>17.579057991783699</v>
      </c>
      <c r="M23" s="118">
        <f t="shared" si="17"/>
        <v>16.599789815610968</v>
      </c>
      <c r="N23" s="118">
        <f t="shared" si="17"/>
        <v>15.883252125728479</v>
      </c>
      <c r="P23" s="173">
        <f>J23/$J23</f>
        <v>1</v>
      </c>
      <c r="Q23" s="173">
        <f t="shared" ref="Q23:T23" si="18">K23/$J23</f>
        <v>0.97689345314505782</v>
      </c>
      <c r="R23" s="173">
        <f t="shared" si="18"/>
        <v>0.9448010269576379</v>
      </c>
      <c r="S23" s="173">
        <f t="shared" si="18"/>
        <v>0.89216944801026965</v>
      </c>
      <c r="T23" s="173">
        <f t="shared" si="18"/>
        <v>0.85365853658536583</v>
      </c>
      <c r="V23" s="174">
        <f>J23*100/$Q$3</f>
        <v>14.579677480627048</v>
      </c>
      <c r="W23" s="174">
        <f t="shared" ref="W23:Z23" si="19">K23*100/$Q$3</f>
        <v>14.242791479790993</v>
      </c>
      <c r="X23" s="174">
        <f t="shared" si="19"/>
        <v>13.774894256407583</v>
      </c>
      <c r="Y23" s="174">
        <f t="shared" si="19"/>
        <v>13.007542810058791</v>
      </c>
      <c r="Z23" s="174">
        <f t="shared" si="19"/>
        <v>12.446066141998699</v>
      </c>
    </row>
    <row r="24" spans="1:26" ht="15.75" thickBot="1">
      <c r="A24" s="163" t="s">
        <v>107</v>
      </c>
      <c r="B24" s="164" t="s">
        <v>122</v>
      </c>
      <c r="C24" s="165">
        <v>101544</v>
      </c>
      <c r="D24" s="165">
        <v>112421</v>
      </c>
      <c r="E24" s="164">
        <v>0</v>
      </c>
      <c r="F24" s="164">
        <v>0</v>
      </c>
      <c r="G24" s="165">
        <v>92339</v>
      </c>
      <c r="H24" s="142"/>
      <c r="I24" s="136" t="s">
        <v>10</v>
      </c>
      <c r="J24" s="118">
        <f>C24*$K$3/1000</f>
        <v>4.2514441920000001</v>
      </c>
      <c r="K24" s="118">
        <f t="shared" ref="K24:N24" si="20">D24*$K$3/1000</f>
        <v>4.7068424279999999</v>
      </c>
      <c r="L24" s="118">
        <f t="shared" si="20"/>
        <v>0</v>
      </c>
      <c r="M24" s="118">
        <f t="shared" si="20"/>
        <v>0</v>
      </c>
      <c r="N24" s="118">
        <f t="shared" si="20"/>
        <v>3.8660492520000003</v>
      </c>
    </row>
    <row r="25" spans="1:26" ht="15.75" thickBot="1">
      <c r="A25" s="163" t="s">
        <v>107</v>
      </c>
      <c r="B25" s="164" t="s">
        <v>124</v>
      </c>
      <c r="C25" s="165">
        <v>1209</v>
      </c>
      <c r="D25" s="165">
        <v>1313</v>
      </c>
      <c r="E25" s="165">
        <v>1389</v>
      </c>
      <c r="F25" s="165">
        <v>1334</v>
      </c>
      <c r="G25" s="165">
        <v>1312</v>
      </c>
      <c r="H25" s="142"/>
      <c r="I25" s="136" t="s">
        <v>51</v>
      </c>
      <c r="J25" s="118">
        <f>C25/$K$2</f>
        <v>28.876468902264257</v>
      </c>
      <c r="K25" s="118">
        <f t="shared" ref="K25:N25" si="21">D25/$K$2</f>
        <v>31.360466227190216</v>
      </c>
      <c r="L25" s="118">
        <f t="shared" si="21"/>
        <v>33.175695041559187</v>
      </c>
      <c r="M25" s="118">
        <f t="shared" si="21"/>
        <v>31.862042610107956</v>
      </c>
      <c r="N25" s="118">
        <f t="shared" si="21"/>
        <v>31.336581637527466</v>
      </c>
      <c r="P25" s="173">
        <f>J25/$J25</f>
        <v>1</v>
      </c>
      <c r="Q25" s="173">
        <f t="shared" ref="Q25:T25" si="22">K25/$J25</f>
        <v>1.086021505376344</v>
      </c>
      <c r="R25" s="173">
        <f t="shared" si="22"/>
        <v>1.1488833746898264</v>
      </c>
      <c r="S25" s="173">
        <f t="shared" si="22"/>
        <v>1.1033912324234905</v>
      </c>
      <c r="T25" s="173">
        <f t="shared" si="22"/>
        <v>1.0851943755169562</v>
      </c>
      <c r="V25" s="174">
        <f>J25*100/$Q$3</f>
        <v>22.627509722821692</v>
      </c>
      <c r="W25" s="174">
        <f t="shared" ref="W25:Z25" si="23">K25*100/$Q$3</f>
        <v>24.573962172096682</v>
      </c>
      <c r="X25" s="174">
        <f t="shared" si="23"/>
        <v>25.996369731182249</v>
      </c>
      <c r="Y25" s="174">
        <f t="shared" si="23"/>
        <v>24.966995839738743</v>
      </c>
      <c r="Z25" s="174">
        <f t="shared" si="23"/>
        <v>24.555246283161342</v>
      </c>
    </row>
    <row r="26" spans="1:26" ht="15.75" thickBot="1">
      <c r="A26" s="158" t="s">
        <v>125</v>
      </c>
      <c r="H26" s="142"/>
      <c r="I26" s="159" t="s">
        <v>120</v>
      </c>
      <c r="J26" s="148"/>
      <c r="K26" s="136"/>
      <c r="L26" s="136"/>
      <c r="M26" s="136"/>
      <c r="N26" s="136"/>
      <c r="P26" t="s">
        <v>129</v>
      </c>
    </row>
    <row r="27" spans="1:26" ht="15.75" thickBot="1">
      <c r="A27" s="175"/>
      <c r="B27" s="161" t="s">
        <v>18</v>
      </c>
      <c r="C27" s="161">
        <v>2010</v>
      </c>
      <c r="D27" s="161">
        <v>2015</v>
      </c>
      <c r="E27" s="161">
        <v>2020</v>
      </c>
      <c r="F27" s="161">
        <v>2025</v>
      </c>
      <c r="G27" s="161">
        <v>2030</v>
      </c>
      <c r="H27" s="142"/>
      <c r="I27" s="162" t="s">
        <v>18</v>
      </c>
      <c r="J27" s="162">
        <v>2010</v>
      </c>
      <c r="K27" s="162">
        <v>2015</v>
      </c>
      <c r="L27" s="162">
        <v>2020</v>
      </c>
      <c r="M27" s="162">
        <v>2025</v>
      </c>
      <c r="N27" s="162">
        <v>2030</v>
      </c>
      <c r="P27" s="171">
        <v>2010</v>
      </c>
      <c r="Q27" s="171">
        <v>2015</v>
      </c>
      <c r="R27" s="171">
        <v>2020</v>
      </c>
      <c r="S27" s="171">
        <v>2025</v>
      </c>
      <c r="T27" s="171">
        <v>2030</v>
      </c>
      <c r="V27" s="171">
        <v>2010</v>
      </c>
      <c r="W27" s="171">
        <v>2015</v>
      </c>
      <c r="X27" s="171">
        <v>2020</v>
      </c>
      <c r="Y27" s="171">
        <v>2025</v>
      </c>
      <c r="Z27" s="171">
        <v>2030</v>
      </c>
    </row>
    <row r="28" spans="1:26" ht="15.75" thickBot="1">
      <c r="A28" s="163" t="s">
        <v>121</v>
      </c>
      <c r="B28" s="164" t="s">
        <v>122</v>
      </c>
      <c r="C28" s="165">
        <v>6382</v>
      </c>
      <c r="D28" s="165">
        <v>29323</v>
      </c>
      <c r="E28" s="165">
        <v>214410</v>
      </c>
      <c r="F28" s="165">
        <v>666226</v>
      </c>
      <c r="G28" s="165">
        <v>1885232</v>
      </c>
      <c r="H28" s="142"/>
      <c r="I28" s="136" t="s">
        <v>10</v>
      </c>
      <c r="J28" s="118">
        <f>C28*$K$3/1000</f>
        <v>0.267201576</v>
      </c>
      <c r="K28" s="118">
        <f t="shared" ref="K28:N28" si="24">D28*$K$3/1000</f>
        <v>1.2276953640000001</v>
      </c>
      <c r="L28" s="118">
        <f t="shared" si="24"/>
        <v>8.9769178800000002</v>
      </c>
      <c r="M28" s="118">
        <f t="shared" si="24"/>
        <v>27.893550168000001</v>
      </c>
      <c r="N28" s="118">
        <f t="shared" si="24"/>
        <v>78.930893376</v>
      </c>
      <c r="P28" s="172"/>
    </row>
    <row r="29" spans="1:26" ht="15.75" thickBot="1">
      <c r="A29" s="163" t="s">
        <v>121</v>
      </c>
      <c r="B29" s="164" t="s">
        <v>124</v>
      </c>
      <c r="C29" s="164">
        <v>288</v>
      </c>
      <c r="D29" s="164">
        <v>257</v>
      </c>
      <c r="E29" s="164">
        <v>211</v>
      </c>
      <c r="F29" s="164">
        <v>187</v>
      </c>
      <c r="G29" s="164">
        <v>183</v>
      </c>
      <c r="H29" s="142"/>
      <c r="I29" s="136" t="s">
        <v>51</v>
      </c>
      <c r="J29" s="118">
        <f>C29/$K$2</f>
        <v>6.8787618228718825</v>
      </c>
      <c r="K29" s="118">
        <f t="shared" ref="K29:N29" si="25">D29/$K$2</f>
        <v>6.1383395433266452</v>
      </c>
      <c r="L29" s="118">
        <f t="shared" si="25"/>
        <v>5.039648418840164</v>
      </c>
      <c r="M29" s="118">
        <f t="shared" si="25"/>
        <v>4.4664182669341734</v>
      </c>
      <c r="N29" s="118">
        <f t="shared" si="25"/>
        <v>4.3708799082831753</v>
      </c>
      <c r="P29" s="173">
        <f>J29/$J29</f>
        <v>1</v>
      </c>
      <c r="Q29" s="173">
        <f t="shared" ref="Q29:T29" si="26">K29/$J29</f>
        <v>0.89236111111111116</v>
      </c>
      <c r="R29" s="173">
        <f t="shared" si="26"/>
        <v>0.73263888888888895</v>
      </c>
      <c r="S29" s="173">
        <f t="shared" si="26"/>
        <v>0.64930555555555547</v>
      </c>
      <c r="T29" s="173">
        <f t="shared" si="26"/>
        <v>0.63541666666666663</v>
      </c>
      <c r="V29" s="174">
        <f>J29*100/$Q$3</f>
        <v>5.3901760133768803</v>
      </c>
      <c r="W29" s="174">
        <f t="shared" ref="W29:Z29" si="27">K29*100/$Q$3</f>
        <v>4.8099834563814525</v>
      </c>
      <c r="X29" s="174">
        <f t="shared" si="27"/>
        <v>3.949052565355978</v>
      </c>
      <c r="Y29" s="174">
        <f t="shared" si="27"/>
        <v>3.4998712309079045</v>
      </c>
      <c r="Z29" s="174">
        <f t="shared" si="27"/>
        <v>3.425007675166559</v>
      </c>
    </row>
    <row r="30" spans="1:26" ht="15.75" thickBot="1">
      <c r="A30" s="163" t="s">
        <v>126</v>
      </c>
      <c r="B30" s="164" t="s">
        <v>122</v>
      </c>
      <c r="C30" s="164" t="s">
        <v>131</v>
      </c>
      <c r="D30" s="165">
        <v>87968</v>
      </c>
      <c r="E30" s="165">
        <v>643231</v>
      </c>
      <c r="F30" s="165">
        <v>1998677</v>
      </c>
      <c r="G30" s="165">
        <v>5655695</v>
      </c>
      <c r="H30" s="142"/>
      <c r="I30" s="136" t="s">
        <v>10</v>
      </c>
      <c r="J30" s="118" t="e">
        <f>C30*$K$3/1000</f>
        <v>#VALUE!</v>
      </c>
      <c r="K30" s="118">
        <f t="shared" ref="K30:N30" si="28">D30*$K$3/1000</f>
        <v>3.6830442240000001</v>
      </c>
      <c r="L30" s="118">
        <f t="shared" si="28"/>
        <v>26.930795508000003</v>
      </c>
      <c r="M30" s="118">
        <f t="shared" si="28"/>
        <v>83.680608636000002</v>
      </c>
      <c r="N30" s="118">
        <f t="shared" si="28"/>
        <v>236.79263826000002</v>
      </c>
    </row>
    <row r="31" spans="1:26" ht="15.75" thickBot="1">
      <c r="A31" s="163" t="s">
        <v>126</v>
      </c>
      <c r="B31" s="164" t="s">
        <v>124</v>
      </c>
      <c r="C31" s="164">
        <v>590</v>
      </c>
      <c r="D31" s="164">
        <v>514</v>
      </c>
      <c r="E31" s="164">
        <v>423</v>
      </c>
      <c r="F31" s="164">
        <v>374</v>
      </c>
      <c r="G31" s="164">
        <v>367</v>
      </c>
      <c r="H31" s="142"/>
      <c r="I31" s="136" t="s">
        <v>51</v>
      </c>
      <c r="J31" s="118">
        <f>C31/$K$2</f>
        <v>14.09190790102226</v>
      </c>
      <c r="K31" s="118">
        <f t="shared" ref="K31:N31" si="29">D31/$K$2</f>
        <v>12.27667908665329</v>
      </c>
      <c r="L31" s="118">
        <f t="shared" si="29"/>
        <v>10.103181427343078</v>
      </c>
      <c r="M31" s="118">
        <f t="shared" si="29"/>
        <v>8.9328365338683469</v>
      </c>
      <c r="N31" s="118">
        <f t="shared" si="29"/>
        <v>8.7656444062291001</v>
      </c>
      <c r="P31" s="173">
        <f>J31/$J31</f>
        <v>1</v>
      </c>
      <c r="Q31" s="173">
        <f t="shared" ref="Q31:T31" si="30">K31/$J31</f>
        <v>0.87118644067796602</v>
      </c>
      <c r="R31" s="173">
        <f t="shared" si="30"/>
        <v>0.71694915254237279</v>
      </c>
      <c r="S31" s="173">
        <f t="shared" si="30"/>
        <v>0.63389830508474565</v>
      </c>
      <c r="T31" s="173">
        <f t="shared" si="30"/>
        <v>0.62203389830508471</v>
      </c>
      <c r="V31" s="174">
        <f>J31*100/$Q$3</f>
        <v>11.04237447184847</v>
      </c>
      <c r="W31" s="174">
        <f t="shared" ref="W31:Z31" si="31">K31*100/$Q$3</f>
        <v>9.6199669127629051</v>
      </c>
      <c r="X31" s="174">
        <f t="shared" si="31"/>
        <v>7.9168210196472932</v>
      </c>
      <c r="Y31" s="174">
        <f t="shared" si="31"/>
        <v>6.9997424618158091</v>
      </c>
      <c r="Z31" s="174">
        <f t="shared" si="31"/>
        <v>6.8687312392684552</v>
      </c>
    </row>
    <row r="32" spans="1:26" ht="15.75" thickBot="1">
      <c r="A32" s="163" t="s">
        <v>106</v>
      </c>
      <c r="B32" s="164" t="s">
        <v>122</v>
      </c>
      <c r="C32" s="165">
        <v>779549</v>
      </c>
      <c r="D32" s="165">
        <v>795568</v>
      </c>
      <c r="E32" s="165">
        <v>452796</v>
      </c>
      <c r="F32" s="165">
        <v>823157</v>
      </c>
      <c r="G32" s="165">
        <v>1376225</v>
      </c>
      <c r="H32" s="142"/>
      <c r="I32" s="136" t="s">
        <v>10</v>
      </c>
      <c r="J32" s="118">
        <f>C32*$K$3/1000</f>
        <v>32.638157532000001</v>
      </c>
      <c r="K32" s="118">
        <f t="shared" ref="K32:N32" si="32">D32*$K$3/1000</f>
        <v>33.308841024000003</v>
      </c>
      <c r="L32" s="118">
        <f t="shared" si="32"/>
        <v>18.957662928000001</v>
      </c>
      <c r="M32" s="118">
        <f t="shared" si="32"/>
        <v>34.463937276000003</v>
      </c>
      <c r="N32" s="118">
        <f t="shared" si="32"/>
        <v>57.619788300000003</v>
      </c>
      <c r="P32" s="172"/>
    </row>
    <row r="33" spans="1:26" ht="15.75" thickBot="1">
      <c r="A33" s="163" t="s">
        <v>106</v>
      </c>
      <c r="B33" s="164" t="s">
        <v>124</v>
      </c>
      <c r="C33" s="164">
        <v>779</v>
      </c>
      <c r="D33" s="164">
        <v>792</v>
      </c>
      <c r="E33" s="164">
        <v>799</v>
      </c>
      <c r="F33" s="164">
        <v>792</v>
      </c>
      <c r="G33" s="164">
        <v>801</v>
      </c>
      <c r="H33" s="142"/>
      <c r="I33" s="136" t="s">
        <v>51</v>
      </c>
      <c r="J33" s="118">
        <f>C33/$K$2</f>
        <v>18.606095347281933</v>
      </c>
      <c r="K33" s="118">
        <f t="shared" ref="K33:N33" si="33">D33/$K$2</f>
        <v>18.916595012897677</v>
      </c>
      <c r="L33" s="118">
        <f t="shared" si="33"/>
        <v>19.083787140536923</v>
      </c>
      <c r="M33" s="118">
        <f t="shared" si="33"/>
        <v>18.916595012897677</v>
      </c>
      <c r="N33" s="118">
        <f t="shared" si="33"/>
        <v>19.131556319862423</v>
      </c>
      <c r="P33" s="173">
        <f>J33/$J33</f>
        <v>1</v>
      </c>
      <c r="Q33" s="173">
        <f t="shared" ref="Q33:T33" si="34">K33/$J33</f>
        <v>1.0166880616174583</v>
      </c>
      <c r="R33" s="173">
        <f t="shared" si="34"/>
        <v>1.0256739409499358</v>
      </c>
      <c r="S33" s="173">
        <f t="shared" si="34"/>
        <v>1.0166880616174583</v>
      </c>
      <c r="T33" s="173">
        <f t="shared" si="34"/>
        <v>1.0282413350449293</v>
      </c>
      <c r="V33" s="174">
        <f>J33*100/$Q$3</f>
        <v>14.579677480627048</v>
      </c>
      <c r="W33" s="174">
        <f t="shared" ref="W33:Z33" si="35">K33*100/$Q$3</f>
        <v>14.822984036786419</v>
      </c>
      <c r="X33" s="174">
        <f t="shared" si="35"/>
        <v>14.953995259333775</v>
      </c>
      <c r="Y33" s="174">
        <f t="shared" si="35"/>
        <v>14.822984036786419</v>
      </c>
      <c r="Z33" s="174">
        <f t="shared" si="35"/>
        <v>14.991427037204447</v>
      </c>
    </row>
    <row r="34" spans="1:26" ht="15.75" thickBot="1">
      <c r="A34" s="163" t="s">
        <v>107</v>
      </c>
      <c r="B34" s="164" t="s">
        <v>122</v>
      </c>
      <c r="C34" s="165">
        <v>101448</v>
      </c>
      <c r="D34" s="165">
        <v>117598</v>
      </c>
      <c r="E34" s="164">
        <v>0</v>
      </c>
      <c r="F34" s="164">
        <v>0</v>
      </c>
      <c r="G34" s="165">
        <v>104602</v>
      </c>
      <c r="H34" s="142"/>
      <c r="I34" s="136" t="s">
        <v>10</v>
      </c>
      <c r="J34" s="118">
        <f>C34*$K$3/1000</f>
        <v>4.247424864000001</v>
      </c>
      <c r="K34" s="118">
        <f t="shared" ref="K34:N34" si="36">D34*$K$3/1000</f>
        <v>4.9235930640000003</v>
      </c>
      <c r="L34" s="118">
        <f t="shared" si="36"/>
        <v>0</v>
      </c>
      <c r="M34" s="118">
        <f t="shared" si="36"/>
        <v>0</v>
      </c>
      <c r="N34" s="118">
        <f t="shared" si="36"/>
        <v>4.3794765360000003</v>
      </c>
    </row>
    <row r="35" spans="1:26" ht="15.75" thickBot="1">
      <c r="A35" s="163" t="s">
        <v>107</v>
      </c>
      <c r="B35" s="164" t="s">
        <v>124</v>
      </c>
      <c r="C35" s="165">
        <v>1209</v>
      </c>
      <c r="D35" s="165">
        <v>1367</v>
      </c>
      <c r="E35" s="165">
        <v>1500</v>
      </c>
      <c r="F35" s="165">
        <v>1506</v>
      </c>
      <c r="G35" s="165">
        <v>1550</v>
      </c>
      <c r="H35" s="142"/>
      <c r="I35" s="136" t="s">
        <v>51</v>
      </c>
      <c r="J35" s="118">
        <f>C35/$K$2</f>
        <v>28.876468902264257</v>
      </c>
      <c r="K35" s="118">
        <f t="shared" ref="K35:N35" si="37">D35/$K$2</f>
        <v>32.650234068978691</v>
      </c>
      <c r="L35" s="118">
        <f t="shared" si="37"/>
        <v>35.826884494124393</v>
      </c>
      <c r="M35" s="118">
        <f t="shared" si="37"/>
        <v>35.97019203210089</v>
      </c>
      <c r="N35" s="118">
        <f t="shared" si="37"/>
        <v>37.021113977261869</v>
      </c>
      <c r="P35" s="173">
        <f>J35/$J35</f>
        <v>1</v>
      </c>
      <c r="Q35" s="173">
        <f t="shared" ref="Q35:T35" si="38">K35/$J35</f>
        <v>1.1306865177832919</v>
      </c>
      <c r="R35" s="173">
        <f>L35/$J35</f>
        <v>1.240694789081886</v>
      </c>
      <c r="S35" s="173">
        <f t="shared" si="38"/>
        <v>1.2456575682382136</v>
      </c>
      <c r="T35" s="173">
        <f t="shared" si="38"/>
        <v>1.2820512820512822</v>
      </c>
      <c r="V35" s="174">
        <f>J35*100/$Q$3</f>
        <v>22.627509722821692</v>
      </c>
      <c r="W35" s="174">
        <f t="shared" ref="W35:Z35" si="39">K35*100/$Q$3</f>
        <v>25.58462017460484</v>
      </c>
      <c r="X35" s="174">
        <f t="shared" si="39"/>
        <v>28.073833403004585</v>
      </c>
      <c r="Y35" s="174">
        <f t="shared" si="39"/>
        <v>28.186128736616606</v>
      </c>
      <c r="Z35" s="174">
        <f t="shared" si="39"/>
        <v>29.009627849771405</v>
      </c>
    </row>
    <row r="36" spans="1:26">
      <c r="A36" s="169"/>
      <c r="H36" s="142"/>
      <c r="I36" s="148"/>
      <c r="J36" s="148"/>
      <c r="K36" s="136"/>
      <c r="L36" s="136"/>
      <c r="M36" s="136"/>
      <c r="N36" s="136"/>
    </row>
    <row r="37" spans="1:26" ht="15.75" thickBot="1">
      <c r="A37" s="170" t="s">
        <v>127</v>
      </c>
      <c r="B37" s="66"/>
      <c r="C37" s="66"/>
      <c r="D37" s="66"/>
      <c r="E37" s="66"/>
      <c r="F37" s="66"/>
      <c r="G37" s="66"/>
      <c r="H37" s="142"/>
      <c r="I37" s="159" t="s">
        <v>120</v>
      </c>
      <c r="J37" s="148"/>
      <c r="K37" s="136"/>
      <c r="L37" s="136"/>
      <c r="M37" s="136"/>
      <c r="N37" s="136"/>
      <c r="P37" t="s">
        <v>129</v>
      </c>
      <c r="V37" s="159" t="s">
        <v>130</v>
      </c>
    </row>
    <row r="38" spans="1:26" ht="15.75" thickBot="1">
      <c r="A38" s="160"/>
      <c r="B38" s="161" t="s">
        <v>18</v>
      </c>
      <c r="C38" s="161">
        <v>2010</v>
      </c>
      <c r="D38" s="161">
        <v>2015</v>
      </c>
      <c r="E38" s="161">
        <v>2020</v>
      </c>
      <c r="F38" s="161">
        <v>2025</v>
      </c>
      <c r="G38" s="161">
        <v>2030</v>
      </c>
      <c r="H38" s="142"/>
      <c r="I38" s="162" t="s">
        <v>18</v>
      </c>
      <c r="J38" s="162">
        <v>2010</v>
      </c>
      <c r="K38" s="162">
        <v>2015</v>
      </c>
      <c r="L38" s="162">
        <v>2020</v>
      </c>
      <c r="M38" s="162">
        <v>2025</v>
      </c>
      <c r="N38" s="162">
        <v>2030</v>
      </c>
      <c r="P38" s="171">
        <v>2010</v>
      </c>
      <c r="Q38" s="171">
        <v>2015</v>
      </c>
      <c r="R38" s="171">
        <v>2020</v>
      </c>
      <c r="S38" s="171">
        <v>2025</v>
      </c>
      <c r="T38" s="171">
        <v>2030</v>
      </c>
      <c r="V38" s="171">
        <v>2010</v>
      </c>
      <c r="W38" s="171">
        <v>2015</v>
      </c>
      <c r="X38" s="171">
        <v>2020</v>
      </c>
      <c r="Y38" s="171">
        <v>2025</v>
      </c>
      <c r="Z38" s="171">
        <v>2030</v>
      </c>
    </row>
    <row r="39" spans="1:26" ht="15.75" thickBot="1">
      <c r="A39" s="163" t="s">
        <v>121</v>
      </c>
      <c r="B39" s="164" t="s">
        <v>122</v>
      </c>
      <c r="C39" s="165">
        <v>7640</v>
      </c>
      <c r="D39" s="164">
        <v>0</v>
      </c>
      <c r="E39" s="164">
        <v>0</v>
      </c>
      <c r="F39" s="164">
        <v>0</v>
      </c>
      <c r="G39" s="165">
        <v>142382</v>
      </c>
      <c r="H39" s="142"/>
      <c r="I39" s="136" t="s">
        <v>10</v>
      </c>
      <c r="J39" s="118">
        <f>C39*$K$3/1000</f>
        <v>0.31987152000000002</v>
      </c>
      <c r="K39" s="118">
        <f t="shared" ref="K39:N39" si="40">D39*$K$3/1000</f>
        <v>0</v>
      </c>
      <c r="L39" s="118">
        <f t="shared" si="40"/>
        <v>0</v>
      </c>
      <c r="M39" s="118">
        <f t="shared" si="40"/>
        <v>0</v>
      </c>
      <c r="N39" s="118">
        <f t="shared" si="40"/>
        <v>5.9612495760000002</v>
      </c>
      <c r="P39" s="172"/>
    </row>
    <row r="40" spans="1:26" ht="15.75" thickBot="1">
      <c r="A40" s="163" t="s">
        <v>121</v>
      </c>
      <c r="B40" s="164" t="s">
        <v>124</v>
      </c>
      <c r="C40" s="164">
        <v>288</v>
      </c>
      <c r="D40" s="164">
        <v>226</v>
      </c>
      <c r="E40" s="164">
        <v>185</v>
      </c>
      <c r="F40" s="164">
        <v>165</v>
      </c>
      <c r="G40" s="164">
        <v>162</v>
      </c>
      <c r="H40" s="142"/>
      <c r="I40" s="136" t="s">
        <v>51</v>
      </c>
      <c r="J40" s="118">
        <f>C40/$K$2</f>
        <v>6.8787618228718825</v>
      </c>
      <c r="K40" s="118">
        <f t="shared" ref="K40:N40" si="41">D40/$K$2</f>
        <v>5.3979172637814079</v>
      </c>
      <c r="L40" s="118">
        <f t="shared" si="41"/>
        <v>4.4186490876086744</v>
      </c>
      <c r="M40" s="118">
        <f t="shared" si="41"/>
        <v>3.9409572943536828</v>
      </c>
      <c r="N40" s="118">
        <f t="shared" si="41"/>
        <v>3.8693035253654342</v>
      </c>
      <c r="P40" s="173">
        <f>J40/$J40</f>
        <v>1</v>
      </c>
      <c r="Q40" s="173">
        <f t="shared" ref="Q40:T40" si="42">K40/$J40</f>
        <v>0.78472222222222221</v>
      </c>
      <c r="R40" s="173">
        <f t="shared" si="42"/>
        <v>0.64236111111111105</v>
      </c>
      <c r="S40" s="173">
        <f t="shared" si="42"/>
        <v>0.57291666666666663</v>
      </c>
      <c r="T40" s="173">
        <f t="shared" si="42"/>
        <v>0.5625</v>
      </c>
      <c r="V40" s="174">
        <f>J40*100/$Q$3</f>
        <v>5.3901760133768803</v>
      </c>
      <c r="W40" s="174">
        <f t="shared" ref="W40:Z40" si="43">K40*100/$Q$3</f>
        <v>4.2297908993860238</v>
      </c>
      <c r="X40" s="174">
        <f t="shared" si="43"/>
        <v>3.4624394530372316</v>
      </c>
      <c r="Y40" s="174">
        <f t="shared" si="43"/>
        <v>3.0881216743305044</v>
      </c>
      <c r="Z40" s="174">
        <f t="shared" si="43"/>
        <v>3.0319740075244952</v>
      </c>
    </row>
    <row r="41" spans="1:26" ht="15.75" thickBot="1">
      <c r="A41" s="163" t="s">
        <v>126</v>
      </c>
      <c r="B41" s="164" t="s">
        <v>122</v>
      </c>
      <c r="C41" s="165">
        <v>22921</v>
      </c>
      <c r="D41" s="164">
        <v>0</v>
      </c>
      <c r="E41" s="164">
        <v>0</v>
      </c>
      <c r="F41" s="164">
        <v>0</v>
      </c>
      <c r="G41" s="165">
        <v>427146</v>
      </c>
      <c r="H41" s="142"/>
      <c r="I41" s="136" t="s">
        <v>10</v>
      </c>
      <c r="J41" s="118">
        <f>C41*$K$3/1000</f>
        <v>0.95965642799999995</v>
      </c>
      <c r="K41" s="118">
        <f t="shared" ref="K41:N41" si="44">D41*$K$3/1000</f>
        <v>0</v>
      </c>
      <c r="L41" s="118">
        <f t="shared" si="44"/>
        <v>0</v>
      </c>
      <c r="M41" s="118">
        <f t="shared" si="44"/>
        <v>0</v>
      </c>
      <c r="N41" s="118">
        <f t="shared" si="44"/>
        <v>17.883748728000004</v>
      </c>
    </row>
    <row r="42" spans="1:26" ht="15.75" thickBot="1">
      <c r="A42" s="163" t="s">
        <v>126</v>
      </c>
      <c r="B42" s="164" t="s">
        <v>124</v>
      </c>
      <c r="C42" s="164">
        <v>590</v>
      </c>
      <c r="D42" s="164">
        <v>462</v>
      </c>
      <c r="E42" s="164">
        <v>379</v>
      </c>
      <c r="F42" s="164">
        <v>338</v>
      </c>
      <c r="G42" s="164">
        <v>331</v>
      </c>
      <c r="H42" s="142"/>
      <c r="I42" s="136" t="s">
        <v>51</v>
      </c>
      <c r="J42" s="118">
        <f>C42/$K$2</f>
        <v>14.09190790102226</v>
      </c>
      <c r="K42" s="118">
        <f t="shared" ref="K42:N42" si="45">D42/$K$2</f>
        <v>11.034680424190311</v>
      </c>
      <c r="L42" s="118">
        <f t="shared" si="45"/>
        <v>9.0522594821820963</v>
      </c>
      <c r="M42" s="118">
        <f t="shared" si="45"/>
        <v>8.0729913060093619</v>
      </c>
      <c r="N42" s="118">
        <f t="shared" si="45"/>
        <v>7.9057991783701151</v>
      </c>
      <c r="P42" s="173">
        <f>J42/$J42</f>
        <v>1</v>
      </c>
      <c r="Q42" s="173">
        <f t="shared" ref="Q42:T42" si="46">K42/$J42</f>
        <v>0.78305084745762699</v>
      </c>
      <c r="R42" s="173">
        <f t="shared" si="46"/>
        <v>0.64237288135593218</v>
      </c>
      <c r="S42" s="173">
        <f t="shared" si="46"/>
        <v>0.57288135593220335</v>
      </c>
      <c r="T42" s="173">
        <f t="shared" si="46"/>
        <v>0.5610169491525423</v>
      </c>
      <c r="V42" s="174">
        <f>J42*100/$Q$3</f>
        <v>11.04237447184847</v>
      </c>
      <c r="W42" s="174">
        <f t="shared" ref="W42:Z42" si="47">K42*100/$Q$3</f>
        <v>8.6467406881254103</v>
      </c>
      <c r="X42" s="174">
        <f t="shared" si="47"/>
        <v>7.0933219064924922</v>
      </c>
      <c r="Y42" s="174">
        <f t="shared" si="47"/>
        <v>6.3259704601436999</v>
      </c>
      <c r="Z42" s="174">
        <f t="shared" si="47"/>
        <v>6.1949592375963451</v>
      </c>
    </row>
    <row r="43" spans="1:26" ht="15.75" thickBot="1">
      <c r="A43" s="163" t="s">
        <v>106</v>
      </c>
      <c r="B43" s="164" t="s">
        <v>122</v>
      </c>
      <c r="C43" s="165">
        <v>781304</v>
      </c>
      <c r="D43" s="165">
        <v>788018</v>
      </c>
      <c r="E43" s="165">
        <v>409398</v>
      </c>
      <c r="F43" s="165">
        <v>734123</v>
      </c>
      <c r="G43" s="165">
        <v>1404121</v>
      </c>
      <c r="H43" s="142"/>
      <c r="I43" s="136" t="s">
        <v>10</v>
      </c>
      <c r="J43" s="118">
        <f>C43*$K$3/1000</f>
        <v>32.711635872000002</v>
      </c>
      <c r="K43" s="118">
        <f t="shared" ref="K43:N43" si="48">D43*$K$3/1000</f>
        <v>32.992737624</v>
      </c>
      <c r="L43" s="118">
        <f t="shared" si="48"/>
        <v>17.140675464000001</v>
      </c>
      <c r="M43" s="118">
        <f t="shared" si="48"/>
        <v>30.736261764000002</v>
      </c>
      <c r="N43" s="118">
        <f t="shared" si="48"/>
        <v>58.787738028000007</v>
      </c>
      <c r="P43" s="172"/>
    </row>
    <row r="44" spans="1:26" ht="15.75" thickBot="1">
      <c r="A44" s="163" t="s">
        <v>106</v>
      </c>
      <c r="B44" s="164" t="s">
        <v>124</v>
      </c>
      <c r="C44" s="164">
        <v>779</v>
      </c>
      <c r="D44" s="164">
        <v>824</v>
      </c>
      <c r="E44" s="164">
        <v>866</v>
      </c>
      <c r="F44" s="164">
        <v>911</v>
      </c>
      <c r="G44" s="164">
        <v>986</v>
      </c>
      <c r="H44" s="142"/>
      <c r="I44" s="136" t="s">
        <v>51</v>
      </c>
      <c r="J44" s="118">
        <f>C44/$K$2</f>
        <v>18.606095347281933</v>
      </c>
      <c r="K44" s="118">
        <f t="shared" ref="K44:N44" si="49">D44/$K$2</f>
        <v>19.680901882105665</v>
      </c>
      <c r="L44" s="118">
        <f t="shared" si="49"/>
        <v>20.684054647941146</v>
      </c>
      <c r="M44" s="118">
        <f t="shared" si="49"/>
        <v>21.758861182764878</v>
      </c>
      <c r="N44" s="118">
        <f t="shared" si="49"/>
        <v>23.550205407471097</v>
      </c>
      <c r="P44" s="173">
        <f>J44/$J44</f>
        <v>1</v>
      </c>
      <c r="Q44" s="173">
        <f t="shared" ref="Q44:T44" si="50">K44/$J44</f>
        <v>1.0577663671373556</v>
      </c>
      <c r="R44" s="173">
        <f t="shared" si="50"/>
        <v>1.1116816431322207</v>
      </c>
      <c r="S44" s="173">
        <f t="shared" si="50"/>
        <v>1.1694480102695763</v>
      </c>
      <c r="T44" s="173">
        <f t="shared" si="50"/>
        <v>1.2657252888318355</v>
      </c>
      <c r="V44" s="174">
        <f>J44*100/$Q$3</f>
        <v>14.579677480627048</v>
      </c>
      <c r="W44" s="174">
        <f t="shared" ref="W44:Z44" si="51">K44*100/$Q$3</f>
        <v>15.421892482717185</v>
      </c>
      <c r="X44" s="174">
        <f t="shared" si="51"/>
        <v>16.207959818001314</v>
      </c>
      <c r="Y44" s="174">
        <f t="shared" si="51"/>
        <v>17.050174820091449</v>
      </c>
      <c r="Z44" s="174">
        <f t="shared" si="51"/>
        <v>18.45386649024168</v>
      </c>
    </row>
    <row r="45" spans="1:26" ht="15.75" thickBot="1">
      <c r="A45" s="163" t="s">
        <v>107</v>
      </c>
      <c r="B45" s="164" t="s">
        <v>122</v>
      </c>
      <c r="C45" s="165">
        <v>101544</v>
      </c>
      <c r="D45" s="165">
        <v>112987</v>
      </c>
      <c r="E45" s="164">
        <v>0</v>
      </c>
      <c r="F45" s="164">
        <v>0</v>
      </c>
      <c r="G45" s="165">
        <v>109936</v>
      </c>
      <c r="H45" s="142"/>
      <c r="I45" s="136" t="s">
        <v>10</v>
      </c>
      <c r="J45" s="118">
        <f>C45*$K$3/1000</f>
        <v>4.2514441920000001</v>
      </c>
      <c r="K45" s="118">
        <f t="shared" ref="K45:N45" si="52">D45*$K$3/1000</f>
        <v>4.730539716</v>
      </c>
      <c r="L45" s="118">
        <f t="shared" si="52"/>
        <v>0</v>
      </c>
      <c r="M45" s="118">
        <f t="shared" si="52"/>
        <v>0</v>
      </c>
      <c r="N45" s="118">
        <f t="shared" si="52"/>
        <v>4.602800448</v>
      </c>
    </row>
    <row r="46" spans="1:26" ht="15.75" thickBot="1">
      <c r="A46" s="163" t="s">
        <v>107</v>
      </c>
      <c r="B46" s="164" t="s">
        <v>124</v>
      </c>
      <c r="C46" s="165">
        <v>1209</v>
      </c>
      <c r="D46" s="165">
        <v>1420</v>
      </c>
      <c r="E46" s="165">
        <v>1605</v>
      </c>
      <c r="F46" s="165">
        <v>1694</v>
      </c>
      <c r="G46" s="165">
        <v>1832</v>
      </c>
      <c r="H46" s="142"/>
      <c r="I46" s="136" t="s">
        <v>51</v>
      </c>
      <c r="J46" s="118">
        <f>C46/$K$2</f>
        <v>28.876468902264257</v>
      </c>
      <c r="K46" s="118">
        <f t="shared" ref="K46:N46" si="53">D46/$K$2</f>
        <v>33.916117321104423</v>
      </c>
      <c r="L46" s="118">
        <f t="shared" si="53"/>
        <v>38.334766408713094</v>
      </c>
      <c r="M46" s="118">
        <f t="shared" si="53"/>
        <v>40.460494888697809</v>
      </c>
      <c r="N46" s="118">
        <f t="shared" si="53"/>
        <v>43.756568262157252</v>
      </c>
      <c r="P46" s="173">
        <f>J46/$J46</f>
        <v>1</v>
      </c>
      <c r="Q46" s="173">
        <f t="shared" ref="Q46:T46" si="54">K46/$J46</f>
        <v>1.1745244003308519</v>
      </c>
      <c r="R46" s="173">
        <f t="shared" si="54"/>
        <v>1.3275434243176178</v>
      </c>
      <c r="S46" s="173">
        <f t="shared" si="54"/>
        <v>1.401157981803143</v>
      </c>
      <c r="T46" s="173">
        <f t="shared" si="54"/>
        <v>1.5153019023986765</v>
      </c>
      <c r="V46" s="174">
        <f>J46*100/$Q$3</f>
        <v>22.627509722821692</v>
      </c>
      <c r="W46" s="174">
        <f t="shared" ref="W46:Z46" si="55">K46*100/$Q$3</f>
        <v>26.576562288177673</v>
      </c>
      <c r="X46" s="174">
        <f t="shared" si="55"/>
        <v>30.039001741214904</v>
      </c>
      <c r="Y46" s="174">
        <f t="shared" si="55"/>
        <v>31.704715856459842</v>
      </c>
      <c r="Z46" s="174">
        <f t="shared" si="55"/>
        <v>34.287508529536261</v>
      </c>
    </row>
    <row r="47" spans="1:26">
      <c r="A47" s="158"/>
      <c r="H47" s="142"/>
      <c r="I47" s="148"/>
      <c r="J47" s="148"/>
      <c r="K47" s="136"/>
      <c r="L47" s="136"/>
      <c r="M47" s="136"/>
      <c r="N47" s="136"/>
    </row>
    <row r="48" spans="1:26" ht="15.75" thickBot="1">
      <c r="A48" s="158" t="s">
        <v>128</v>
      </c>
      <c r="H48" s="142"/>
      <c r="I48" s="159" t="s">
        <v>120</v>
      </c>
      <c r="J48" s="148"/>
      <c r="K48" s="136"/>
      <c r="L48" s="136"/>
      <c r="M48" s="136"/>
      <c r="N48" s="136"/>
      <c r="P48" t="s">
        <v>129</v>
      </c>
      <c r="V48" s="159" t="s">
        <v>130</v>
      </c>
    </row>
    <row r="49" spans="1:26" ht="15.75" thickBot="1">
      <c r="A49" s="160"/>
      <c r="B49" s="161" t="s">
        <v>18</v>
      </c>
      <c r="C49" s="161">
        <v>2010</v>
      </c>
      <c r="D49" s="161">
        <v>2015</v>
      </c>
      <c r="E49" s="161">
        <v>2020</v>
      </c>
      <c r="F49" s="161">
        <v>2025</v>
      </c>
      <c r="G49" s="161">
        <v>2030</v>
      </c>
      <c r="H49" s="142"/>
      <c r="I49" s="171" t="s">
        <v>18</v>
      </c>
      <c r="J49" s="171">
        <v>2010</v>
      </c>
      <c r="K49" s="171">
        <v>2015</v>
      </c>
      <c r="L49" s="171">
        <v>2020</v>
      </c>
      <c r="M49" s="171">
        <v>2025</v>
      </c>
      <c r="N49" s="171">
        <v>2030</v>
      </c>
      <c r="P49" s="171">
        <v>2010</v>
      </c>
      <c r="Q49" s="171">
        <v>2015</v>
      </c>
      <c r="R49" s="171">
        <v>2020</v>
      </c>
      <c r="S49" s="171">
        <v>2025</v>
      </c>
      <c r="T49" s="171">
        <v>2030</v>
      </c>
      <c r="V49" s="171">
        <v>2010</v>
      </c>
      <c r="W49" s="171">
        <v>2015</v>
      </c>
      <c r="X49" s="171">
        <v>2020</v>
      </c>
      <c r="Y49" s="171">
        <v>2025</v>
      </c>
      <c r="Z49" s="171">
        <v>2030</v>
      </c>
    </row>
    <row r="50" spans="1:26" ht="15.75" thickBot="1">
      <c r="A50" s="163" t="s">
        <v>121</v>
      </c>
      <c r="B50" s="164" t="s">
        <v>122</v>
      </c>
      <c r="C50" s="165">
        <v>6382</v>
      </c>
      <c r="D50" s="164">
        <v>0</v>
      </c>
      <c r="E50" s="165">
        <v>69709</v>
      </c>
      <c r="F50" s="165">
        <v>192223</v>
      </c>
      <c r="G50" s="165">
        <v>876934</v>
      </c>
      <c r="H50" s="142"/>
      <c r="I50" s="136" t="s">
        <v>10</v>
      </c>
      <c r="J50" s="118">
        <f>C50*$K$3/1000</f>
        <v>0.267201576</v>
      </c>
      <c r="K50" s="176">
        <f>AVERAGE(J50,L50)</f>
        <v>1.5928889940000002</v>
      </c>
      <c r="L50" s="118">
        <f t="shared" ref="L50:N50" si="56">E50*$K$3/1000</f>
        <v>2.9185764120000002</v>
      </c>
      <c r="M50" s="118">
        <f t="shared" si="56"/>
        <v>8.0479925639999994</v>
      </c>
      <c r="N50" s="177">
        <f t="shared" si="56"/>
        <v>36.715472712</v>
      </c>
      <c r="P50" s="172"/>
    </row>
    <row r="51" spans="1:26" ht="15.75" thickBot="1">
      <c r="A51" s="163" t="s">
        <v>121</v>
      </c>
      <c r="B51" s="164" t="s">
        <v>124</v>
      </c>
      <c r="C51" s="164">
        <v>288</v>
      </c>
      <c r="D51" s="164">
        <v>267</v>
      </c>
      <c r="E51" s="164">
        <v>226</v>
      </c>
      <c r="F51" s="164">
        <v>209</v>
      </c>
      <c r="G51" s="164">
        <v>211</v>
      </c>
      <c r="H51" s="142"/>
      <c r="I51" s="136" t="s">
        <v>51</v>
      </c>
      <c r="J51" s="118">
        <f>C51/$K$2</f>
        <v>6.8787618228718825</v>
      </c>
      <c r="K51" s="176">
        <f t="shared" ref="K51:N51" si="57">D51/$K$2</f>
        <v>6.3771854399541414</v>
      </c>
      <c r="L51" s="118">
        <f t="shared" si="57"/>
        <v>5.3979172637814079</v>
      </c>
      <c r="M51" s="118">
        <f t="shared" si="57"/>
        <v>4.9918792395146649</v>
      </c>
      <c r="N51" s="118">
        <f t="shared" si="57"/>
        <v>5.039648418840164</v>
      </c>
      <c r="P51" s="173">
        <f>J51/$J51</f>
        <v>1</v>
      </c>
      <c r="Q51" s="173">
        <f t="shared" ref="Q51:T51" si="58">K51/$J51</f>
        <v>0.92708333333333337</v>
      </c>
      <c r="R51" s="173">
        <f t="shared" si="58"/>
        <v>0.78472222222222221</v>
      </c>
      <c r="S51" s="173">
        <f t="shared" si="58"/>
        <v>0.72569444444444442</v>
      </c>
      <c r="T51" s="173">
        <f t="shared" si="58"/>
        <v>0.73263888888888895</v>
      </c>
      <c r="V51" s="174">
        <f>J51*100/$Q$3</f>
        <v>5.3901760133768803</v>
      </c>
      <c r="W51" s="174">
        <f t="shared" ref="W51:Z51" si="59">K51*100/$Q$3</f>
        <v>4.9971423457348161</v>
      </c>
      <c r="X51" s="174">
        <f t="shared" si="59"/>
        <v>4.2297908993860238</v>
      </c>
      <c r="Y51" s="174">
        <f t="shared" si="59"/>
        <v>3.9116207874853051</v>
      </c>
      <c r="Z51" s="174">
        <f t="shared" si="59"/>
        <v>3.949052565355978</v>
      </c>
    </row>
    <row r="52" spans="1:26" ht="15.75" thickBot="1">
      <c r="A52" s="163" t="s">
        <v>126</v>
      </c>
      <c r="B52" s="164" t="s">
        <v>122</v>
      </c>
      <c r="C52" s="165">
        <v>191470</v>
      </c>
      <c r="D52" s="164">
        <v>0</v>
      </c>
      <c r="E52" s="165">
        <v>209128</v>
      </c>
      <c r="F52" s="165">
        <v>576669</v>
      </c>
      <c r="G52" s="165">
        <v>2630803</v>
      </c>
      <c r="H52" s="142"/>
      <c r="I52" s="136" t="s">
        <v>10</v>
      </c>
      <c r="J52" s="118">
        <f>C52*$K$3/1000</f>
        <v>8.0164659599999997</v>
      </c>
      <c r="K52" s="176">
        <f>AVERAGE(J52,L52)</f>
        <v>8.3861185320000011</v>
      </c>
      <c r="L52" s="118">
        <f t="shared" ref="L52:N52" si="60">E52*$K$3/1000</f>
        <v>8.7557711040000008</v>
      </c>
      <c r="M52" s="118">
        <f t="shared" si="60"/>
        <v>24.143977692</v>
      </c>
      <c r="N52" s="177">
        <f t="shared" si="60"/>
        <v>110.14646000400001</v>
      </c>
    </row>
    <row r="53" spans="1:26" ht="15.75" thickBot="1">
      <c r="A53" s="163" t="s">
        <v>126</v>
      </c>
      <c r="B53" s="164" t="s">
        <v>124</v>
      </c>
      <c r="C53" s="164">
        <v>590</v>
      </c>
      <c r="D53" s="164">
        <v>535</v>
      </c>
      <c r="E53" s="164">
        <v>452</v>
      </c>
      <c r="F53" s="164">
        <v>418</v>
      </c>
      <c r="G53" s="164">
        <v>421</v>
      </c>
      <c r="H53" s="142"/>
      <c r="I53" s="136" t="s">
        <v>51</v>
      </c>
      <c r="J53" s="118">
        <f>C53/$K$2</f>
        <v>14.09190790102226</v>
      </c>
      <c r="K53" s="176">
        <f t="shared" ref="K53:N53" si="61">D53/$K$2</f>
        <v>12.778255469571032</v>
      </c>
      <c r="L53" s="118">
        <f t="shared" si="61"/>
        <v>10.795834527562816</v>
      </c>
      <c r="M53" s="118">
        <f t="shared" si="61"/>
        <v>9.9837584790293299</v>
      </c>
      <c r="N53" s="118">
        <f t="shared" si="61"/>
        <v>10.055412248017578</v>
      </c>
      <c r="P53" s="173">
        <f>J53/$J53</f>
        <v>1</v>
      </c>
      <c r="Q53" s="173">
        <f t="shared" ref="Q53:T53" si="62">K53/$J53</f>
        <v>0.90677966101694918</v>
      </c>
      <c r="R53" s="173">
        <f t="shared" si="62"/>
        <v>0.76610169491525415</v>
      </c>
      <c r="S53" s="173">
        <f t="shared" si="62"/>
        <v>0.70847457627118637</v>
      </c>
      <c r="T53" s="173">
        <f t="shared" si="62"/>
        <v>0.71355932203389827</v>
      </c>
      <c r="V53" s="174">
        <f>J53*100/$Q$3</f>
        <v>11.04237447184847</v>
      </c>
      <c r="W53" s="174">
        <f t="shared" ref="W53:Z53" si="63">K53*100/$Q$3</f>
        <v>10.013000580404968</v>
      </c>
      <c r="X53" s="174">
        <f t="shared" si="63"/>
        <v>8.4595817987720476</v>
      </c>
      <c r="Y53" s="174">
        <f t="shared" si="63"/>
        <v>7.8232415749706101</v>
      </c>
      <c r="Z53" s="174">
        <f t="shared" si="63"/>
        <v>7.8793892417766198</v>
      </c>
    </row>
    <row r="54" spans="1:26" ht="15.75" thickBot="1">
      <c r="A54" s="163" t="s">
        <v>106</v>
      </c>
      <c r="B54" s="164" t="s">
        <v>122</v>
      </c>
      <c r="C54" s="165">
        <v>779549</v>
      </c>
      <c r="D54" s="165">
        <v>792079</v>
      </c>
      <c r="E54" s="165">
        <v>421094</v>
      </c>
      <c r="F54" s="165">
        <v>750039</v>
      </c>
      <c r="G54" s="165">
        <v>1428558</v>
      </c>
      <c r="H54" s="142"/>
      <c r="I54" s="136" t="s">
        <v>10</v>
      </c>
      <c r="J54" s="118">
        <f>C54*$K$3/1000</f>
        <v>32.638157532000001</v>
      </c>
      <c r="K54" s="118">
        <f t="shared" ref="K54:N54" si="64">D54*$K$3/1000</f>
        <v>33.162763572000003</v>
      </c>
      <c r="L54" s="177">
        <f t="shared" si="64"/>
        <v>17.630363592000002</v>
      </c>
      <c r="M54" s="118">
        <f t="shared" si="64"/>
        <v>31.402632852000004</v>
      </c>
      <c r="N54" s="177">
        <f t="shared" si="64"/>
        <v>59.810866344000004</v>
      </c>
      <c r="P54" s="172"/>
    </row>
    <row r="55" spans="1:26" ht="15.75" thickBot="1">
      <c r="A55" s="163" t="s">
        <v>106</v>
      </c>
      <c r="B55" s="164" t="s">
        <v>124</v>
      </c>
      <c r="C55" s="164">
        <v>779</v>
      </c>
      <c r="D55" s="164">
        <v>864</v>
      </c>
      <c r="E55" s="164">
        <v>951</v>
      </c>
      <c r="F55" s="164">
        <v>1054</v>
      </c>
      <c r="G55" s="164">
        <v>1204</v>
      </c>
      <c r="H55" s="142"/>
      <c r="I55" s="136" t="s">
        <v>51</v>
      </c>
      <c r="J55" s="118">
        <f>C55/$K$2</f>
        <v>18.606095347281933</v>
      </c>
      <c r="K55" s="118">
        <f t="shared" ref="K55:N55" si="65">D55/$K$2</f>
        <v>20.636285468615647</v>
      </c>
      <c r="L55" s="118">
        <f t="shared" si="65"/>
        <v>22.714244769274863</v>
      </c>
      <c r="M55" s="118">
        <f t="shared" si="65"/>
        <v>25.174357504538072</v>
      </c>
      <c r="N55" s="118">
        <f t="shared" si="65"/>
        <v>28.757045953950509</v>
      </c>
      <c r="P55" s="173">
        <f>J55/$J55</f>
        <v>1</v>
      </c>
      <c r="Q55" s="173">
        <f t="shared" ref="Q55:T55" si="66">K55/$J55</f>
        <v>1.1091142490372272</v>
      </c>
      <c r="R55" s="173">
        <f t="shared" si="66"/>
        <v>1.2207958921694479</v>
      </c>
      <c r="S55" s="173">
        <f t="shared" si="66"/>
        <v>1.3530166880616175</v>
      </c>
      <c r="T55" s="173">
        <f t="shared" si="66"/>
        <v>1.5455712451861361</v>
      </c>
      <c r="V55" s="174">
        <f>J55*100/$Q$3</f>
        <v>14.579677480627048</v>
      </c>
      <c r="W55" s="174">
        <f t="shared" ref="W55:Z55" si="67">K55*100/$Q$3</f>
        <v>16.170528040130641</v>
      </c>
      <c r="X55" s="174">
        <f t="shared" si="67"/>
        <v>17.798810377504907</v>
      </c>
      <c r="Y55" s="174">
        <f t="shared" si="67"/>
        <v>19.726546937844553</v>
      </c>
      <c r="Z55" s="174">
        <f t="shared" si="67"/>
        <v>22.533930278145014</v>
      </c>
    </row>
    <row r="56" spans="1:26" ht="15.75" thickBot="1">
      <c r="A56" s="163" t="s">
        <v>107</v>
      </c>
      <c r="B56" s="164" t="s">
        <v>122</v>
      </c>
      <c r="C56" s="165">
        <v>101448</v>
      </c>
      <c r="D56" s="165">
        <v>118165</v>
      </c>
      <c r="E56" s="164">
        <v>0</v>
      </c>
      <c r="F56" s="164">
        <v>0</v>
      </c>
      <c r="G56" s="165">
        <v>122199</v>
      </c>
      <c r="H56" s="142"/>
      <c r="I56" s="136" t="s">
        <v>10</v>
      </c>
      <c r="J56" s="118">
        <f>C56*$K$3/1000</f>
        <v>4.247424864000001</v>
      </c>
      <c r="K56" s="118">
        <f t="shared" ref="K56:N56" si="68">D56*$K$3/1000</f>
        <v>4.9473322199999998</v>
      </c>
      <c r="L56" s="118">
        <f t="shared" si="68"/>
        <v>0</v>
      </c>
      <c r="M56" s="118">
        <f t="shared" si="68"/>
        <v>0</v>
      </c>
      <c r="N56" s="177">
        <f t="shared" si="68"/>
        <v>5.1162277320000005</v>
      </c>
    </row>
    <row r="57" spans="1:26" ht="15.75" thickBot="1">
      <c r="A57" s="163" t="s">
        <v>107</v>
      </c>
      <c r="B57" s="164" t="s">
        <v>124</v>
      </c>
      <c r="C57" s="165">
        <v>1209</v>
      </c>
      <c r="D57" s="165">
        <v>1488</v>
      </c>
      <c r="E57" s="165">
        <v>1755</v>
      </c>
      <c r="F57" s="165">
        <v>1948</v>
      </c>
      <c r="G57" s="165">
        <v>2212</v>
      </c>
      <c r="H57" s="142"/>
      <c r="I57" s="136" t="s">
        <v>51</v>
      </c>
      <c r="J57" s="118">
        <f>C57/$K$2</f>
        <v>28.876468902264257</v>
      </c>
      <c r="K57" s="118">
        <f t="shared" ref="K57:N57" si="69">D57/$K$2</f>
        <v>35.540269418171391</v>
      </c>
      <c r="L57" s="118">
        <f t="shared" si="69"/>
        <v>41.917454858125538</v>
      </c>
      <c r="M57" s="118">
        <f t="shared" si="69"/>
        <v>46.527180663036205</v>
      </c>
      <c r="N57" s="118">
        <f t="shared" si="69"/>
        <v>52.832712334002096</v>
      </c>
      <c r="P57" s="173">
        <f>J57/$J57</f>
        <v>1</v>
      </c>
      <c r="Q57" s="173">
        <f t="shared" ref="Q57:T57" si="70">K57/$J57</f>
        <v>1.2307692307692306</v>
      </c>
      <c r="R57" s="173">
        <f t="shared" si="70"/>
        <v>1.4516129032258065</v>
      </c>
      <c r="S57" s="173">
        <f t="shared" si="70"/>
        <v>1.6112489660876756</v>
      </c>
      <c r="T57" s="173">
        <f t="shared" si="70"/>
        <v>1.8296112489660876</v>
      </c>
      <c r="V57" s="174">
        <f>J57*100/$Q$3</f>
        <v>22.627509722821692</v>
      </c>
      <c r="W57" s="174">
        <f t="shared" ref="W57:Z57" si="71">K57*100/$Q$3</f>
        <v>27.849242735780546</v>
      </c>
      <c r="X57" s="174">
        <f t="shared" si="71"/>
        <v>32.846385081515365</v>
      </c>
      <c r="Y57" s="174">
        <f t="shared" si="71"/>
        <v>36.458551646035289</v>
      </c>
      <c r="Z57" s="174">
        <f t="shared" si="71"/>
        <v>41.399546324964092</v>
      </c>
    </row>
  </sheetData>
  <mergeCells count="1">
    <mergeCell ref="P1:Q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CB6D-2A3E-4879-AFF8-DE9B6A0FD3B5}">
  <sheetPr codeName="Sheet13">
    <tabColor rgb="FFFF0000"/>
  </sheetPr>
  <dimension ref="A1:AQ40"/>
  <sheetViews>
    <sheetView tabSelected="1" zoomScale="70" zoomScaleNormal="70" workbookViewId="0">
      <pane xSplit="2" ySplit="1" topLeftCell="C2" activePane="bottomRight" state="frozen"/>
      <selection activeCell="A65" sqref="A65:XFD65"/>
      <selection pane="topRight" activeCell="A65" sqref="A65:XFD65"/>
      <selection pane="bottomLeft" activeCell="A65" sqref="A65:XFD65"/>
      <selection pane="bottomRight" activeCell="L20" sqref="L20"/>
    </sheetView>
  </sheetViews>
  <sheetFormatPr defaultColWidth="9.140625" defaultRowHeight="12.75"/>
  <cols>
    <col min="1" max="1" width="38.140625" style="246" customWidth="1"/>
    <col min="2" max="2" width="13" style="242" bestFit="1" customWidth="1"/>
    <col min="3" max="4" width="7.5703125" style="247" bestFit="1" customWidth="1"/>
    <col min="5" max="5" width="9.140625" style="247"/>
    <col min="6" max="6" width="6.140625" style="248" customWidth="1"/>
    <col min="7" max="7" width="5.85546875" style="248" bestFit="1" customWidth="1"/>
    <col min="8" max="8" width="7.42578125" style="247" bestFit="1" customWidth="1"/>
    <col min="9" max="9" width="6.140625" style="248" bestFit="1" customWidth="1"/>
    <col min="10" max="10" width="6" style="248" bestFit="1" customWidth="1"/>
    <col min="11" max="11" width="6.85546875" style="248" bestFit="1" customWidth="1"/>
    <col min="12" max="12" width="8.7109375" style="244" bestFit="1" customWidth="1"/>
    <col min="13" max="13" width="8.140625" style="243" bestFit="1" customWidth="1"/>
    <col min="14" max="14" width="8.140625" style="243" customWidth="1"/>
    <col min="15" max="15" width="5.28515625" style="243" customWidth="1"/>
    <col min="16" max="16" width="7.42578125" style="243" customWidth="1"/>
    <col min="17" max="17" width="7.42578125" style="243" bestFit="1" customWidth="1"/>
    <col min="18" max="18" width="8.140625" style="243" bestFit="1" customWidth="1"/>
    <col min="19" max="19" width="7.28515625" style="243" bestFit="1" customWidth="1"/>
    <col min="20" max="20" width="7.42578125" style="243" bestFit="1" customWidth="1"/>
    <col min="21" max="21" width="8.42578125" style="243" bestFit="1" customWidth="1"/>
    <col min="22" max="22" width="6.85546875" style="243" bestFit="1" customWidth="1"/>
    <col min="23" max="25" width="5.42578125" style="243" customWidth="1"/>
    <col min="26" max="26" width="5.42578125" style="248" customWidth="1"/>
    <col min="27" max="27" width="8.140625" style="245" bestFit="1" customWidth="1"/>
    <col min="28" max="28" width="6.7109375" style="244" bestFit="1" customWidth="1"/>
    <col min="29" max="30" width="5.5703125" style="243" customWidth="1"/>
    <col min="31" max="31" width="8.7109375" style="243" bestFit="1" customWidth="1"/>
    <col min="32" max="32" width="8.7109375" style="243" customWidth="1"/>
    <col min="33" max="33" width="5.5703125" style="243" customWidth="1"/>
    <col min="34" max="34" width="5.85546875" style="243" bestFit="1" customWidth="1"/>
    <col min="35" max="36" width="7" style="243" customWidth="1"/>
    <col min="37" max="40" width="5.5703125" style="243" customWidth="1"/>
    <col min="41" max="41" width="8.7109375" style="245" bestFit="1" customWidth="1"/>
    <col min="42" max="42" width="4.42578125" style="249" bestFit="1" customWidth="1"/>
    <col min="43" max="43" width="9.28515625" style="243" bestFit="1" customWidth="1"/>
    <col min="44" max="16384" width="9.140625" style="242"/>
  </cols>
  <sheetData>
    <row r="1" spans="1:43" ht="87" thickBot="1">
      <c r="A1" s="351" t="s">
        <v>483</v>
      </c>
      <c r="B1" s="350" t="s">
        <v>484</v>
      </c>
      <c r="C1" s="352" t="s">
        <v>196</v>
      </c>
      <c r="D1" s="355" t="s">
        <v>197</v>
      </c>
      <c r="E1" s="348" t="s">
        <v>198</v>
      </c>
      <c r="F1" s="347" t="s">
        <v>199</v>
      </c>
      <c r="G1" s="347" t="s">
        <v>200</v>
      </c>
      <c r="H1" s="349" t="s">
        <v>201</v>
      </c>
      <c r="I1" s="355" t="s">
        <v>202</v>
      </c>
      <c r="J1" s="348" t="s">
        <v>203</v>
      </c>
      <c r="K1" s="348" t="s">
        <v>204</v>
      </c>
      <c r="L1" s="349" t="s">
        <v>205</v>
      </c>
      <c r="M1" s="355" t="s">
        <v>206</v>
      </c>
      <c r="N1" s="496" t="s">
        <v>500</v>
      </c>
      <c r="O1" s="348" t="s">
        <v>207</v>
      </c>
      <c r="P1" s="348" t="s">
        <v>208</v>
      </c>
      <c r="Q1" s="348" t="s">
        <v>209</v>
      </c>
      <c r="R1" s="348" t="s">
        <v>210</v>
      </c>
      <c r="S1" s="348" t="s">
        <v>211</v>
      </c>
      <c r="T1" s="348" t="s">
        <v>212</v>
      </c>
      <c r="U1" s="348" t="s">
        <v>213</v>
      </c>
      <c r="V1" s="348" t="s">
        <v>214</v>
      </c>
      <c r="W1" s="347" t="s">
        <v>215</v>
      </c>
      <c r="X1" s="347" t="s">
        <v>216</v>
      </c>
      <c r="Y1" s="347" t="s">
        <v>217</v>
      </c>
      <c r="Z1" s="348" t="s">
        <v>218</v>
      </c>
      <c r="AA1" s="349" t="s">
        <v>219</v>
      </c>
      <c r="AB1" s="375" t="s">
        <v>220</v>
      </c>
      <c r="AC1" s="376" t="s">
        <v>221</v>
      </c>
      <c r="AD1" s="348" t="s">
        <v>222</v>
      </c>
      <c r="AE1" s="497" t="s">
        <v>501</v>
      </c>
      <c r="AF1" s="494" t="s">
        <v>502</v>
      </c>
      <c r="AG1" s="348" t="s">
        <v>223</v>
      </c>
      <c r="AH1" s="348" t="s">
        <v>224</v>
      </c>
      <c r="AI1" s="497" t="s">
        <v>503</v>
      </c>
      <c r="AJ1" s="494" t="s">
        <v>504</v>
      </c>
      <c r="AK1" s="497" t="s">
        <v>505</v>
      </c>
      <c r="AL1" s="494" t="s">
        <v>506</v>
      </c>
      <c r="AM1" s="495" t="s">
        <v>507</v>
      </c>
      <c r="AN1" s="349" t="s">
        <v>225</v>
      </c>
      <c r="AO1" s="349" t="s">
        <v>226</v>
      </c>
      <c r="AP1" s="375" t="s">
        <v>227</v>
      </c>
      <c r="AQ1" s="377" t="s">
        <v>228</v>
      </c>
    </row>
    <row r="2" spans="1:43">
      <c r="A2" s="378" t="s">
        <v>229</v>
      </c>
      <c r="B2" s="379"/>
      <c r="C2" s="380">
        <f>SUM(D2:G2)</f>
        <v>0</v>
      </c>
      <c r="D2" s="356">
        <v>0</v>
      </c>
      <c r="E2" s="381"/>
      <c r="F2" s="382"/>
      <c r="G2" s="382"/>
      <c r="H2" s="383">
        <f>SUM(I2:K2)</f>
        <v>815.92434898628403</v>
      </c>
      <c r="I2" s="384">
        <v>688.22034898628408</v>
      </c>
      <c r="J2" s="385">
        <v>127.70399999999999</v>
      </c>
      <c r="K2" s="385"/>
      <c r="L2" s="383">
        <f>SUM(M2:Z2)</f>
        <v>0</v>
      </c>
      <c r="M2" s="384"/>
      <c r="N2" s="386"/>
      <c r="O2" s="387"/>
      <c r="P2" s="387"/>
      <c r="Q2" s="387"/>
      <c r="R2" s="387"/>
      <c r="S2" s="387"/>
      <c r="T2" s="387"/>
      <c r="U2" s="387"/>
      <c r="V2" s="387"/>
      <c r="W2" s="382"/>
      <c r="X2" s="382"/>
      <c r="Y2" s="382"/>
      <c r="Z2" s="385"/>
      <c r="AA2" s="383">
        <v>2751.9191872187112</v>
      </c>
      <c r="AB2" s="388">
        <f>SUM(AC2:AM2)</f>
        <v>1331.2863828445347</v>
      </c>
      <c r="AC2" s="389">
        <v>59.691708987970003</v>
      </c>
      <c r="AD2" s="385">
        <v>743.01992281532614</v>
      </c>
      <c r="AE2" s="385">
        <v>249.68174480509879</v>
      </c>
      <c r="AF2" s="385">
        <v>139.99992739520798</v>
      </c>
      <c r="AG2" s="385">
        <v>33.531818868055431</v>
      </c>
      <c r="AH2" s="385">
        <v>16.813132576534866</v>
      </c>
      <c r="AI2" s="385">
        <v>27.095124147648001</v>
      </c>
      <c r="AJ2" s="385">
        <v>2.6691993220799999</v>
      </c>
      <c r="AK2" s="384">
        <v>1.4323955643044282</v>
      </c>
      <c r="AL2" s="384">
        <v>13.54608560366562</v>
      </c>
      <c r="AM2" s="382">
        <v>43.805322758643676</v>
      </c>
      <c r="AN2" s="390">
        <v>145.43710297949829</v>
      </c>
      <c r="AO2" s="390"/>
      <c r="AP2" s="388"/>
      <c r="AQ2" s="391">
        <f>C2+H2+L2+AA2+AB2+AN2+AO2+AP2</f>
        <v>5044.5670220290285</v>
      </c>
    </row>
    <row r="3" spans="1:43">
      <c r="A3" s="392" t="s">
        <v>230</v>
      </c>
      <c r="B3" s="393"/>
      <c r="C3" s="394">
        <f>SUM(D3:G3)</f>
        <v>935.78934491090115</v>
      </c>
      <c r="D3" s="357">
        <v>802.24865041659757</v>
      </c>
      <c r="E3" s="395">
        <v>125.38500136039437</v>
      </c>
      <c r="F3" s="396"/>
      <c r="G3" s="396">
        <v>8.1556931339092724</v>
      </c>
      <c r="H3" s="397">
        <f>SUM(I3:K3)</f>
        <v>0</v>
      </c>
      <c r="I3" s="363"/>
      <c r="J3" s="398"/>
      <c r="K3" s="398"/>
      <c r="L3" s="397">
        <f>SUM(M3:Z3)</f>
        <v>9146.774069288922</v>
      </c>
      <c r="M3" s="363">
        <v>3053.4742963851995</v>
      </c>
      <c r="N3" s="363">
        <v>16.633377499200002</v>
      </c>
      <c r="O3" s="398">
        <v>0</v>
      </c>
      <c r="P3" s="398">
        <v>564.2282843555555</v>
      </c>
      <c r="Q3" s="398">
        <v>369.55541863968</v>
      </c>
      <c r="R3" s="398">
        <v>1543.1782335883197</v>
      </c>
      <c r="S3" s="398">
        <v>82.827948630790956</v>
      </c>
      <c r="T3" s="398">
        <v>157.5463640726893</v>
      </c>
      <c r="U3" s="398">
        <v>2941.4703035056637</v>
      </c>
      <c r="V3" s="398">
        <v>164.48328641762765</v>
      </c>
      <c r="W3" s="396">
        <v>7.5616539426795564</v>
      </c>
      <c r="X3" s="396">
        <v>200.83222211696253</v>
      </c>
      <c r="Y3" s="396">
        <v>1.2281470084248403</v>
      </c>
      <c r="Z3" s="398">
        <v>43.754533126130625</v>
      </c>
      <c r="AA3" s="397">
        <v>1728.338063506957</v>
      </c>
      <c r="AB3" s="399">
        <f>SUM(AC3:AM3)</f>
        <v>150.18873559012798</v>
      </c>
      <c r="AC3" s="372"/>
      <c r="AD3" s="398"/>
      <c r="AE3" s="398">
        <v>23.169037781663999</v>
      </c>
      <c r="AF3" s="398"/>
      <c r="AG3" s="398"/>
      <c r="AH3" s="398"/>
      <c r="AI3" s="398">
        <v>104.16969909062398</v>
      </c>
      <c r="AJ3" s="398">
        <v>22.849998717839998</v>
      </c>
      <c r="AK3" s="363"/>
      <c r="AL3" s="363"/>
      <c r="AM3" s="396"/>
      <c r="AN3" s="400"/>
      <c r="AO3" s="400">
        <v>139.45061680000001</v>
      </c>
      <c r="AP3" s="399"/>
      <c r="AQ3" s="401">
        <f t="shared" ref="AQ3:AQ20" si="0">C3+H3+L3+AA3+AB3+AN3+AO3+AP3</f>
        <v>12100.540830096908</v>
      </c>
    </row>
    <row r="4" spans="1:43">
      <c r="A4" s="392" t="s">
        <v>231</v>
      </c>
      <c r="B4" s="393"/>
      <c r="C4" s="394">
        <f>SUM(D4:G4)</f>
        <v>15.186580890896002</v>
      </c>
      <c r="D4" s="357">
        <v>0</v>
      </c>
      <c r="E4" s="402">
        <v>14.097722162000002</v>
      </c>
      <c r="F4" s="396"/>
      <c r="G4" s="396">
        <v>1.0888587288959999</v>
      </c>
      <c r="H4" s="397">
        <f>SUM(I4:K4)</f>
        <v>7.0330680000000001</v>
      </c>
      <c r="I4" s="363"/>
      <c r="J4" s="398"/>
      <c r="K4" s="398">
        <v>7.0330680000000001</v>
      </c>
      <c r="L4" s="397">
        <f>SUM(M4:Z4)</f>
        <v>1717.0624747879344</v>
      </c>
      <c r="M4" s="363">
        <v>0</v>
      </c>
      <c r="N4" s="363">
        <v>0</v>
      </c>
      <c r="O4" s="398"/>
      <c r="P4" s="398">
        <v>364.52221864444448</v>
      </c>
      <c r="Q4" s="398">
        <v>21.672508399360005</v>
      </c>
      <c r="R4" s="398">
        <v>156.29379915984001</v>
      </c>
      <c r="S4" s="398">
        <v>986.60611760112999</v>
      </c>
      <c r="T4" s="398">
        <v>35.289733288720633</v>
      </c>
      <c r="U4" s="398">
        <v>102.14625414775992</v>
      </c>
      <c r="V4" s="398">
        <v>2.9088437938490893E-3</v>
      </c>
      <c r="W4" s="396">
        <v>36.297317128453038</v>
      </c>
      <c r="X4" s="396">
        <v>5.4694689952000006</v>
      </c>
      <c r="Y4" s="396">
        <v>1.8500297569930473E-2</v>
      </c>
      <c r="Z4" s="398">
        <v>8.7436482816626366</v>
      </c>
      <c r="AA4" s="397">
        <v>0</v>
      </c>
      <c r="AB4" s="399">
        <f>SUM(AC4:AM4)</f>
        <v>9.4476585178560004</v>
      </c>
      <c r="AC4" s="372"/>
      <c r="AD4" s="398"/>
      <c r="AE4" s="398">
        <v>0.41264639999999991</v>
      </c>
      <c r="AF4" s="398"/>
      <c r="AG4" s="398"/>
      <c r="AH4" s="398"/>
      <c r="AI4" s="398">
        <v>9.0350121178560006</v>
      </c>
      <c r="AJ4" s="398">
        <v>0</v>
      </c>
      <c r="AK4" s="363"/>
      <c r="AL4" s="363"/>
      <c r="AM4" s="396"/>
      <c r="AN4" s="400"/>
      <c r="AO4" s="400">
        <v>141.83539077999998</v>
      </c>
      <c r="AP4" s="399"/>
      <c r="AQ4" s="401">
        <f t="shared" si="0"/>
        <v>1890.5651729766864</v>
      </c>
    </row>
    <row r="5" spans="1:43">
      <c r="A5" s="392" t="s">
        <v>232</v>
      </c>
      <c r="B5" s="393"/>
      <c r="C5" s="394">
        <f>SUM(D5:G5)</f>
        <v>0</v>
      </c>
      <c r="D5" s="357"/>
      <c r="E5" s="402"/>
      <c r="F5" s="396"/>
      <c r="G5" s="396"/>
      <c r="H5" s="397">
        <f>SUM(I5:K5)</f>
        <v>0</v>
      </c>
      <c r="I5" s="363"/>
      <c r="J5" s="398"/>
      <c r="K5" s="398"/>
      <c r="L5" s="397">
        <f>SUM(M5:Z5)</f>
        <v>162.14899063248015</v>
      </c>
      <c r="M5" s="363"/>
      <c r="N5" s="363"/>
      <c r="O5" s="398"/>
      <c r="P5" s="398"/>
      <c r="Q5" s="398"/>
      <c r="R5" s="398"/>
      <c r="S5" s="398">
        <v>15.730078096892656</v>
      </c>
      <c r="T5" s="398"/>
      <c r="U5" s="398">
        <v>146.41891253558748</v>
      </c>
      <c r="V5" s="398"/>
      <c r="W5" s="396"/>
      <c r="X5" s="396"/>
      <c r="Y5" s="396"/>
      <c r="Z5" s="398"/>
      <c r="AA5" s="397"/>
      <c r="AB5" s="399">
        <f>SUM(AC5:AM5)</f>
        <v>0</v>
      </c>
      <c r="AC5" s="372"/>
      <c r="AD5" s="398"/>
      <c r="AE5" s="398"/>
      <c r="AF5" s="398"/>
      <c r="AG5" s="398"/>
      <c r="AH5" s="398"/>
      <c r="AI5" s="398"/>
      <c r="AJ5" s="398"/>
      <c r="AK5" s="363"/>
      <c r="AL5" s="363"/>
      <c r="AM5" s="396"/>
      <c r="AN5" s="400"/>
      <c r="AO5" s="400"/>
      <c r="AP5" s="399"/>
      <c r="AQ5" s="401">
        <f t="shared" si="0"/>
        <v>162.14899063248015</v>
      </c>
    </row>
    <row r="6" spans="1:43" ht="13.5" thickBot="1">
      <c r="A6" s="403" t="s">
        <v>233</v>
      </c>
      <c r="B6" s="404"/>
      <c r="C6" s="394">
        <f>SUM(D6:G6)</f>
        <v>-105.50045932171129</v>
      </c>
      <c r="D6" s="358">
        <v>-106.11399866466098</v>
      </c>
      <c r="E6" s="396">
        <v>-0.8079766727235479</v>
      </c>
      <c r="F6" s="405"/>
      <c r="G6" s="405">
        <v>1.4215160156732278</v>
      </c>
      <c r="H6" s="406">
        <f>SUM(I6:K6)</f>
        <v>-122.93905189963694</v>
      </c>
      <c r="I6" s="407">
        <v>-136.53826589963694</v>
      </c>
      <c r="J6" s="407">
        <v>0</v>
      </c>
      <c r="K6" s="407">
        <v>13.599214000000003</v>
      </c>
      <c r="L6" s="406">
        <f>SUM(M6:Z6)</f>
        <v>151.33981188504902</v>
      </c>
      <c r="M6" s="363">
        <v>38.730964773999993</v>
      </c>
      <c r="N6" s="363">
        <v>-8.8751519999999999</v>
      </c>
      <c r="O6" s="398"/>
      <c r="P6" s="398">
        <v>-9.6980083333333713</v>
      </c>
      <c r="Q6" s="398">
        <v>12.883201938880001</v>
      </c>
      <c r="R6" s="398">
        <v>82.12024884504001</v>
      </c>
      <c r="S6" s="398">
        <v>23.637599999999999</v>
      </c>
      <c r="T6" s="398">
        <v>1.4659197380156652</v>
      </c>
      <c r="U6" s="398">
        <v>8.3874136006762399</v>
      </c>
      <c r="V6" s="398">
        <v>3.2040911090633046</v>
      </c>
      <c r="W6" s="405">
        <v>-0.51646778729281662</v>
      </c>
      <c r="X6" s="405">
        <v>0</v>
      </c>
      <c r="Y6" s="405">
        <v>0</v>
      </c>
      <c r="Z6" s="407">
        <v>0</v>
      </c>
      <c r="AA6" s="406">
        <v>0</v>
      </c>
      <c r="AB6" s="408">
        <f>SUM(AC6:AM6)</f>
        <v>4.4601014379600006</v>
      </c>
      <c r="AC6" s="409"/>
      <c r="AD6" s="410"/>
      <c r="AE6" s="410">
        <v>0.26707427819999968</v>
      </c>
      <c r="AF6" s="410"/>
      <c r="AG6" s="410"/>
      <c r="AH6" s="410"/>
      <c r="AI6" s="410">
        <v>1.7828522013120007</v>
      </c>
      <c r="AJ6" s="410">
        <v>2.4101749584479997</v>
      </c>
      <c r="AK6" s="407"/>
      <c r="AL6" s="407"/>
      <c r="AM6" s="405"/>
      <c r="AN6" s="411"/>
      <c r="AO6" s="411"/>
      <c r="AP6" s="408"/>
      <c r="AQ6" s="412">
        <f t="shared" si="0"/>
        <v>-72.639597898339204</v>
      </c>
    </row>
    <row r="7" spans="1:43">
      <c r="A7" s="413" t="s">
        <v>234</v>
      </c>
      <c r="B7" s="414"/>
      <c r="C7" s="415">
        <f t="shared" ref="C7:AP7" si="1">C2+C3-C4-C5+C6</f>
        <v>815.10230469829378</v>
      </c>
      <c r="D7" s="359">
        <f t="shared" si="1"/>
        <v>696.13465175193664</v>
      </c>
      <c r="E7" s="416">
        <f t="shared" si="1"/>
        <v>110.47930252567083</v>
      </c>
      <c r="F7" s="416">
        <f t="shared" si="1"/>
        <v>0</v>
      </c>
      <c r="G7" s="416">
        <f t="shared" si="1"/>
        <v>8.4883504206865013</v>
      </c>
      <c r="H7" s="417">
        <f t="shared" si="1"/>
        <v>685.95222908664709</v>
      </c>
      <c r="I7" s="359">
        <f t="shared" si="1"/>
        <v>551.68208308664714</v>
      </c>
      <c r="J7" s="416">
        <f t="shared" si="1"/>
        <v>127.70399999999999</v>
      </c>
      <c r="K7" s="416">
        <f t="shared" si="1"/>
        <v>6.5661460000000034</v>
      </c>
      <c r="L7" s="417">
        <f t="shared" si="1"/>
        <v>7418.9024157535559</v>
      </c>
      <c r="M7" s="359">
        <f t="shared" si="1"/>
        <v>3092.2052611591994</v>
      </c>
      <c r="N7" s="359">
        <f t="shared" si="1"/>
        <v>7.7582254992000017</v>
      </c>
      <c r="O7" s="416">
        <f t="shared" si="1"/>
        <v>0</v>
      </c>
      <c r="P7" s="416">
        <f t="shared" si="1"/>
        <v>190.00805737777765</v>
      </c>
      <c r="Q7" s="416">
        <f t="shared" si="1"/>
        <v>360.76611217919998</v>
      </c>
      <c r="R7" s="416">
        <f t="shared" si="1"/>
        <v>1469.0046832735197</v>
      </c>
      <c r="S7" s="416">
        <f t="shared" si="1"/>
        <v>-895.87064706723163</v>
      </c>
      <c r="T7" s="416">
        <f t="shared" si="1"/>
        <v>123.72255052198433</v>
      </c>
      <c r="U7" s="416">
        <f t="shared" si="1"/>
        <v>2701.2925504229925</v>
      </c>
      <c r="V7" s="416">
        <f t="shared" si="1"/>
        <v>167.68446868289712</v>
      </c>
      <c r="W7" s="416">
        <f t="shared" si="1"/>
        <v>-29.252130973066301</v>
      </c>
      <c r="X7" s="416">
        <f t="shared" si="1"/>
        <v>195.36275312176252</v>
      </c>
      <c r="Y7" s="416">
        <f t="shared" si="1"/>
        <v>1.2096467108549098</v>
      </c>
      <c r="Z7" s="416">
        <f t="shared" si="1"/>
        <v>35.010884844467988</v>
      </c>
      <c r="AA7" s="417">
        <f t="shared" si="1"/>
        <v>4480.2572507256682</v>
      </c>
      <c r="AB7" s="417">
        <f t="shared" si="1"/>
        <v>1476.4875613547667</v>
      </c>
      <c r="AC7" s="359">
        <f t="shared" si="1"/>
        <v>59.691708987970003</v>
      </c>
      <c r="AD7" s="416">
        <f t="shared" si="1"/>
        <v>743.01992281532614</v>
      </c>
      <c r="AE7" s="416">
        <f t="shared" si="1"/>
        <v>272.70521046496276</v>
      </c>
      <c r="AF7" s="416">
        <f t="shared" si="1"/>
        <v>139.99992739520798</v>
      </c>
      <c r="AG7" s="416">
        <f t="shared" si="1"/>
        <v>33.531818868055431</v>
      </c>
      <c r="AH7" s="416">
        <f t="shared" si="1"/>
        <v>16.813132576534866</v>
      </c>
      <c r="AI7" s="416">
        <f t="shared" si="1"/>
        <v>124.01266332172798</v>
      </c>
      <c r="AJ7" s="416">
        <f t="shared" si="1"/>
        <v>27.929372998367999</v>
      </c>
      <c r="AK7" s="361">
        <f t="shared" si="1"/>
        <v>1.4323955643044282</v>
      </c>
      <c r="AL7" s="361">
        <f t="shared" si="1"/>
        <v>13.54608560366562</v>
      </c>
      <c r="AM7" s="359">
        <f t="shared" si="1"/>
        <v>43.805322758643676</v>
      </c>
      <c r="AN7" s="417">
        <f t="shared" si="1"/>
        <v>145.43710297949829</v>
      </c>
      <c r="AO7" s="417">
        <f t="shared" si="1"/>
        <v>-2.3847739799999772</v>
      </c>
      <c r="AP7" s="418">
        <f t="shared" si="1"/>
        <v>0</v>
      </c>
      <c r="AQ7" s="419">
        <f t="shared" si="0"/>
        <v>15019.754090618429</v>
      </c>
    </row>
    <row r="8" spans="1:43" ht="13.5" thickBot="1">
      <c r="A8" s="420" t="s">
        <v>235</v>
      </c>
      <c r="B8" s="421"/>
      <c r="C8" s="422">
        <f t="shared" ref="C8:AP8" si="2">C7-C27</f>
        <v>815.10230469829378</v>
      </c>
      <c r="D8" s="360">
        <f t="shared" si="2"/>
        <v>696.13465175193664</v>
      </c>
      <c r="E8" s="423">
        <f t="shared" si="2"/>
        <v>110.47930252567083</v>
      </c>
      <c r="F8" s="424">
        <f t="shared" si="2"/>
        <v>0</v>
      </c>
      <c r="G8" s="424">
        <f t="shared" si="2"/>
        <v>8.4883504206865013</v>
      </c>
      <c r="H8" s="425">
        <f t="shared" si="2"/>
        <v>685.95222908664709</v>
      </c>
      <c r="I8" s="360">
        <f t="shared" si="2"/>
        <v>551.68208308664714</v>
      </c>
      <c r="J8" s="423">
        <f t="shared" si="2"/>
        <v>127.70399999999999</v>
      </c>
      <c r="K8" s="423">
        <f t="shared" si="2"/>
        <v>6.5661460000000034</v>
      </c>
      <c r="L8" s="425">
        <f t="shared" si="2"/>
        <v>7418.9024157535559</v>
      </c>
      <c r="M8" s="360">
        <f t="shared" si="2"/>
        <v>3092.2052611591994</v>
      </c>
      <c r="N8" s="360">
        <f t="shared" si="2"/>
        <v>7.7582254992000017</v>
      </c>
      <c r="O8" s="423">
        <f t="shared" si="2"/>
        <v>0</v>
      </c>
      <c r="P8" s="423">
        <f t="shared" si="2"/>
        <v>190.00805737777765</v>
      </c>
      <c r="Q8" s="423">
        <f t="shared" si="2"/>
        <v>360.76611217919998</v>
      </c>
      <c r="R8" s="423">
        <f t="shared" si="2"/>
        <v>1469.0046832735197</v>
      </c>
      <c r="S8" s="423">
        <f t="shared" si="2"/>
        <v>-895.87064706723163</v>
      </c>
      <c r="T8" s="423">
        <f t="shared" si="2"/>
        <v>123.72255052198433</v>
      </c>
      <c r="U8" s="423">
        <f t="shared" si="2"/>
        <v>2701.2925504229925</v>
      </c>
      <c r="V8" s="423">
        <f t="shared" si="2"/>
        <v>167.68446868289712</v>
      </c>
      <c r="W8" s="424">
        <f t="shared" si="2"/>
        <v>-29.252130973066301</v>
      </c>
      <c r="X8" s="424">
        <f t="shared" si="2"/>
        <v>195.36275312176252</v>
      </c>
      <c r="Y8" s="424">
        <f t="shared" si="2"/>
        <v>1.2096467108549098</v>
      </c>
      <c r="Z8" s="423">
        <f t="shared" si="2"/>
        <v>35.010884844467988</v>
      </c>
      <c r="AA8" s="425">
        <f t="shared" si="2"/>
        <v>4480.2572507256682</v>
      </c>
      <c r="AB8" s="426">
        <f t="shared" si="2"/>
        <v>1476.4875613547667</v>
      </c>
      <c r="AC8" s="360">
        <f t="shared" si="2"/>
        <v>59.691708987970003</v>
      </c>
      <c r="AD8" s="423">
        <f t="shared" si="2"/>
        <v>743.01992281532614</v>
      </c>
      <c r="AE8" s="423">
        <f t="shared" si="2"/>
        <v>272.70521046496276</v>
      </c>
      <c r="AF8" s="423">
        <f t="shared" si="2"/>
        <v>139.99992739520798</v>
      </c>
      <c r="AG8" s="423">
        <f t="shared" si="2"/>
        <v>33.531818868055431</v>
      </c>
      <c r="AH8" s="423">
        <f t="shared" si="2"/>
        <v>16.813132576534866</v>
      </c>
      <c r="AI8" s="423">
        <f t="shared" si="2"/>
        <v>124.01266332172798</v>
      </c>
      <c r="AJ8" s="423">
        <f t="shared" si="2"/>
        <v>27.929372998367999</v>
      </c>
      <c r="AK8" s="427">
        <f t="shared" si="2"/>
        <v>1.4323955643044282</v>
      </c>
      <c r="AL8" s="427">
        <f t="shared" si="2"/>
        <v>13.54608560366562</v>
      </c>
      <c r="AM8" s="360">
        <f t="shared" si="2"/>
        <v>43.805322758643676</v>
      </c>
      <c r="AN8" s="425">
        <f t="shared" si="2"/>
        <v>145.43710297949829</v>
      </c>
      <c r="AO8" s="425">
        <f t="shared" si="2"/>
        <v>-2.3847739799999772</v>
      </c>
      <c r="AP8" s="360">
        <f t="shared" si="2"/>
        <v>0</v>
      </c>
      <c r="AQ8" s="428">
        <f t="shared" si="0"/>
        <v>15019.754090618429</v>
      </c>
    </row>
    <row r="9" spans="1:43">
      <c r="A9" s="413" t="s">
        <v>236</v>
      </c>
      <c r="B9" s="414"/>
      <c r="C9" s="415">
        <f t="shared" ref="C9:AP9" si="3">SUM(C10:C14)</f>
        <v>488.64939432989598</v>
      </c>
      <c r="D9" s="361">
        <f t="shared" si="3"/>
        <v>488.64939432989598</v>
      </c>
      <c r="E9" s="416">
        <f t="shared" si="3"/>
        <v>0</v>
      </c>
      <c r="F9" s="429">
        <f t="shared" si="3"/>
        <v>0</v>
      </c>
      <c r="G9" s="429">
        <f t="shared" si="3"/>
        <v>0</v>
      </c>
      <c r="H9" s="417">
        <f t="shared" si="3"/>
        <v>541.02658367795425</v>
      </c>
      <c r="I9" s="361">
        <f t="shared" si="3"/>
        <v>541.02658367795425</v>
      </c>
      <c r="J9" s="416">
        <f t="shared" si="3"/>
        <v>0</v>
      </c>
      <c r="K9" s="416">
        <f t="shared" si="3"/>
        <v>0</v>
      </c>
      <c r="L9" s="417">
        <f t="shared" si="3"/>
        <v>3165.7216476484605</v>
      </c>
      <c r="M9" s="416">
        <f t="shared" si="3"/>
        <v>3092.2052611591994</v>
      </c>
      <c r="N9" s="416">
        <f t="shared" ref="N9" si="4">SUM(N10:N14)</f>
        <v>38.786602361842682</v>
      </c>
      <c r="O9" s="416">
        <f t="shared" si="3"/>
        <v>0</v>
      </c>
      <c r="P9" s="416">
        <f t="shared" si="3"/>
        <v>0</v>
      </c>
      <c r="Q9" s="416">
        <f t="shared" si="3"/>
        <v>0</v>
      </c>
      <c r="R9" s="416">
        <f t="shared" si="3"/>
        <v>0</v>
      </c>
      <c r="S9" s="416">
        <f t="shared" si="3"/>
        <v>25.868327226603597</v>
      </c>
      <c r="T9" s="416">
        <f t="shared" si="3"/>
        <v>0.63499472294399995</v>
      </c>
      <c r="U9" s="416">
        <f t="shared" si="3"/>
        <v>8.2264621778709284</v>
      </c>
      <c r="V9" s="416">
        <f t="shared" si="3"/>
        <v>0</v>
      </c>
      <c r="W9" s="429">
        <f t="shared" si="3"/>
        <v>0</v>
      </c>
      <c r="X9" s="429">
        <f t="shared" si="3"/>
        <v>0</v>
      </c>
      <c r="Y9" s="429">
        <f t="shared" si="3"/>
        <v>0</v>
      </c>
      <c r="Z9" s="416">
        <f t="shared" si="3"/>
        <v>0</v>
      </c>
      <c r="AA9" s="417">
        <f t="shared" si="3"/>
        <v>2501.2994242635782</v>
      </c>
      <c r="AB9" s="359">
        <f t="shared" si="3"/>
        <v>215.90352917717644</v>
      </c>
      <c r="AC9" s="430">
        <f t="shared" si="3"/>
        <v>0</v>
      </c>
      <c r="AD9" s="416">
        <f t="shared" si="3"/>
        <v>0</v>
      </c>
      <c r="AE9" s="416">
        <f t="shared" si="3"/>
        <v>76.028615684916531</v>
      </c>
      <c r="AF9" s="416">
        <f t="shared" ref="AF9" si="5">SUM(AF10:AF14)</f>
        <v>99.30702317107577</v>
      </c>
      <c r="AG9" s="416">
        <f t="shared" si="3"/>
        <v>33.531818868055431</v>
      </c>
      <c r="AH9" s="416">
        <f t="shared" si="3"/>
        <v>7.0360714531287174</v>
      </c>
      <c r="AI9" s="416">
        <f t="shared" si="3"/>
        <v>0</v>
      </c>
      <c r="AJ9" s="416">
        <f t="shared" ref="AJ9" si="6">SUM(AJ10:AJ14)</f>
        <v>0</v>
      </c>
      <c r="AK9" s="361">
        <f t="shared" si="3"/>
        <v>0</v>
      </c>
      <c r="AL9" s="361">
        <f t="shared" ref="AL9" si="7">SUM(AL10:AL14)</f>
        <v>0</v>
      </c>
      <c r="AM9" s="429">
        <f t="shared" si="3"/>
        <v>0</v>
      </c>
      <c r="AN9" s="417">
        <f t="shared" si="3"/>
        <v>90.714163374524205</v>
      </c>
      <c r="AO9" s="417">
        <f t="shared" si="3"/>
        <v>54.38453208</v>
      </c>
      <c r="AP9" s="359">
        <f t="shared" si="3"/>
        <v>0</v>
      </c>
      <c r="AQ9" s="431">
        <f t="shared" si="0"/>
        <v>7057.699274551589</v>
      </c>
    </row>
    <row r="10" spans="1:43">
      <c r="A10" s="432" t="s">
        <v>237</v>
      </c>
      <c r="B10" s="433"/>
      <c r="C10" s="434">
        <f>SUM(D10:G10)</f>
        <v>488.64939432989598</v>
      </c>
      <c r="D10" s="362">
        <v>488.64939432989598</v>
      </c>
      <c r="E10" s="435"/>
      <c r="F10" s="436"/>
      <c r="G10" s="436"/>
      <c r="H10" s="437">
        <f>SUM(I10:K10)</f>
        <v>467.10845991760607</v>
      </c>
      <c r="I10" s="362">
        <v>467.10845991760607</v>
      </c>
      <c r="J10" s="435">
        <v>0</v>
      </c>
      <c r="K10" s="435"/>
      <c r="L10" s="437">
        <f>SUM(M10:Z10)</f>
        <v>34.094789404474525</v>
      </c>
      <c r="M10" s="435"/>
      <c r="N10" s="435"/>
      <c r="O10" s="435"/>
      <c r="P10" s="435"/>
      <c r="Q10" s="435"/>
      <c r="R10" s="435"/>
      <c r="S10" s="435">
        <v>25.868327226603597</v>
      </c>
      <c r="T10" s="435"/>
      <c r="U10" s="435">
        <v>8.2264621778709284</v>
      </c>
      <c r="V10" s="435"/>
      <c r="W10" s="436"/>
      <c r="X10" s="436"/>
      <c r="Y10" s="436"/>
      <c r="Z10" s="435"/>
      <c r="AA10" s="437">
        <v>2187.6033883210698</v>
      </c>
      <c r="AB10" s="438">
        <f>SUM(AC10:AM10)</f>
        <v>205.30590173319058</v>
      </c>
      <c r="AC10" s="371"/>
      <c r="AD10" s="435"/>
      <c r="AE10" s="435">
        <v>72.467059694059387</v>
      </c>
      <c r="AF10" s="435">
        <v>99.30702317107577</v>
      </c>
      <c r="AG10" s="435">
        <v>33.531818868055431</v>
      </c>
      <c r="AH10" s="435"/>
      <c r="AI10" s="435"/>
      <c r="AJ10" s="435"/>
      <c r="AK10" s="362"/>
      <c r="AL10" s="362"/>
      <c r="AM10" s="436"/>
      <c r="AN10" s="439">
        <v>90.714163374524205</v>
      </c>
      <c r="AO10" s="437"/>
      <c r="AP10" s="438"/>
      <c r="AQ10" s="440">
        <f t="shared" si="0"/>
        <v>3473.4760970807611</v>
      </c>
    </row>
    <row r="11" spans="1:43">
      <c r="A11" s="392" t="s">
        <v>238</v>
      </c>
      <c r="B11" s="393"/>
      <c r="C11" s="394">
        <f>SUM(D11:G11)</f>
        <v>0</v>
      </c>
      <c r="D11" s="363">
        <v>0</v>
      </c>
      <c r="E11" s="398"/>
      <c r="F11" s="396"/>
      <c r="G11" s="396"/>
      <c r="H11" s="397">
        <f>SUM(I11:K11)</f>
        <v>5.8425469182429177</v>
      </c>
      <c r="I11" s="363">
        <v>5.8425469182429177</v>
      </c>
      <c r="J11" s="398"/>
      <c r="K11" s="398"/>
      <c r="L11" s="397">
        <f>SUM(M11:Z11)</f>
        <v>0.63499472294399995</v>
      </c>
      <c r="M11" s="398"/>
      <c r="N11" s="441"/>
      <c r="O11" s="441">
        <v>0</v>
      </c>
      <c r="P11" s="398"/>
      <c r="Q11" s="398"/>
      <c r="R11" s="398"/>
      <c r="S11" s="398">
        <v>0</v>
      </c>
      <c r="T11" s="398">
        <v>0.63499472294399995</v>
      </c>
      <c r="U11" s="398">
        <v>0</v>
      </c>
      <c r="V11" s="398"/>
      <c r="W11" s="396"/>
      <c r="X11" s="396"/>
      <c r="Y11" s="396"/>
      <c r="Z11" s="398"/>
      <c r="AA11" s="397">
        <v>272.96145103491432</v>
      </c>
      <c r="AB11" s="399">
        <f>SUM(AC11:AM11)</f>
        <v>10.597627443985861</v>
      </c>
      <c r="AC11" s="372"/>
      <c r="AD11" s="398"/>
      <c r="AE11" s="398">
        <v>3.5615559908571428</v>
      </c>
      <c r="AF11" s="398"/>
      <c r="AG11" s="398"/>
      <c r="AH11" s="398">
        <v>7.0360714531287174</v>
      </c>
      <c r="AI11" s="398"/>
      <c r="AJ11" s="398"/>
      <c r="AK11" s="363"/>
      <c r="AL11" s="363"/>
      <c r="AM11" s="396"/>
      <c r="AN11" s="400"/>
      <c r="AO11" s="400"/>
      <c r="AP11" s="399"/>
      <c r="AQ11" s="401">
        <f t="shared" si="0"/>
        <v>290.03662012008709</v>
      </c>
    </row>
    <row r="12" spans="1:43">
      <c r="A12" s="392" t="s">
        <v>239</v>
      </c>
      <c r="B12" s="393"/>
      <c r="C12" s="394"/>
      <c r="D12" s="363"/>
      <c r="E12" s="398"/>
      <c r="F12" s="396"/>
      <c r="G12" s="396"/>
      <c r="H12" s="397"/>
      <c r="I12" s="363"/>
      <c r="J12" s="398"/>
      <c r="K12" s="398"/>
      <c r="L12" s="397"/>
      <c r="M12" s="398"/>
      <c r="N12" s="441"/>
      <c r="O12" s="441"/>
      <c r="P12" s="398"/>
      <c r="Q12" s="398"/>
      <c r="R12" s="398"/>
      <c r="S12" s="398"/>
      <c r="T12" s="398"/>
      <c r="U12" s="398"/>
      <c r="V12" s="398"/>
      <c r="W12" s="396"/>
      <c r="X12" s="396"/>
      <c r="Y12" s="396"/>
      <c r="Z12" s="398"/>
      <c r="AA12" s="397"/>
      <c r="AB12" s="399"/>
      <c r="AC12" s="372"/>
      <c r="AD12" s="398"/>
      <c r="AE12" s="398"/>
      <c r="AF12" s="398"/>
      <c r="AG12" s="398"/>
      <c r="AH12" s="398"/>
      <c r="AI12" s="398"/>
      <c r="AJ12" s="398"/>
      <c r="AK12" s="363"/>
      <c r="AL12" s="363"/>
      <c r="AM12" s="396"/>
      <c r="AN12" s="400"/>
      <c r="AO12" s="400">
        <v>42.942060079999997</v>
      </c>
      <c r="AP12" s="399"/>
      <c r="AQ12" s="401">
        <f t="shared" si="0"/>
        <v>42.942060079999997</v>
      </c>
    </row>
    <row r="13" spans="1:43">
      <c r="A13" s="392" t="s">
        <v>240</v>
      </c>
      <c r="B13" s="393"/>
      <c r="C13" s="394">
        <f>SUM(D13:G13)</f>
        <v>0</v>
      </c>
      <c r="D13" s="363"/>
      <c r="E13" s="396"/>
      <c r="F13" s="396"/>
      <c r="G13" s="396"/>
      <c r="H13" s="397">
        <f>SUM(I13:K13)</f>
        <v>68.075576842105264</v>
      </c>
      <c r="I13" s="363">
        <v>68.075576842105264</v>
      </c>
      <c r="J13" s="398"/>
      <c r="K13" s="398"/>
      <c r="L13" s="397">
        <f>SUM(M13:Z13)</f>
        <v>0</v>
      </c>
      <c r="M13" s="398"/>
      <c r="N13" s="398"/>
      <c r="O13" s="398"/>
      <c r="P13" s="398"/>
      <c r="Q13" s="398"/>
      <c r="R13" s="398"/>
      <c r="S13" s="398"/>
      <c r="T13" s="398"/>
      <c r="U13" s="398"/>
      <c r="V13" s="398"/>
      <c r="W13" s="396"/>
      <c r="X13" s="396"/>
      <c r="Y13" s="396"/>
      <c r="Z13" s="398"/>
      <c r="AA13" s="397"/>
      <c r="AB13" s="399">
        <f>SUM(AC13:AM13)</f>
        <v>0</v>
      </c>
      <c r="AC13" s="372"/>
      <c r="AD13" s="398"/>
      <c r="AE13" s="398"/>
      <c r="AF13" s="398"/>
      <c r="AG13" s="398"/>
      <c r="AH13" s="398"/>
      <c r="AI13" s="398"/>
      <c r="AJ13" s="398"/>
      <c r="AK13" s="363"/>
      <c r="AL13" s="363"/>
      <c r="AM13" s="396"/>
      <c r="AN13" s="400"/>
      <c r="AO13" s="400"/>
      <c r="AP13" s="399"/>
      <c r="AQ13" s="401">
        <f t="shared" si="0"/>
        <v>68.075576842105264</v>
      </c>
    </row>
    <row r="14" spans="1:43">
      <c r="A14" s="442" t="s">
        <v>241</v>
      </c>
      <c r="B14" s="443"/>
      <c r="C14" s="444">
        <f>SUM(D14:G14)</f>
        <v>0</v>
      </c>
      <c r="D14" s="364"/>
      <c r="E14" s="445"/>
      <c r="F14" s="446"/>
      <c r="G14" s="446"/>
      <c r="H14" s="447">
        <f>SUM(I14:K14)</f>
        <v>0</v>
      </c>
      <c r="I14" s="364"/>
      <c r="J14" s="445"/>
      <c r="K14" s="445"/>
      <c r="L14" s="447">
        <f>SUM(M14:Z14)</f>
        <v>3130.991863521042</v>
      </c>
      <c r="M14" s="445">
        <v>3092.2052611591994</v>
      </c>
      <c r="N14" s="445">
        <v>38.786602361842682</v>
      </c>
      <c r="O14" s="445"/>
      <c r="P14" s="445"/>
      <c r="Q14" s="445"/>
      <c r="R14" s="445"/>
      <c r="S14" s="445"/>
      <c r="T14" s="445"/>
      <c r="U14" s="445"/>
      <c r="V14" s="445"/>
      <c r="W14" s="446"/>
      <c r="X14" s="446"/>
      <c r="Y14" s="446"/>
      <c r="Z14" s="445"/>
      <c r="AA14" s="447">
        <v>40.734584907594211</v>
      </c>
      <c r="AB14" s="448">
        <f>SUM(AC14:AM14)</f>
        <v>0</v>
      </c>
      <c r="AC14" s="373"/>
      <c r="AD14" s="445"/>
      <c r="AE14" s="445"/>
      <c r="AF14" s="445"/>
      <c r="AG14" s="445"/>
      <c r="AH14" s="445"/>
      <c r="AI14" s="445"/>
      <c r="AJ14" s="445"/>
      <c r="AK14" s="364"/>
      <c r="AL14" s="364"/>
      <c r="AM14" s="446"/>
      <c r="AN14" s="449"/>
      <c r="AO14" s="449">
        <v>11.442471999999999</v>
      </c>
      <c r="AP14" s="448"/>
      <c r="AQ14" s="450">
        <f t="shared" si="0"/>
        <v>3183.1689204286363</v>
      </c>
    </row>
    <row r="15" spans="1:43">
      <c r="A15" s="451" t="s">
        <v>242</v>
      </c>
      <c r="B15" s="452"/>
      <c r="C15" s="453">
        <f t="shared" ref="C15:AP15" si="8">SUM(C16:C20)</f>
        <v>0</v>
      </c>
      <c r="D15" s="365">
        <f t="shared" si="8"/>
        <v>0</v>
      </c>
      <c r="E15" s="454">
        <f t="shared" si="8"/>
        <v>0</v>
      </c>
      <c r="F15" s="455">
        <f t="shared" si="8"/>
        <v>0</v>
      </c>
      <c r="G15" s="455">
        <f t="shared" si="8"/>
        <v>0</v>
      </c>
      <c r="H15" s="456">
        <f t="shared" si="8"/>
        <v>64.671797999999995</v>
      </c>
      <c r="I15" s="365">
        <f t="shared" si="8"/>
        <v>0</v>
      </c>
      <c r="J15" s="454">
        <f t="shared" si="8"/>
        <v>0</v>
      </c>
      <c r="K15" s="454">
        <f t="shared" si="8"/>
        <v>64.671797999999995</v>
      </c>
      <c r="L15" s="456">
        <f t="shared" si="8"/>
        <v>3166.7858692089685</v>
      </c>
      <c r="M15" s="454">
        <f t="shared" si="8"/>
        <v>0</v>
      </c>
      <c r="N15" s="454">
        <f t="shared" si="8"/>
        <v>0</v>
      </c>
      <c r="O15" s="454">
        <f t="shared" si="8"/>
        <v>90.017983923640699</v>
      </c>
      <c r="P15" s="454">
        <f t="shared" si="8"/>
        <v>640.53679657777786</v>
      </c>
      <c r="Q15" s="454">
        <f t="shared" si="8"/>
        <v>226.77459106847999</v>
      </c>
      <c r="R15" s="454">
        <f t="shared" si="8"/>
        <v>0</v>
      </c>
      <c r="S15" s="454">
        <f t="shared" si="8"/>
        <v>960.95017928079096</v>
      </c>
      <c r="T15" s="454">
        <f t="shared" si="8"/>
        <v>64.797462901984332</v>
      </c>
      <c r="U15" s="454">
        <f t="shared" si="8"/>
        <v>1146.9502117491124</v>
      </c>
      <c r="V15" s="454">
        <f t="shared" si="8"/>
        <v>0</v>
      </c>
      <c r="W15" s="455">
        <f t="shared" si="8"/>
        <v>36.758643707182323</v>
      </c>
      <c r="X15" s="455">
        <f t="shared" si="8"/>
        <v>0</v>
      </c>
      <c r="Y15" s="455">
        <f t="shared" si="8"/>
        <v>0</v>
      </c>
      <c r="Z15" s="454">
        <f t="shared" si="8"/>
        <v>0</v>
      </c>
      <c r="AA15" s="456">
        <f t="shared" si="8"/>
        <v>0</v>
      </c>
      <c r="AB15" s="353">
        <f t="shared" si="8"/>
        <v>0</v>
      </c>
      <c r="AC15" s="457">
        <f t="shared" si="8"/>
        <v>0</v>
      </c>
      <c r="AD15" s="454">
        <f t="shared" si="8"/>
        <v>0</v>
      </c>
      <c r="AE15" s="454">
        <f t="shared" si="8"/>
        <v>0</v>
      </c>
      <c r="AF15" s="454">
        <f t="shared" si="8"/>
        <v>0</v>
      </c>
      <c r="AG15" s="374">
        <f t="shared" si="8"/>
        <v>0</v>
      </c>
      <c r="AH15" s="374">
        <f t="shared" si="8"/>
        <v>0</v>
      </c>
      <c r="AI15" s="374">
        <f t="shared" si="8"/>
        <v>0</v>
      </c>
      <c r="AJ15" s="374">
        <f t="shared" si="8"/>
        <v>0</v>
      </c>
      <c r="AK15" s="365">
        <f t="shared" si="8"/>
        <v>0</v>
      </c>
      <c r="AL15" s="365">
        <f t="shared" si="8"/>
        <v>0</v>
      </c>
      <c r="AM15" s="455">
        <f t="shared" si="8"/>
        <v>0</v>
      </c>
      <c r="AN15" s="456">
        <f t="shared" si="8"/>
        <v>0</v>
      </c>
      <c r="AO15" s="456">
        <f t="shared" si="8"/>
        <v>1873.361490524092</v>
      </c>
      <c r="AP15" s="353">
        <f t="shared" si="8"/>
        <v>0</v>
      </c>
      <c r="AQ15" s="458">
        <f t="shared" si="0"/>
        <v>5104.8191577330599</v>
      </c>
    </row>
    <row r="16" spans="1:43">
      <c r="A16" s="432" t="s">
        <v>237</v>
      </c>
      <c r="B16" s="433"/>
      <c r="C16" s="434">
        <f>SUM(D16:G16)</f>
        <v>0</v>
      </c>
      <c r="D16" s="362"/>
      <c r="E16" s="435"/>
      <c r="F16" s="436"/>
      <c r="G16" s="436"/>
      <c r="H16" s="437">
        <f>SUM(I16:K16)</f>
        <v>0</v>
      </c>
      <c r="I16" s="362"/>
      <c r="J16" s="435"/>
      <c r="K16" s="435"/>
      <c r="L16" s="437">
        <f>SUM(M16:Z16)</f>
        <v>0</v>
      </c>
      <c r="M16" s="435"/>
      <c r="N16" s="435"/>
      <c r="O16" s="435"/>
      <c r="P16" s="435"/>
      <c r="Q16" s="435"/>
      <c r="R16" s="435"/>
      <c r="S16" s="435"/>
      <c r="T16" s="435"/>
      <c r="U16" s="435"/>
      <c r="V16" s="435"/>
      <c r="W16" s="436"/>
      <c r="X16" s="436"/>
      <c r="Y16" s="436"/>
      <c r="Z16" s="435"/>
      <c r="AA16" s="437"/>
      <c r="AB16" s="438">
        <f>SUM(AC16:AL16)</f>
        <v>0</v>
      </c>
      <c r="AC16" s="371"/>
      <c r="AD16" s="435"/>
      <c r="AE16" s="435"/>
      <c r="AF16" s="435"/>
      <c r="AG16" s="441"/>
      <c r="AH16" s="441"/>
      <c r="AI16" s="441"/>
      <c r="AJ16" s="441"/>
      <c r="AK16" s="362"/>
      <c r="AL16" s="362"/>
      <c r="AM16" s="436"/>
      <c r="AN16" s="439"/>
      <c r="AO16" s="439">
        <v>1667.7865923774164</v>
      </c>
      <c r="AP16" s="438"/>
      <c r="AQ16" s="459">
        <f>C16+H16+L16+AA16+AO16+AP16</f>
        <v>1667.7865923774164</v>
      </c>
    </row>
    <row r="17" spans="1:43">
      <c r="A17" s="392" t="s">
        <v>238</v>
      </c>
      <c r="B17" s="393"/>
      <c r="C17" s="394">
        <f>SUM(D17:G17)</f>
        <v>0</v>
      </c>
      <c r="D17" s="363"/>
      <c r="E17" s="398"/>
      <c r="F17" s="396"/>
      <c r="G17" s="396"/>
      <c r="H17" s="397">
        <f>SUM(I17:K17)</f>
        <v>0</v>
      </c>
      <c r="I17" s="363"/>
      <c r="J17" s="398"/>
      <c r="K17" s="398"/>
      <c r="L17" s="397">
        <f>SUM(M17:Z17)</f>
        <v>0</v>
      </c>
      <c r="M17" s="398"/>
      <c r="N17" s="398"/>
      <c r="O17" s="398"/>
      <c r="P17" s="398"/>
      <c r="Q17" s="398"/>
      <c r="R17" s="398"/>
      <c r="S17" s="398"/>
      <c r="T17" s="398"/>
      <c r="U17" s="398"/>
      <c r="V17" s="398"/>
      <c r="W17" s="396"/>
      <c r="X17" s="396"/>
      <c r="Y17" s="396"/>
      <c r="Z17" s="398"/>
      <c r="AA17" s="397"/>
      <c r="AB17" s="399">
        <f>SUM(AC17:AL17)</f>
        <v>0</v>
      </c>
      <c r="AC17" s="372"/>
      <c r="AD17" s="398"/>
      <c r="AE17" s="398"/>
      <c r="AF17" s="398"/>
      <c r="AG17" s="398"/>
      <c r="AH17" s="398"/>
      <c r="AI17" s="398"/>
      <c r="AJ17" s="398"/>
      <c r="AK17" s="363"/>
      <c r="AL17" s="363"/>
      <c r="AM17" s="396"/>
      <c r="AN17" s="400"/>
      <c r="AO17" s="460">
        <v>185.14395873624346</v>
      </c>
      <c r="AP17" s="399"/>
      <c r="AQ17" s="401">
        <f>C17+H17+L17+AA17+AO17+AP17</f>
        <v>185.14395873624346</v>
      </c>
    </row>
    <row r="18" spans="1:43">
      <c r="A18" s="392" t="s">
        <v>243</v>
      </c>
      <c r="B18" s="393"/>
      <c r="C18" s="394"/>
      <c r="D18" s="363"/>
      <c r="E18" s="398"/>
      <c r="F18" s="396"/>
      <c r="G18" s="396"/>
      <c r="H18" s="397"/>
      <c r="I18" s="363"/>
      <c r="J18" s="398"/>
      <c r="K18" s="398"/>
      <c r="L18" s="397"/>
      <c r="M18" s="398"/>
      <c r="N18" s="398"/>
      <c r="O18" s="398"/>
      <c r="P18" s="398"/>
      <c r="Q18" s="398"/>
      <c r="R18" s="398"/>
      <c r="S18" s="398"/>
      <c r="T18" s="398"/>
      <c r="U18" s="398"/>
      <c r="V18" s="398"/>
      <c r="W18" s="396"/>
      <c r="X18" s="396"/>
      <c r="Y18" s="396"/>
      <c r="Z18" s="398"/>
      <c r="AA18" s="397"/>
      <c r="AB18" s="399"/>
      <c r="AC18" s="372"/>
      <c r="AD18" s="398"/>
      <c r="AE18" s="398"/>
      <c r="AF18" s="398"/>
      <c r="AG18" s="398"/>
      <c r="AH18" s="398"/>
      <c r="AI18" s="398"/>
      <c r="AJ18" s="398"/>
      <c r="AK18" s="363"/>
      <c r="AL18" s="363"/>
      <c r="AM18" s="396"/>
      <c r="AN18" s="400"/>
      <c r="AO18" s="400">
        <v>20.430939410432</v>
      </c>
      <c r="AP18" s="399"/>
      <c r="AQ18" s="401">
        <f t="shared" si="0"/>
        <v>20.430939410432</v>
      </c>
    </row>
    <row r="19" spans="1:43">
      <c r="A19" s="392" t="s">
        <v>240</v>
      </c>
      <c r="B19" s="393"/>
      <c r="C19" s="394"/>
      <c r="D19" s="242"/>
      <c r="E19" s="398"/>
      <c r="F19" s="396"/>
      <c r="G19" s="396"/>
      <c r="H19" s="397">
        <f>SUM(I19:K19)</f>
        <v>64.671797999999995</v>
      </c>
      <c r="I19" s="363"/>
      <c r="J19" s="398"/>
      <c r="K19" s="398">
        <v>64.671797999999995</v>
      </c>
      <c r="L19" s="397">
        <f>SUM(M19:Z19)</f>
        <v>0</v>
      </c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6"/>
      <c r="X19" s="396"/>
      <c r="Y19" s="396"/>
      <c r="Z19" s="398"/>
      <c r="AA19" s="397"/>
      <c r="AB19" s="399">
        <f>SUM(AC19:AL19)</f>
        <v>0</v>
      </c>
      <c r="AC19" s="372"/>
      <c r="AD19" s="398"/>
      <c r="AE19" s="398"/>
      <c r="AF19" s="398"/>
      <c r="AG19" s="398"/>
      <c r="AH19" s="398"/>
      <c r="AI19" s="398"/>
      <c r="AJ19" s="398"/>
      <c r="AK19" s="363"/>
      <c r="AL19" s="363"/>
      <c r="AM19" s="396"/>
      <c r="AN19" s="400"/>
      <c r="AO19" s="400"/>
      <c r="AP19" s="399"/>
      <c r="AQ19" s="401">
        <f t="shared" si="0"/>
        <v>64.671797999999995</v>
      </c>
    </row>
    <row r="20" spans="1:43">
      <c r="A20" s="442" t="s">
        <v>244</v>
      </c>
      <c r="B20" s="443"/>
      <c r="C20" s="444"/>
      <c r="D20" s="364"/>
      <c r="E20" s="445"/>
      <c r="F20" s="446"/>
      <c r="G20" s="446"/>
      <c r="H20" s="447">
        <f>SUM(I20:K20)</f>
        <v>0</v>
      </c>
      <c r="I20" s="364"/>
      <c r="J20" s="445"/>
      <c r="K20" s="445"/>
      <c r="L20" s="447">
        <f>SUM(M20:Z20)</f>
        <v>3166.7858692089685</v>
      </c>
      <c r="M20" s="445"/>
      <c r="N20" s="445"/>
      <c r="O20" s="445">
        <v>90.017983923640699</v>
      </c>
      <c r="P20" s="445">
        <v>640.53679657777786</v>
      </c>
      <c r="Q20" s="445">
        <v>226.77459106847999</v>
      </c>
      <c r="R20" s="445">
        <v>0</v>
      </c>
      <c r="S20" s="445">
        <v>960.95017928079096</v>
      </c>
      <c r="T20" s="445">
        <v>64.797462901984332</v>
      </c>
      <c r="U20" s="445">
        <v>1146.9502117491124</v>
      </c>
      <c r="V20" s="445"/>
      <c r="W20" s="446">
        <v>36.758643707182323</v>
      </c>
      <c r="X20" s="446"/>
      <c r="Y20" s="446"/>
      <c r="Z20" s="445"/>
      <c r="AA20" s="447"/>
      <c r="AB20" s="448">
        <f>SUM(AC20:AL20)</f>
        <v>0</v>
      </c>
      <c r="AC20" s="373"/>
      <c r="AD20" s="445"/>
      <c r="AE20" s="445"/>
      <c r="AF20" s="445"/>
      <c r="AG20" s="445"/>
      <c r="AH20" s="445"/>
      <c r="AI20" s="445"/>
      <c r="AJ20" s="445"/>
      <c r="AK20" s="364"/>
      <c r="AL20" s="364"/>
      <c r="AM20" s="446"/>
      <c r="AN20" s="449"/>
      <c r="AO20" s="449"/>
      <c r="AP20" s="448"/>
      <c r="AQ20" s="450">
        <f t="shared" si="0"/>
        <v>3166.7858692089685</v>
      </c>
    </row>
    <row r="21" spans="1:43">
      <c r="A21" s="461" t="s">
        <v>245</v>
      </c>
      <c r="B21" s="462"/>
      <c r="C21" s="463">
        <f>SUM(C22:C24)</f>
        <v>22.240061570656763</v>
      </c>
      <c r="D21" s="366">
        <f>SUM(D22:D24)</f>
        <v>-17.141361188350004</v>
      </c>
      <c r="E21" s="464">
        <f>SUM(E22:E24)</f>
        <v>39.381422759006767</v>
      </c>
      <c r="F21" s="465">
        <f>SUM(F22:F24)</f>
        <v>0</v>
      </c>
      <c r="G21" s="465">
        <f>SUM(G22:G24)</f>
        <v>0</v>
      </c>
      <c r="H21" s="466">
        <f>SUM(I21:K21)</f>
        <v>0</v>
      </c>
      <c r="I21" s="366">
        <f>SUM(I22:I24)</f>
        <v>0</v>
      </c>
      <c r="J21" s="464">
        <f>SUM(J22:J24)</f>
        <v>0</v>
      </c>
      <c r="K21" s="464">
        <f>SUM(K22:K24)</f>
        <v>0</v>
      </c>
      <c r="L21" s="466">
        <f>SUM(M21:Z21)</f>
        <v>-24.953759699422424</v>
      </c>
      <c r="M21" s="464">
        <f t="shared" ref="M21:AQ21" si="9">SUM(M22:M24)</f>
        <v>0</v>
      </c>
      <c r="N21" s="464">
        <f t="shared" si="9"/>
        <v>30.880435114089789</v>
      </c>
      <c r="O21" s="464">
        <f t="shared" si="9"/>
        <v>0</v>
      </c>
      <c r="P21" s="464">
        <f t="shared" si="9"/>
        <v>-31.080771455555681</v>
      </c>
      <c r="Q21" s="464">
        <f t="shared" si="9"/>
        <v>374.46366644960005</v>
      </c>
      <c r="R21" s="464">
        <f t="shared" si="9"/>
        <v>-373.64776418279996</v>
      </c>
      <c r="S21" s="464">
        <f t="shared" si="9"/>
        <v>0</v>
      </c>
      <c r="T21" s="464">
        <f t="shared" si="9"/>
        <v>0</v>
      </c>
      <c r="U21" s="464">
        <f t="shared" si="9"/>
        <v>-3.3292640540998377</v>
      </c>
      <c r="V21" s="464">
        <f t="shared" si="9"/>
        <v>-22.240061570656767</v>
      </c>
      <c r="W21" s="465">
        <f t="shared" si="9"/>
        <v>0</v>
      </c>
      <c r="X21" s="465">
        <f t="shared" si="9"/>
        <v>0</v>
      </c>
      <c r="Y21" s="465">
        <f t="shared" si="9"/>
        <v>0</v>
      </c>
      <c r="Z21" s="464">
        <f t="shared" si="9"/>
        <v>0</v>
      </c>
      <c r="AA21" s="466">
        <f t="shared" si="9"/>
        <v>0</v>
      </c>
      <c r="AB21" s="467">
        <f t="shared" si="9"/>
        <v>-804.14402736760053</v>
      </c>
      <c r="AC21" s="468">
        <f t="shared" si="9"/>
        <v>-59.691708987970003</v>
      </c>
      <c r="AD21" s="464">
        <f t="shared" si="9"/>
        <v>-743.01992281532614</v>
      </c>
      <c r="AE21" s="464">
        <f t="shared" si="9"/>
        <v>0</v>
      </c>
      <c r="AF21" s="464">
        <f t="shared" si="9"/>
        <v>0</v>
      </c>
      <c r="AG21" s="469">
        <f t="shared" si="9"/>
        <v>0</v>
      </c>
      <c r="AH21" s="469">
        <f t="shared" si="9"/>
        <v>0</v>
      </c>
      <c r="AI21" s="469">
        <f t="shared" si="9"/>
        <v>0</v>
      </c>
      <c r="AJ21" s="469">
        <f t="shared" si="9"/>
        <v>0</v>
      </c>
      <c r="AK21" s="366">
        <f t="shared" si="9"/>
        <v>-1.4323955643044282</v>
      </c>
      <c r="AL21" s="469">
        <f t="shared" si="9"/>
        <v>0</v>
      </c>
      <c r="AM21" s="465">
        <f t="shared" si="9"/>
        <v>0</v>
      </c>
      <c r="AN21" s="470">
        <f t="shared" si="9"/>
        <v>0</v>
      </c>
      <c r="AO21" s="466">
        <f t="shared" si="9"/>
        <v>804.14402736760053</v>
      </c>
      <c r="AP21" s="467">
        <f t="shared" si="9"/>
        <v>0</v>
      </c>
      <c r="AQ21" s="471">
        <f t="shared" si="9"/>
        <v>-2.7136981287656603</v>
      </c>
    </row>
    <row r="22" spans="1:43">
      <c r="A22" s="432" t="s">
        <v>246</v>
      </c>
      <c r="B22" s="433"/>
      <c r="C22" s="472"/>
      <c r="D22" s="367"/>
      <c r="E22" s="473"/>
      <c r="F22" s="436"/>
      <c r="G22" s="436"/>
      <c r="H22" s="437"/>
      <c r="I22" s="474"/>
      <c r="J22" s="435"/>
      <c r="K22" s="435"/>
      <c r="L22" s="437"/>
      <c r="M22" s="435"/>
      <c r="N22" s="435"/>
      <c r="O22" s="435"/>
      <c r="P22" s="435"/>
      <c r="Q22" s="435"/>
      <c r="R22" s="435"/>
      <c r="S22" s="435"/>
      <c r="T22" s="435"/>
      <c r="U22" s="435"/>
      <c r="V22" s="435"/>
      <c r="W22" s="436"/>
      <c r="X22" s="436"/>
      <c r="Y22" s="436"/>
      <c r="Z22" s="435"/>
      <c r="AA22" s="437"/>
      <c r="AB22" s="438">
        <f>SUM(AC22:AM22)</f>
        <v>-804.14402736760053</v>
      </c>
      <c r="AC22" s="371">
        <f>-AC2</f>
        <v>-59.691708987970003</v>
      </c>
      <c r="AD22" s="435">
        <f>-AD2</f>
        <v>-743.01992281532614</v>
      </c>
      <c r="AE22" s="435"/>
      <c r="AF22" s="435"/>
      <c r="AG22" s="441"/>
      <c r="AH22" s="441"/>
      <c r="AI22" s="441"/>
      <c r="AJ22" s="441"/>
      <c r="AK22" s="362">
        <v>-1.4323955643044282</v>
      </c>
      <c r="AL22" s="441"/>
      <c r="AM22" s="436"/>
      <c r="AN22" s="439"/>
      <c r="AO22" s="437">
        <f>-(C22+H22+L22+AA22+AB22)</f>
        <v>804.14402736760053</v>
      </c>
      <c r="AP22" s="438"/>
      <c r="AQ22" s="459">
        <f>C22+H22+L22+AA22+AB22+AN22+AO22+AP22</f>
        <v>0</v>
      </c>
    </row>
    <row r="23" spans="1:43">
      <c r="A23" s="475" t="s">
        <v>247</v>
      </c>
      <c r="B23" s="452"/>
      <c r="C23" s="476"/>
      <c r="D23" s="368"/>
      <c r="E23" s="454"/>
      <c r="F23" s="477"/>
      <c r="G23" s="477"/>
      <c r="H23" s="456"/>
      <c r="I23" s="354"/>
      <c r="J23" s="478"/>
      <c r="K23" s="478"/>
      <c r="L23" s="456"/>
      <c r="M23" s="478"/>
      <c r="N23" s="478"/>
      <c r="O23" s="478"/>
      <c r="P23" s="478"/>
      <c r="Q23" s="478"/>
      <c r="R23" s="478"/>
      <c r="S23" s="478"/>
      <c r="T23" s="478"/>
      <c r="U23" s="478"/>
      <c r="V23" s="478"/>
      <c r="W23" s="477"/>
      <c r="X23" s="477"/>
      <c r="Y23" s="477"/>
      <c r="Z23" s="478"/>
      <c r="AA23" s="456"/>
      <c r="AB23" s="353"/>
      <c r="AC23" s="479"/>
      <c r="AD23" s="478"/>
      <c r="AE23" s="478"/>
      <c r="AF23" s="478"/>
      <c r="AG23" s="478"/>
      <c r="AH23" s="478"/>
      <c r="AI23" s="478"/>
      <c r="AJ23" s="478"/>
      <c r="AK23" s="480"/>
      <c r="AL23" s="480"/>
      <c r="AM23" s="477"/>
      <c r="AN23" s="481"/>
      <c r="AO23" s="456"/>
      <c r="AP23" s="353"/>
      <c r="AQ23" s="482">
        <f>C23+H23+L23+AA23+AB23+AN23+AO23+AP23</f>
        <v>0</v>
      </c>
    </row>
    <row r="24" spans="1:43" ht="13.5" thickBot="1">
      <c r="A24" s="403" t="s">
        <v>248</v>
      </c>
      <c r="B24" s="404"/>
      <c r="C24" s="483">
        <f>SUM(D24:G24)</f>
        <v>22.240061570656763</v>
      </c>
      <c r="D24" s="369">
        <v>-17.141361188350004</v>
      </c>
      <c r="E24" s="410">
        <f>-D24-V24</f>
        <v>39.381422759006767</v>
      </c>
      <c r="F24" s="405"/>
      <c r="G24" s="405"/>
      <c r="H24" s="406"/>
      <c r="I24" s="484"/>
      <c r="J24" s="410"/>
      <c r="K24" s="410"/>
      <c r="L24" s="406">
        <f>SUM(N24:Z24)</f>
        <v>-24.953759699422424</v>
      </c>
      <c r="M24" s="410"/>
      <c r="N24" s="410">
        <v>30.880435114089789</v>
      </c>
      <c r="O24" s="410"/>
      <c r="P24" s="410">
        <v>-31.080771455555681</v>
      </c>
      <c r="Q24" s="410">
        <v>374.46366644960005</v>
      </c>
      <c r="R24" s="410">
        <v>-373.64776418279996</v>
      </c>
      <c r="S24" s="410">
        <v>0</v>
      </c>
      <c r="T24" s="410"/>
      <c r="U24" s="410">
        <v>-3.3292640540998377</v>
      </c>
      <c r="V24" s="405">
        <v>-22.240061570656767</v>
      </c>
      <c r="W24" s="405">
        <v>0</v>
      </c>
      <c r="X24" s="405"/>
      <c r="Y24" s="405"/>
      <c r="Z24" s="410"/>
      <c r="AA24" s="406"/>
      <c r="AB24" s="406">
        <f>SUM(AC24:AM24)</f>
        <v>0</v>
      </c>
      <c r="AC24" s="409"/>
      <c r="AD24" s="410"/>
      <c r="AE24" s="410"/>
      <c r="AF24" s="410"/>
      <c r="AG24" s="410"/>
      <c r="AH24" s="410"/>
      <c r="AI24" s="410"/>
      <c r="AJ24" s="410"/>
      <c r="AK24" s="407"/>
      <c r="AL24" s="407"/>
      <c r="AM24" s="405"/>
      <c r="AN24" s="411"/>
      <c r="AO24" s="406"/>
      <c r="AP24" s="408"/>
      <c r="AQ24" s="412">
        <f>C24+H24+L24+AA24+AB24+AN24+AO24+AP24</f>
        <v>-2.7136981287656603</v>
      </c>
    </row>
    <row r="25" spans="1:43" ht="13.5" thickBot="1">
      <c r="A25" s="451" t="s">
        <v>249</v>
      </c>
      <c r="B25" s="452"/>
      <c r="C25" s="453">
        <f>SUM(D25:G25)</f>
        <v>0</v>
      </c>
      <c r="D25" s="365"/>
      <c r="E25" s="454"/>
      <c r="F25" s="477"/>
      <c r="G25" s="477"/>
      <c r="H25" s="456">
        <f>SUM(I25:K25)</f>
        <v>10.28324833984202</v>
      </c>
      <c r="I25" s="477">
        <v>10.28324833984202</v>
      </c>
      <c r="J25" s="478"/>
      <c r="K25" s="478"/>
      <c r="L25" s="456">
        <f>SUM(O25:Z25)</f>
        <v>98.284657617035819</v>
      </c>
      <c r="M25" s="478"/>
      <c r="N25" s="478"/>
      <c r="O25" s="478">
        <v>95.274692021714102</v>
      </c>
      <c r="P25" s="478"/>
      <c r="Q25" s="478"/>
      <c r="R25" s="478"/>
      <c r="S25" s="478">
        <v>0</v>
      </c>
      <c r="T25" s="478">
        <v>4.1693256233877908E-3</v>
      </c>
      <c r="U25" s="478">
        <v>3.0057962696983291</v>
      </c>
      <c r="V25" s="478"/>
      <c r="W25" s="477"/>
      <c r="X25" s="477"/>
      <c r="Y25" s="477"/>
      <c r="Z25" s="478"/>
      <c r="AA25" s="456">
        <v>57.528599543766255</v>
      </c>
      <c r="AB25" s="353">
        <f>SUM(AC25:AI25)</f>
        <v>0</v>
      </c>
      <c r="AC25" s="457"/>
      <c r="AD25" s="478"/>
      <c r="AE25" s="478"/>
      <c r="AF25" s="478"/>
      <c r="AG25" s="478"/>
      <c r="AH25" s="478"/>
      <c r="AI25" s="478"/>
      <c r="AJ25" s="478"/>
      <c r="AK25" s="480"/>
      <c r="AL25" s="480"/>
      <c r="AM25" s="477"/>
      <c r="AN25" s="481"/>
      <c r="AO25" s="456">
        <v>259.46681438260055</v>
      </c>
      <c r="AP25" s="353"/>
      <c r="AQ25" s="482">
        <f>C25+H25+L25+AA25+AB25+AN25+AO25+AP25</f>
        <v>425.56331988324462</v>
      </c>
    </row>
    <row r="26" spans="1:43" ht="13.5" thickBot="1">
      <c r="A26" s="485" t="s">
        <v>250</v>
      </c>
      <c r="B26" s="486"/>
      <c r="C26" s="487">
        <f t="shared" ref="C26:AP26" si="10">C7-C9+C15+C21-C25</f>
        <v>348.69297193905459</v>
      </c>
      <c r="D26" s="370">
        <f t="shared" si="10"/>
        <v>190.34389623369066</v>
      </c>
      <c r="E26" s="488">
        <f t="shared" si="10"/>
        <v>149.86072528467759</v>
      </c>
      <c r="F26" s="488">
        <f t="shared" si="10"/>
        <v>0</v>
      </c>
      <c r="G26" s="488">
        <f t="shared" si="10"/>
        <v>8.4883504206865013</v>
      </c>
      <c r="H26" s="489">
        <f t="shared" si="10"/>
        <v>199.31419506885081</v>
      </c>
      <c r="I26" s="370">
        <f t="shared" si="10"/>
        <v>0.37225106885087023</v>
      </c>
      <c r="J26" s="488">
        <f t="shared" si="10"/>
        <v>127.70399999999999</v>
      </c>
      <c r="K26" s="488">
        <f t="shared" si="10"/>
        <v>71.237943999999999</v>
      </c>
      <c r="L26" s="489">
        <f t="shared" si="10"/>
        <v>7296.7282199976062</v>
      </c>
      <c r="M26" s="488">
        <f t="shared" si="10"/>
        <v>0</v>
      </c>
      <c r="N26" s="488">
        <f t="shared" si="10"/>
        <v>-0.14794174855289199</v>
      </c>
      <c r="O26" s="488">
        <f t="shared" si="10"/>
        <v>-5.2567080980734033</v>
      </c>
      <c r="P26" s="488">
        <f t="shared" si="10"/>
        <v>799.46408249999979</v>
      </c>
      <c r="Q26" s="488">
        <f t="shared" si="10"/>
        <v>962.00436969728003</v>
      </c>
      <c r="R26" s="488">
        <f t="shared" si="10"/>
        <v>1095.3569190907197</v>
      </c>
      <c r="S26" s="488">
        <f t="shared" si="10"/>
        <v>39.21120498695575</v>
      </c>
      <c r="T26" s="488">
        <f t="shared" si="10"/>
        <v>187.88084937540125</v>
      </c>
      <c r="U26" s="488">
        <f t="shared" si="10"/>
        <v>3833.6812396704358</v>
      </c>
      <c r="V26" s="488">
        <f t="shared" si="10"/>
        <v>145.44440711224036</v>
      </c>
      <c r="W26" s="488">
        <f t="shared" si="10"/>
        <v>7.506512734116022</v>
      </c>
      <c r="X26" s="488">
        <f t="shared" si="10"/>
        <v>195.36275312176252</v>
      </c>
      <c r="Y26" s="488">
        <f t="shared" si="10"/>
        <v>1.2096467108549098</v>
      </c>
      <c r="Z26" s="488">
        <f t="shared" si="10"/>
        <v>35.010884844467988</v>
      </c>
      <c r="AA26" s="489">
        <f t="shared" si="10"/>
        <v>1921.4292269183238</v>
      </c>
      <c r="AB26" s="490">
        <f t="shared" si="10"/>
        <v>456.44000480998989</v>
      </c>
      <c r="AC26" s="493">
        <f t="shared" si="10"/>
        <v>0</v>
      </c>
      <c r="AD26" s="488">
        <f t="shared" si="10"/>
        <v>0</v>
      </c>
      <c r="AE26" s="488">
        <f t="shared" si="10"/>
        <v>196.67659478004623</v>
      </c>
      <c r="AF26" s="488">
        <f t="shared" si="10"/>
        <v>40.692904224132207</v>
      </c>
      <c r="AG26" s="488">
        <f t="shared" si="10"/>
        <v>0</v>
      </c>
      <c r="AH26" s="488">
        <f t="shared" si="10"/>
        <v>9.7770611234061491</v>
      </c>
      <c r="AI26" s="488">
        <f t="shared" si="10"/>
        <v>124.01266332172798</v>
      </c>
      <c r="AJ26" s="488">
        <f t="shared" si="10"/>
        <v>27.929372998367999</v>
      </c>
      <c r="AK26" s="370">
        <f t="shared" si="10"/>
        <v>0</v>
      </c>
      <c r="AL26" s="370">
        <f t="shared" si="10"/>
        <v>13.54608560366562</v>
      </c>
      <c r="AM26" s="491">
        <f t="shared" si="10"/>
        <v>43.805322758643676</v>
      </c>
      <c r="AN26" s="489">
        <f t="shared" si="10"/>
        <v>54.722939604974087</v>
      </c>
      <c r="AO26" s="489">
        <f t="shared" si="10"/>
        <v>2361.2693974490917</v>
      </c>
      <c r="AP26" s="490">
        <f t="shared" si="10"/>
        <v>0</v>
      </c>
      <c r="AQ26" s="492">
        <f>C26+H26+L26+AA26+AB26+AN26+AO26+AP26</f>
        <v>12638.596955787891</v>
      </c>
    </row>
    <row r="39" spans="14:16">
      <c r="P39" s="499">
        <f>('EB2018'!P$20-'EB2018'!P$25)/(SUM('EB2018'!$O$20:$Z$20)-SUM('EB2018'!$O$25:$Z$25))</f>
        <v>0.20874581836826736</v>
      </c>
    </row>
    <row r="40" spans="14:16">
      <c r="N40" s="498">
        <f>(SUM('EB2018'!O20:Z20)-SUM('EB2018'!O25:Z25))/'EB2018'!M14</f>
        <v>0.9923342574100722</v>
      </c>
    </row>
  </sheetData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DFA-A498-428E-8EBC-6735D731296E}">
  <sheetPr codeName="Sheet14">
    <tabColor theme="0" tint="-0.499984740745262"/>
  </sheetPr>
  <dimension ref="A1:C2"/>
  <sheetViews>
    <sheetView workbookViewId="0">
      <selection activeCell="L26" sqref="L26"/>
    </sheetView>
  </sheetViews>
  <sheetFormatPr defaultColWidth="9.140625" defaultRowHeight="15"/>
  <cols>
    <col min="1" max="16384" width="9.140625" style="234"/>
  </cols>
  <sheetData>
    <row r="1" spans="1:3">
      <c r="A1" s="149" t="s">
        <v>257</v>
      </c>
    </row>
    <row r="2" spans="1:3">
      <c r="A2" s="234" t="s">
        <v>116</v>
      </c>
      <c r="B2" s="234">
        <v>4.1868000000000002E-2</v>
      </c>
      <c r="C2" s="23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L97"/>
  <sheetViews>
    <sheetView zoomScale="83" zoomScaleNormal="100" workbookViewId="0">
      <selection activeCell="N31" sqref="N31"/>
    </sheetView>
  </sheetViews>
  <sheetFormatPr defaultColWidth="9.140625" defaultRowHeight="15"/>
  <cols>
    <col min="1" max="1" width="9.140625" style="198"/>
    <col min="2" max="2" width="19" style="198" customWidth="1"/>
    <col min="3" max="3" width="18.28515625" style="198" bestFit="1" customWidth="1"/>
    <col min="4" max="4" width="49.85546875" style="198" customWidth="1"/>
    <col min="5" max="16384" width="9.140625" style="198"/>
  </cols>
  <sheetData>
    <row r="2" spans="2:10">
      <c r="B2" s="297" t="s">
        <v>14</v>
      </c>
      <c r="C2" s="298"/>
      <c r="D2" s="298"/>
      <c r="E2" s="298"/>
      <c r="F2" s="298"/>
      <c r="G2" s="298"/>
      <c r="H2" s="298"/>
      <c r="I2" s="298"/>
    </row>
    <row r="3" spans="2:10" ht="15.75" thickBot="1">
      <c r="B3" s="294" t="s">
        <v>15</v>
      </c>
      <c r="C3" s="294" t="s">
        <v>16</v>
      </c>
      <c r="D3" s="294" t="s">
        <v>17</v>
      </c>
      <c r="E3" s="294" t="s">
        <v>18</v>
      </c>
      <c r="F3" s="294" t="s">
        <v>19</v>
      </c>
      <c r="G3" s="294" t="s">
        <v>20</v>
      </c>
      <c r="H3" s="294" t="s">
        <v>21</v>
      </c>
      <c r="I3" s="294" t="s">
        <v>22</v>
      </c>
    </row>
    <row r="4" spans="2:10" ht="28.5" customHeight="1">
      <c r="B4" s="299" t="s">
        <v>397</v>
      </c>
      <c r="C4" s="299" t="s">
        <v>398</v>
      </c>
      <c r="D4" s="300" t="s">
        <v>331</v>
      </c>
      <c r="E4" s="300"/>
      <c r="F4" s="300"/>
      <c r="G4" s="300"/>
      <c r="H4" s="300"/>
      <c r="I4" s="300"/>
    </row>
    <row r="5" spans="2:10" ht="28.5" customHeight="1">
      <c r="B5" s="305" t="s">
        <v>399</v>
      </c>
      <c r="C5" s="305"/>
      <c r="D5" s="306"/>
      <c r="E5" s="306"/>
      <c r="F5" s="306"/>
      <c r="G5" s="306"/>
      <c r="H5" s="306"/>
      <c r="I5" s="306"/>
    </row>
    <row r="6" spans="2:10">
      <c r="B6" s="310" t="s">
        <v>23</v>
      </c>
      <c r="C6" s="307" t="str">
        <f>CONVENTIONS!B46</f>
        <v>COABIT</v>
      </c>
      <c r="D6" s="307" t="str">
        <f>CONVENTIONS!C46</f>
        <v xml:space="preserve">Bituminous Coal </v>
      </c>
      <c r="E6" s="302" t="s">
        <v>10</v>
      </c>
      <c r="F6" s="302"/>
      <c r="G6" s="302"/>
      <c r="H6" s="302"/>
      <c r="I6" s="302"/>
    </row>
    <row r="7" spans="2:10">
      <c r="B7" s="310" t="s">
        <v>23</v>
      </c>
      <c r="C7" s="307" t="str">
        <f>CONVENTIONS!B47</f>
        <v>COAHAR</v>
      </c>
      <c r="D7" s="307" t="str">
        <f>CONVENTIONS!C47</f>
        <v xml:space="preserve">Hard Coal / Antracite </v>
      </c>
      <c r="E7" s="302" t="s">
        <v>10</v>
      </c>
      <c r="F7" s="302"/>
      <c r="G7" s="302"/>
      <c r="H7" s="302"/>
      <c r="I7" s="302"/>
    </row>
    <row r="8" spans="2:10">
      <c r="B8" s="310" t="s">
        <v>23</v>
      </c>
      <c r="C8" s="307" t="str">
        <f>CONVENTIONS!B48</f>
        <v>COACOK</v>
      </c>
      <c r="D8" s="307" t="str">
        <f>CONVENTIONS!C48</f>
        <v xml:space="preserve">Coke Coal </v>
      </c>
      <c r="E8" s="302" t="s">
        <v>10</v>
      </c>
      <c r="F8" s="302"/>
      <c r="G8" s="302"/>
      <c r="H8" s="302"/>
      <c r="I8" s="302"/>
    </row>
    <row r="9" spans="2:10">
      <c r="B9" s="310" t="s">
        <v>23</v>
      </c>
      <c r="C9" s="307" t="str">
        <f>CONVENTIONS!B49</f>
        <v>COALIG</v>
      </c>
      <c r="D9" s="307" t="str">
        <f>CONVENTIONS!C49</f>
        <v xml:space="preserve">Lignite /  Brown Coal </v>
      </c>
      <c r="E9" s="302" t="s">
        <v>10</v>
      </c>
      <c r="F9" s="302"/>
      <c r="G9" s="302"/>
      <c r="H9" s="302"/>
      <c r="I9" s="302"/>
    </row>
    <row r="10" spans="2:10">
      <c r="B10" s="310" t="s">
        <v>23</v>
      </c>
      <c r="C10" s="307" t="str">
        <f>CONVENTIONS!B50</f>
        <v>PEAT</v>
      </c>
      <c r="D10" s="307" t="str">
        <f>CONVENTIONS!C50</f>
        <v xml:space="preserve">Peat </v>
      </c>
      <c r="E10" s="302" t="s">
        <v>10</v>
      </c>
      <c r="F10" s="302"/>
      <c r="G10" s="302"/>
      <c r="H10" s="302"/>
      <c r="I10" s="302"/>
    </row>
    <row r="11" spans="2:10">
      <c r="B11" s="310" t="s">
        <v>23</v>
      </c>
      <c r="C11" s="307" t="str">
        <f>CONVENTIONS!B51</f>
        <v>OILCRD</v>
      </c>
      <c r="D11" s="307" t="str">
        <f>CONVENTIONS!C51</f>
        <v xml:space="preserve">Crude Oil </v>
      </c>
      <c r="E11" s="302" t="s">
        <v>10</v>
      </c>
      <c r="F11" s="302"/>
      <c r="G11" s="302"/>
      <c r="H11" s="302"/>
      <c r="I11" s="302"/>
    </row>
    <row r="12" spans="2:10">
      <c r="B12" s="310" t="s">
        <v>23</v>
      </c>
      <c r="C12" s="307" t="str">
        <f>CONVENTIONS!B52</f>
        <v>OILRFG</v>
      </c>
      <c r="D12" s="307" t="str">
        <f>CONVENTIONS!C52</f>
        <v xml:space="preserve">Refinery Gas </v>
      </c>
      <c r="E12" s="302" t="s">
        <v>10</v>
      </c>
      <c r="F12" s="302"/>
      <c r="G12" s="302"/>
      <c r="H12" s="302"/>
      <c r="I12" s="302"/>
      <c r="J12" s="257"/>
    </row>
    <row r="13" spans="2:10">
      <c r="B13" s="310" t="s">
        <v>23</v>
      </c>
      <c r="C13" s="307" t="str">
        <f>CONVENTIONS!B53</f>
        <v>OILKER</v>
      </c>
      <c r="D13" s="307" t="str">
        <f>CONVENTIONS!C53</f>
        <v xml:space="preserve">Kerosene </v>
      </c>
      <c r="E13" s="302" t="s">
        <v>10</v>
      </c>
      <c r="F13" s="302"/>
      <c r="G13" s="302"/>
      <c r="H13" s="302"/>
      <c r="I13" s="302"/>
      <c r="J13" s="257"/>
    </row>
    <row r="14" spans="2:10">
      <c r="B14" s="310" t="s">
        <v>23</v>
      </c>
      <c r="C14" s="307" t="str">
        <f>CONVENTIONS!B54</f>
        <v>OILHFO</v>
      </c>
      <c r="D14" s="307" t="str">
        <f>CONVENTIONS!C54</f>
        <v xml:space="preserve">Heavy Fuel Oil </v>
      </c>
      <c r="E14" s="302" t="s">
        <v>10</v>
      </c>
      <c r="F14" s="302"/>
      <c r="G14" s="302"/>
      <c r="H14" s="302"/>
      <c r="I14" s="302"/>
    </row>
    <row r="15" spans="2:10">
      <c r="B15" s="310" t="s">
        <v>23</v>
      </c>
      <c r="C15" s="307" t="str">
        <f>CONVENTIONS!B55</f>
        <v>OILDST</v>
      </c>
      <c r="D15" s="307" t="str">
        <f>CONVENTIONS!C55</f>
        <v xml:space="preserve">Diesel Oil </v>
      </c>
      <c r="E15" s="302" t="s">
        <v>10</v>
      </c>
      <c r="F15" s="302"/>
      <c r="G15" s="302"/>
      <c r="H15" s="302"/>
      <c r="I15" s="302"/>
    </row>
    <row r="16" spans="2:10">
      <c r="B16" s="310" t="s">
        <v>23</v>
      </c>
      <c r="C16" s="307" t="str">
        <f>CONVENTIONS!B56</f>
        <v>OILLPG</v>
      </c>
      <c r="D16" s="307" t="str">
        <f>CONVENTIONS!C56</f>
        <v xml:space="preserve">Liquified Petroleum Gas </v>
      </c>
      <c r="E16" s="302" t="s">
        <v>10</v>
      </c>
      <c r="F16" s="302"/>
      <c r="G16" s="302"/>
      <c r="H16" s="302"/>
      <c r="I16" s="302"/>
    </row>
    <row r="17" spans="2:9">
      <c r="B17" s="310" t="s">
        <v>23</v>
      </c>
      <c r="C17" s="307" t="str">
        <f>CONVENTIONS!B57</f>
        <v>OILGSL</v>
      </c>
      <c r="D17" s="307" t="str">
        <f>CONVENTIONS!C57</f>
        <v xml:space="preserve">Gasoline </v>
      </c>
      <c r="E17" s="302" t="s">
        <v>10</v>
      </c>
      <c r="F17" s="302"/>
      <c r="G17" s="302"/>
      <c r="H17" s="302"/>
      <c r="I17" s="302"/>
    </row>
    <row r="18" spans="2:9">
      <c r="B18" s="310" t="s">
        <v>23</v>
      </c>
      <c r="C18" s="307" t="str">
        <f>CONVENTIONS!B58</f>
        <v>OILCOK</v>
      </c>
      <c r="D18" s="307" t="str">
        <f>CONVENTIONS!C58</f>
        <v xml:space="preserve">Petroleum Coke </v>
      </c>
      <c r="E18" s="302" t="s">
        <v>10</v>
      </c>
      <c r="F18" s="302"/>
      <c r="G18" s="302"/>
      <c r="H18" s="302"/>
      <c r="I18" s="302"/>
    </row>
    <row r="19" spans="2:9">
      <c r="B19" s="310" t="s">
        <v>23</v>
      </c>
      <c r="C19" s="307" t="str">
        <f>CONVENTIONS!B59</f>
        <v>OILNAP</v>
      </c>
      <c r="D19" s="307" t="str">
        <f>CONVENTIONS!C59</f>
        <v xml:space="preserve">Naphta </v>
      </c>
      <c r="E19" s="302" t="s">
        <v>10</v>
      </c>
      <c r="F19" s="302"/>
      <c r="G19" s="302"/>
      <c r="H19" s="302"/>
      <c r="I19" s="302"/>
    </row>
    <row r="20" spans="2:9">
      <c r="B20" s="310" t="s">
        <v>23</v>
      </c>
      <c r="C20" s="307" t="str">
        <f>CONVENTIONS!B60</f>
        <v>OILNEU</v>
      </c>
      <c r="D20" s="307" t="str">
        <f>CONVENTIONS!C60</f>
        <v>Oil for Non-Energy uses</v>
      </c>
      <c r="E20" s="302" t="s">
        <v>10</v>
      </c>
      <c r="F20" s="302"/>
      <c r="G20" s="302"/>
      <c r="H20" s="302"/>
      <c r="I20" s="302"/>
    </row>
    <row r="21" spans="2:9">
      <c r="B21" s="310" t="s">
        <v>23</v>
      </c>
      <c r="C21" s="307" t="str">
        <f>CONVENTIONS!B61</f>
        <v>GASNAT</v>
      </c>
      <c r="D21" s="307" t="str">
        <f>CONVENTIONS!C61</f>
        <v xml:space="preserve">Natural Gas </v>
      </c>
      <c r="E21" s="302" t="s">
        <v>10</v>
      </c>
      <c r="F21" s="302"/>
      <c r="G21" s="302" t="s">
        <v>73</v>
      </c>
      <c r="H21" s="302"/>
      <c r="I21" s="302"/>
    </row>
    <row r="22" spans="2:9">
      <c r="B22" s="310" t="s">
        <v>23</v>
      </c>
      <c r="C22" s="307" t="str">
        <f>CONVENTIONS!B62</f>
        <v>GASLNG</v>
      </c>
      <c r="D22" s="307" t="str">
        <f>CONVENTIONS!C62</f>
        <v xml:space="preserve">Liquified Natural Gas </v>
      </c>
      <c r="E22" s="302" t="s">
        <v>10</v>
      </c>
      <c r="F22" s="302"/>
      <c r="G22" s="302" t="s">
        <v>73</v>
      </c>
      <c r="H22" s="302"/>
      <c r="I22" s="302"/>
    </row>
    <row r="23" spans="2:9">
      <c r="B23" s="310" t="s">
        <v>23</v>
      </c>
      <c r="C23" s="307" t="str">
        <f>CONVENTIONS!B63</f>
        <v>NUCURM</v>
      </c>
      <c r="D23" s="307" t="str">
        <f>CONVENTIONS!C63</f>
        <v>Uranium</v>
      </c>
      <c r="E23" s="302" t="s">
        <v>10</v>
      </c>
      <c r="F23" s="302"/>
      <c r="G23" s="302"/>
      <c r="H23" s="302"/>
      <c r="I23" s="302"/>
    </row>
    <row r="24" spans="2:9">
      <c r="B24" s="310" t="s">
        <v>23</v>
      </c>
      <c r="C24" s="307" t="str">
        <f>CONVENTIONS!B64</f>
        <v>RENHYD</v>
      </c>
      <c r="D24" s="307" t="str">
        <f>CONVENTIONS!C64</f>
        <v xml:space="preserve">Hydro </v>
      </c>
      <c r="E24" s="302" t="s">
        <v>10</v>
      </c>
      <c r="F24" s="302"/>
      <c r="G24" s="302"/>
      <c r="H24" s="302"/>
      <c r="I24" s="302"/>
    </row>
    <row r="25" spans="2:9">
      <c r="B25" s="310" t="s">
        <v>23</v>
      </c>
      <c r="C25" s="307" t="str">
        <f>CONVENTIONS!B65</f>
        <v>RENWIN</v>
      </c>
      <c r="D25" s="307" t="str">
        <f>CONVENTIONS!C65</f>
        <v xml:space="preserve">Wind </v>
      </c>
      <c r="E25" s="302" t="s">
        <v>10</v>
      </c>
      <c r="F25" s="302"/>
      <c r="G25" s="302"/>
      <c r="H25" s="302"/>
      <c r="I25" s="302"/>
    </row>
    <row r="26" spans="2:9">
      <c r="B26" s="310" t="s">
        <v>23</v>
      </c>
      <c r="C26" s="307" t="str">
        <f>CONVENTIONS!B66</f>
        <v>RENSOL</v>
      </c>
      <c r="D26" s="307" t="str">
        <f>CONVENTIONS!C66</f>
        <v xml:space="preserve">Solar </v>
      </c>
      <c r="E26" s="302" t="s">
        <v>10</v>
      </c>
      <c r="F26" s="302"/>
      <c r="G26" s="302"/>
      <c r="H26" s="302"/>
      <c r="I26" s="302"/>
    </row>
    <row r="27" spans="2:9">
      <c r="B27" s="310" t="s">
        <v>23</v>
      </c>
      <c r="C27" s="307" t="str">
        <f>CONVENTIONS!B67</f>
        <v>MSWAS</v>
      </c>
      <c r="D27" s="307" t="str">
        <f>CONVENTIONS!C67</f>
        <v xml:space="preserve">Municipal Solid Waste </v>
      </c>
      <c r="E27" s="302" t="s">
        <v>10</v>
      </c>
      <c r="F27" s="302"/>
      <c r="G27" s="302"/>
      <c r="H27" s="302"/>
      <c r="I27" s="302"/>
    </row>
    <row r="28" spans="2:9">
      <c r="B28" s="310" t="s">
        <v>23</v>
      </c>
      <c r="C28" s="307" t="str">
        <f>CONVENTIONS!B68</f>
        <v>RENOCE</v>
      </c>
      <c r="D28" s="307" t="str">
        <f>CONVENTIONS!C68</f>
        <v xml:space="preserve">Ocean </v>
      </c>
      <c r="E28" s="302" t="s">
        <v>10</v>
      </c>
      <c r="F28" s="302"/>
      <c r="G28" s="302"/>
      <c r="H28" s="302"/>
      <c r="I28" s="302"/>
    </row>
    <row r="29" spans="2:9">
      <c r="B29" s="310" t="s">
        <v>23</v>
      </c>
      <c r="C29" s="307" t="str">
        <f>CONVENTIONS!B69</f>
        <v>RENGEO</v>
      </c>
      <c r="D29" s="307" t="str">
        <f>CONVENTIONS!C69</f>
        <v xml:space="preserve">Geothermal </v>
      </c>
      <c r="E29" s="302" t="s">
        <v>10</v>
      </c>
      <c r="F29" s="302"/>
      <c r="G29" s="302"/>
      <c r="H29" s="302"/>
      <c r="I29" s="302"/>
    </row>
    <row r="30" spans="2:9">
      <c r="B30" s="310" t="s">
        <v>23</v>
      </c>
      <c r="C30" s="307" t="str">
        <f>CONVENTIONS!B70</f>
        <v>BIOETH1G</v>
      </c>
      <c r="D30" s="307" t="str">
        <f>CONVENTIONS!C70</f>
        <v xml:space="preserve">Ethanol 1st generation </v>
      </c>
      <c r="E30" s="302" t="s">
        <v>10</v>
      </c>
      <c r="F30" s="302"/>
      <c r="G30" s="302"/>
      <c r="H30" s="302"/>
      <c r="I30" s="302"/>
    </row>
    <row r="31" spans="2:9">
      <c r="B31" s="310" t="s">
        <v>23</v>
      </c>
      <c r="C31" s="307" t="str">
        <f>CONVENTIONS!B71</f>
        <v>BIOETH2G</v>
      </c>
      <c r="D31" s="307" t="str">
        <f>CONVENTIONS!C71</f>
        <v xml:space="preserve">Ethanol 2nd generation </v>
      </c>
      <c r="E31" s="302" t="s">
        <v>10</v>
      </c>
      <c r="F31" s="302"/>
      <c r="G31" s="302"/>
      <c r="H31" s="302"/>
      <c r="I31" s="302"/>
    </row>
    <row r="32" spans="2:9">
      <c r="B32" s="310" t="s">
        <v>23</v>
      </c>
      <c r="C32" s="307" t="str">
        <f>CONVENTIONS!B72</f>
        <v>BIODST1G</v>
      </c>
      <c r="D32" s="307" t="str">
        <f>CONVENTIONS!C72</f>
        <v xml:space="preserve">Biodiesel 1st generation </v>
      </c>
      <c r="E32" s="302" t="s">
        <v>10</v>
      </c>
      <c r="F32" s="302"/>
      <c r="G32" s="302"/>
      <c r="H32" s="302"/>
      <c r="I32" s="302"/>
    </row>
    <row r="33" spans="2:9">
      <c r="B33" s="310" t="s">
        <v>23</v>
      </c>
      <c r="C33" s="307" t="str">
        <f>CONVENTIONS!B73</f>
        <v>BIODST2G</v>
      </c>
      <c r="D33" s="307" t="str">
        <f>CONVENTIONS!C73</f>
        <v xml:space="preserve">Biodiesel 2nd generation </v>
      </c>
      <c r="E33" s="302" t="s">
        <v>10</v>
      </c>
      <c r="F33" s="302"/>
      <c r="G33" s="302"/>
      <c r="H33" s="302"/>
      <c r="I33" s="302"/>
    </row>
    <row r="34" spans="2:9">
      <c r="B34" s="310" t="s">
        <v>23</v>
      </c>
      <c r="C34" s="307" t="str">
        <f>CONVENTIONS!B74</f>
        <v>BIOGAS1G</v>
      </c>
      <c r="D34" s="307" t="str">
        <f>CONVENTIONS!C74</f>
        <v xml:space="preserve">Biogas 1st generation </v>
      </c>
      <c r="E34" s="302" t="s">
        <v>10</v>
      </c>
      <c r="F34" s="302"/>
      <c r="G34" s="302"/>
      <c r="H34" s="302"/>
      <c r="I34" s="302"/>
    </row>
    <row r="35" spans="2:9">
      <c r="B35" s="310" t="s">
        <v>23</v>
      </c>
      <c r="C35" s="307" t="str">
        <f>CONVENTIONS!B75</f>
        <v>BIOGAS2G</v>
      </c>
      <c r="D35" s="307" t="str">
        <f>CONVENTIONS!C75</f>
        <v xml:space="preserve">Biogas 2nd generation </v>
      </c>
      <c r="E35" s="302" t="s">
        <v>10</v>
      </c>
      <c r="F35" s="302"/>
      <c r="G35" s="302"/>
      <c r="H35" s="302"/>
      <c r="I35" s="302"/>
    </row>
    <row r="36" spans="2:9">
      <c r="B36" s="341" t="s">
        <v>23</v>
      </c>
      <c r="C36" s="342" t="str">
        <f>CONVENTIONS!B76</f>
        <v>BIOJKR</v>
      </c>
      <c r="D36" s="342" t="s">
        <v>496</v>
      </c>
      <c r="E36" s="302" t="s">
        <v>10</v>
      </c>
      <c r="F36" s="302"/>
      <c r="G36" s="302"/>
      <c r="H36" s="302"/>
      <c r="I36" s="302"/>
    </row>
    <row r="37" spans="2:9">
      <c r="B37" s="310" t="s">
        <v>23</v>
      </c>
      <c r="C37" s="307" t="str">
        <f>CONVENTIONS!B77</f>
        <v>BIOWOO</v>
      </c>
      <c r="D37" s="307" t="str">
        <f>CONVENTIONS!C77</f>
        <v xml:space="preserve">Biomass - generic </v>
      </c>
      <c r="E37" s="302" t="s">
        <v>10</v>
      </c>
      <c r="F37" s="302"/>
      <c r="G37" s="302"/>
      <c r="H37" s="302"/>
      <c r="I37" s="302"/>
    </row>
    <row r="38" spans="2:9">
      <c r="B38" s="310" t="s">
        <v>23</v>
      </c>
      <c r="C38" s="307" t="str">
        <f>CONVENTIONS!B78</f>
        <v>BIOWOO1</v>
      </c>
      <c r="D38" s="307" t="str">
        <f>CONVENTIONS!C78</f>
        <v>Sawmill residues</v>
      </c>
      <c r="E38" s="302" t="s">
        <v>10</v>
      </c>
      <c r="F38" s="302"/>
      <c r="G38" s="302"/>
      <c r="H38" s="302"/>
      <c r="I38" s="302"/>
    </row>
    <row r="39" spans="2:9">
      <c r="B39" s="310" t="s">
        <v>23</v>
      </c>
      <c r="C39" s="307" t="str">
        <f>CONVENTIONS!B79</f>
        <v>BIOWOO2</v>
      </c>
      <c r="D39" s="307" t="str">
        <f>CONVENTIONS!C79</f>
        <v>Post-Consumer Recycled Wood</v>
      </c>
      <c r="E39" s="302" t="s">
        <v>10</v>
      </c>
      <c r="F39" s="302"/>
      <c r="G39" s="302"/>
      <c r="H39" s="302"/>
      <c r="I39" s="302"/>
    </row>
    <row r="40" spans="2:9">
      <c r="B40" s="310" t="s">
        <v>23</v>
      </c>
      <c r="C40" s="307" t="str">
        <f>CONVENTIONS!B80</f>
        <v>BIOWOO3</v>
      </c>
      <c r="D40" s="307" t="str">
        <f>CONVENTIONS!C80</f>
        <v>Straw</v>
      </c>
      <c r="E40" s="302" t="s">
        <v>10</v>
      </c>
      <c r="F40" s="302"/>
      <c r="G40" s="302"/>
      <c r="H40" s="302"/>
      <c r="I40" s="302"/>
    </row>
    <row r="41" spans="2:9">
      <c r="B41" s="310" t="s">
        <v>23</v>
      </c>
      <c r="C41" s="307" t="str">
        <f>CONVENTIONS!B81</f>
        <v>BIOWPE</v>
      </c>
      <c r="D41" s="307" t="str">
        <f>CONVENTIONS!C81</f>
        <v xml:space="preserve">Wood Pellets </v>
      </c>
      <c r="E41" s="302" t="s">
        <v>10</v>
      </c>
      <c r="F41" s="302"/>
      <c r="G41" s="302"/>
      <c r="H41" s="302"/>
      <c r="I41" s="302"/>
    </row>
    <row r="42" spans="2:9">
      <c r="B42" s="310" t="s">
        <v>23</v>
      </c>
      <c r="C42" s="307" t="str">
        <f>CONVENTIONS!B82</f>
        <v>BIOWCH</v>
      </c>
      <c r="D42" s="307" t="str">
        <f>CONVENTIONS!C82</f>
        <v xml:space="preserve">Wood Chip </v>
      </c>
      <c r="E42" s="302" t="s">
        <v>10</v>
      </c>
      <c r="F42" s="302"/>
      <c r="G42" s="302"/>
      <c r="H42" s="302"/>
      <c r="I42" s="302"/>
    </row>
    <row r="43" spans="2:9">
      <c r="B43" s="310" t="s">
        <v>23</v>
      </c>
      <c r="C43" s="307" t="str">
        <f>CONVENTIONS!B83</f>
        <v>BIOMSW1</v>
      </c>
      <c r="D43" s="307" t="str">
        <f>CONVENTIONS!C83</f>
        <v xml:space="preserve">Biodegradable Municipal Solid Waste potential - Solid </v>
      </c>
      <c r="E43" s="302" t="s">
        <v>10</v>
      </c>
      <c r="F43" s="302"/>
      <c r="G43" s="302"/>
      <c r="H43" s="302"/>
      <c r="I43" s="302"/>
    </row>
    <row r="44" spans="2:9">
      <c r="B44" s="310" t="s">
        <v>23</v>
      </c>
      <c r="C44" s="307" t="str">
        <f>CONVENTIONS!B84</f>
        <v>BIOMSW2</v>
      </c>
      <c r="D44" s="307" t="str">
        <f>CONVENTIONS!C84</f>
        <v xml:space="preserve">Biodegradable Municipal Solid Waste </v>
      </c>
      <c r="E44" s="302" t="s">
        <v>10</v>
      </c>
      <c r="F44" s="302"/>
      <c r="G44" s="302"/>
      <c r="H44" s="302"/>
      <c r="I44" s="302"/>
    </row>
    <row r="45" spans="2:9">
      <c r="B45" s="310" t="s">
        <v>23</v>
      </c>
      <c r="C45" s="307" t="str">
        <f>CONVENTIONS!B85</f>
        <v>BIOTLW</v>
      </c>
      <c r="D45" s="307" t="str">
        <f>CONVENTIONS!C85</f>
        <v xml:space="preserve">Tallow </v>
      </c>
      <c r="E45" s="302" t="s">
        <v>10</v>
      </c>
      <c r="F45" s="302"/>
      <c r="G45" s="302"/>
      <c r="H45" s="302"/>
      <c r="I45" s="302"/>
    </row>
    <row r="46" spans="2:9" s="273" customFormat="1">
      <c r="B46" s="310" t="s">
        <v>23</v>
      </c>
      <c r="C46" s="307" t="str">
        <f>CONVENTIONS!B86</f>
        <v>BIORVO</v>
      </c>
      <c r="D46" s="307" t="str">
        <f>CONVENTIONS!C86</f>
        <v xml:space="preserve">Recovered Vegetable Oil </v>
      </c>
      <c r="E46" s="302" t="s">
        <v>10</v>
      </c>
      <c r="F46" s="302"/>
      <c r="G46" s="302"/>
      <c r="H46" s="302"/>
      <c r="I46" s="302"/>
    </row>
    <row r="47" spans="2:9" s="273" customFormat="1">
      <c r="B47" s="310" t="s">
        <v>23</v>
      </c>
      <c r="C47" s="307" t="str">
        <f>CONVENTIONS!B87</f>
        <v>BIOCATW</v>
      </c>
      <c r="D47" s="307" t="str">
        <f>CONVENTIONS!C87</f>
        <v xml:space="preserve">Cattle Waste </v>
      </c>
      <c r="E47" s="302" t="s">
        <v>10</v>
      </c>
      <c r="F47" s="302"/>
      <c r="G47" s="302"/>
      <c r="H47" s="302"/>
      <c r="I47" s="302"/>
    </row>
    <row r="48" spans="2:9">
      <c r="B48" s="310" t="s">
        <v>23</v>
      </c>
      <c r="C48" s="307" t="str">
        <f>CONVENTIONS!B88</f>
        <v>BIOPIGW</v>
      </c>
      <c r="D48" s="307" t="str">
        <f>CONVENTIONS!C88</f>
        <v xml:space="preserve">Pig Waste </v>
      </c>
      <c r="E48" s="302" t="s">
        <v>10</v>
      </c>
      <c r="F48" s="302"/>
      <c r="G48" s="302"/>
      <c r="H48" s="302"/>
      <c r="I48" s="302"/>
    </row>
    <row r="49" spans="2:12">
      <c r="B49" s="310" t="s">
        <v>23</v>
      </c>
      <c r="C49" s="316" t="str">
        <f>CONVENTIONS!B89</f>
        <v>BIOINDF</v>
      </c>
      <c r="D49" s="316" t="str">
        <f>CONVENTIONS!C89</f>
        <v xml:space="preserve">Industrial Food Waste </v>
      </c>
      <c r="E49" s="310" t="s">
        <v>10</v>
      </c>
      <c r="F49" s="310"/>
      <c r="G49" s="310"/>
      <c r="H49" s="310"/>
      <c r="I49" s="310"/>
    </row>
    <row r="50" spans="2:12">
      <c r="B50" s="310" t="s">
        <v>23</v>
      </c>
      <c r="C50" s="316" t="str">
        <f>CONVENTIONS!B91</f>
        <v>CYC</v>
      </c>
      <c r="D50" s="316" t="str">
        <f>CONVENTIONS!C91</f>
        <v>Cycling</v>
      </c>
      <c r="E50" s="310" t="s">
        <v>10</v>
      </c>
      <c r="F50" s="310"/>
      <c r="G50" s="310"/>
      <c r="H50" s="310"/>
      <c r="I50" s="310"/>
    </row>
    <row r="51" spans="2:12">
      <c r="B51" s="310" t="s">
        <v>23</v>
      </c>
      <c r="C51" s="316" t="str">
        <f>CONVENTIONS!B92</f>
        <v>WLK</v>
      </c>
      <c r="D51" s="316" t="str">
        <f>CONVENTIONS!C92</f>
        <v>Walking</v>
      </c>
      <c r="E51" s="310" t="s">
        <v>10</v>
      </c>
      <c r="F51" s="310"/>
      <c r="G51" s="310"/>
      <c r="H51" s="310"/>
      <c r="I51" s="310"/>
    </row>
    <row r="52" spans="2:12">
      <c r="B52" s="310" t="s">
        <v>23</v>
      </c>
      <c r="C52" s="316" t="str">
        <f>CONVENTIONS!B93</f>
        <v>AMBHET</v>
      </c>
      <c r="D52" s="316" t="str">
        <f>CONVENTIONS!C93</f>
        <v>Ambient Heat</v>
      </c>
      <c r="E52" s="310" t="s">
        <v>10</v>
      </c>
      <c r="F52" s="310"/>
      <c r="G52" s="310"/>
      <c r="H52" s="310"/>
      <c r="I52" s="310"/>
    </row>
    <row r="53" spans="2:12">
      <c r="B53" s="310" t="s">
        <v>23</v>
      </c>
      <c r="C53" s="307" t="str">
        <f>CONVENTIONS!$B$4&amp;CONVENTIONS!B13</f>
        <v>SUPCOA</v>
      </c>
      <c r="D53" s="307" t="str">
        <f>CONVENTIONS!C13 &amp; " (" &amp; CONVENTIONS!$B$4 &amp; ")"</f>
        <v>Coal (SUP)</v>
      </c>
      <c r="E53" s="302" t="s">
        <v>10</v>
      </c>
      <c r="F53" s="302"/>
      <c r="G53" s="302"/>
      <c r="H53" s="302"/>
      <c r="I53" s="302"/>
    </row>
    <row r="54" spans="2:12" s="273" customFormat="1">
      <c r="B54" s="310" t="s">
        <v>23</v>
      </c>
      <c r="C54" s="307" t="str">
        <f>CONVENTIONS!$B$4&amp;CONVENTIONS!B20</f>
        <v>SUPNGA</v>
      </c>
      <c r="D54" s="307" t="str">
        <f>CONVENTIONS!C20 &amp; " (" &amp; CONVENTIONS!$B$4 &amp; ")"</f>
        <v>Natural Gas (SUP)</v>
      </c>
      <c r="E54" s="302" t="s">
        <v>10</v>
      </c>
      <c r="F54" s="302"/>
      <c r="G54" s="302"/>
      <c r="H54" s="302"/>
      <c r="I54" s="302"/>
    </row>
    <row r="55" spans="2:12">
      <c r="B55" s="310" t="s">
        <v>23</v>
      </c>
      <c r="C55" s="307" t="str">
        <f>CONVENTIONS!$B$4&amp;CONVENTIONS!B21</f>
        <v>SUPBIO</v>
      </c>
      <c r="D55" s="307" t="str">
        <f>CONVENTIONS!C21 &amp; " (" &amp; CONVENTIONS!$B$4 &amp; ")"</f>
        <v>Biomass (SUP)</v>
      </c>
      <c r="E55" s="302" t="s">
        <v>10</v>
      </c>
      <c r="F55" s="302"/>
      <c r="G55" s="302"/>
      <c r="H55" s="302"/>
      <c r="I55" s="302"/>
    </row>
    <row r="56" spans="2:12">
      <c r="B56" s="310" t="s">
        <v>23</v>
      </c>
      <c r="C56" s="307" t="str">
        <f>CONVENTIONS!$B$4&amp;CONVENTIONS!B43</f>
        <v>SUPELC</v>
      </c>
      <c r="D56" s="307" t="str">
        <f>CONVENTIONS!C43 &amp; " (" &amp; CONVENTIONS!$B$4 &amp; ")"</f>
        <v>Electricity (SUP)</v>
      </c>
      <c r="E56" s="302" t="s">
        <v>10</v>
      </c>
      <c r="F56" s="302"/>
      <c r="G56" s="302"/>
      <c r="H56" s="302"/>
      <c r="I56" s="302"/>
    </row>
    <row r="57" spans="2:12">
      <c r="B57" s="310" t="s">
        <v>23</v>
      </c>
      <c r="C57" s="307" t="str">
        <f>CONVENTIONS!$B$4&amp;CONVENTIONS!B45</f>
        <v>SUPWAS</v>
      </c>
      <c r="D57" s="307" t="str">
        <f>CONVENTIONS!C45 &amp; " (" &amp; CONVENTIONS!$B$4 &amp; ")"</f>
        <v>Waste (SUP)</v>
      </c>
      <c r="E57" s="302" t="s">
        <v>10</v>
      </c>
      <c r="F57" s="302"/>
      <c r="G57" s="302"/>
      <c r="H57" s="302"/>
      <c r="I57" s="302"/>
    </row>
    <row r="58" spans="2:12">
      <c r="B58" s="310" t="s">
        <v>23</v>
      </c>
      <c r="C58" s="307" t="str">
        <f>CONVENTIONS!$B$43&amp;CONVENTIONS!P4</f>
        <v>ELCC</v>
      </c>
      <c r="D58" s="307" t="str">
        <f>CONVENTIONS!$C$43 &amp;  " - " &amp; CONVENTIONS!Q4</f>
        <v>Electricity - centralised</v>
      </c>
      <c r="E58" s="302" t="s">
        <v>10</v>
      </c>
      <c r="F58" s="302"/>
      <c r="G58" s="302"/>
      <c r="H58" s="302"/>
      <c r="I58" s="302"/>
    </row>
    <row r="59" spans="2:12">
      <c r="B59" s="310" t="s">
        <v>23</v>
      </c>
      <c r="C59" s="307" t="str">
        <f>CONVENTIONS!$B$4&amp;CONVENTIONS!$B$90&amp;CONVENTIONS!M4&amp;CONVENTIONS!P4</f>
        <v>SUPH2GC</v>
      </c>
      <c r="D59" s="307" t="str">
        <f>CONVENTIONS!$C$90 &amp; " " &amp; CONVENTIONS!N4 &amp; " - " &amp; CONVENTIONS!Q4&amp; " (" &amp; CONVENTIONS!$B$4 &amp; ")"</f>
        <v>Hydrogen gaseous - centralised (SUP)</v>
      </c>
      <c r="E59" s="302" t="s">
        <v>10</v>
      </c>
      <c r="F59" s="302"/>
      <c r="G59" s="302" t="s">
        <v>73</v>
      </c>
      <c r="H59" s="302"/>
      <c r="I59" s="302"/>
    </row>
    <row r="60" spans="2:12">
      <c r="B60" s="310" t="s">
        <v>23</v>
      </c>
      <c r="C60" s="307" t="str">
        <f>CONVENTIONS!$B$4&amp;CONVENTIONS!$B$90&amp;CONVENTIONS!M5&amp;CONVENTIONS!P4</f>
        <v>SUPH2LC</v>
      </c>
      <c r="D60" s="307" t="str">
        <f>CONVENTIONS!$C$90 &amp; " " &amp; CONVENTIONS!N5 &amp; " - " &amp; CONVENTIONS!Q4&amp; " (" &amp; CONVENTIONS!$B$4 &amp; ")"</f>
        <v>Hydrogen liquid - centralised (SUP)</v>
      </c>
      <c r="E60" s="302" t="s">
        <v>10</v>
      </c>
      <c r="F60" s="302"/>
      <c r="G60" s="302" t="s">
        <v>73</v>
      </c>
      <c r="H60" s="302"/>
      <c r="I60" s="302"/>
    </row>
    <row r="61" spans="2:12">
      <c r="B61" s="310" t="s">
        <v>23</v>
      </c>
      <c r="C61" s="307" t="str">
        <f>CONVENTIONS!$B$4&amp;CONVENTIONS!$B$90&amp;CONVENTIONS!M4&amp;CONVENTIONS!P5</f>
        <v>SUPH2GD</v>
      </c>
      <c r="D61" s="307" t="str">
        <f>CONVENTIONS!$C$90 &amp; " " &amp; CONVENTIONS!N4 &amp; " - " &amp; CONVENTIONS!Q5 &amp; " (" &amp; CONVENTIONS!$B$4 &amp; ")"</f>
        <v>Hydrogen gaseous - decentralised (SUP)</v>
      </c>
      <c r="E61" s="302" t="s">
        <v>10</v>
      </c>
      <c r="F61" s="302"/>
      <c r="G61" s="302" t="s">
        <v>73</v>
      </c>
      <c r="H61" s="302"/>
      <c r="I61" s="302"/>
    </row>
    <row r="62" spans="2:12">
      <c r="B62" s="310" t="s">
        <v>23</v>
      </c>
      <c r="C62" s="307" t="str">
        <f>CONVENTIONS!$B$4&amp;CONVENTIONS!$B$90&amp;CONVENTIONS!M5&amp;CONVENTIONS!P5</f>
        <v>SUPH2LD</v>
      </c>
      <c r="D62" s="307" t="str">
        <f>CONVENTIONS!$C$90 &amp; " " &amp; CONVENTIONS!N5 &amp; " - " &amp; CONVENTIONS!Q5 &amp; " (" &amp; CONVENTIONS!$B$4 &amp; ")"</f>
        <v>Hydrogen liquid - decentralised (SUP)</v>
      </c>
      <c r="E62" s="302" t="s">
        <v>10</v>
      </c>
      <c r="F62" s="302"/>
      <c r="G62" s="302" t="s">
        <v>73</v>
      </c>
      <c r="H62" s="302"/>
      <c r="I62" s="302"/>
    </row>
    <row r="63" spans="2:12">
      <c r="B63" s="317" t="s">
        <v>400</v>
      </c>
      <c r="C63" s="317"/>
      <c r="D63" s="317"/>
      <c r="E63" s="317"/>
      <c r="F63" s="317"/>
      <c r="G63" s="317"/>
      <c r="H63" s="317"/>
      <c r="I63" s="317"/>
      <c r="J63" s="273"/>
      <c r="K63" s="273"/>
      <c r="L63" s="273"/>
    </row>
    <row r="64" spans="2:12">
      <c r="B64" s="310" t="s">
        <v>321</v>
      </c>
      <c r="C64" s="307" t="str">
        <f>CONVENTIONS!$B$4&amp;CONVENTIONS!M13</f>
        <v>SUPCH4N</v>
      </c>
      <c r="D64" s="307" t="str">
        <f>CONVENTIONS!N13 &amp; " (" &amp; CONVENTIONS!$B$4 &amp; ")"</f>
        <v>Methane - eNergy Emissions (SUP)</v>
      </c>
      <c r="E64" s="302" t="s">
        <v>322</v>
      </c>
      <c r="F64" s="302"/>
      <c r="G64" s="302"/>
      <c r="H64" s="302"/>
      <c r="I64" s="302"/>
      <c r="J64" s="273"/>
      <c r="K64" s="273"/>
      <c r="L64" s="273"/>
    </row>
    <row r="65" spans="2:12">
      <c r="B65" s="310" t="s">
        <v>321</v>
      </c>
      <c r="C65" s="307" t="str">
        <f>CONVENTIONS!$B$4&amp;CONVENTIONS!M14</f>
        <v>SUPCH4P</v>
      </c>
      <c r="D65" s="307" t="str">
        <f>CONVENTIONS!N14 &amp; " (" &amp; CONVENTIONS!$B$4 &amp; ")"</f>
        <v>Methane Emissions - Process Emissions (SUP)</v>
      </c>
      <c r="E65" s="302" t="s">
        <v>322</v>
      </c>
      <c r="F65" s="302"/>
      <c r="G65" s="302"/>
      <c r="H65" s="302"/>
      <c r="I65" s="302"/>
      <c r="J65" s="273"/>
      <c r="K65" s="273"/>
      <c r="L65" s="273"/>
    </row>
    <row r="66" spans="2:12">
      <c r="B66" s="310" t="s">
        <v>321</v>
      </c>
      <c r="C66" s="307" t="str">
        <f>CONVENTIONS!$B$4&amp;CONVENTIONS!M15</f>
        <v>SUPN2ON</v>
      </c>
      <c r="D66" s="307" t="str">
        <f>CONVENTIONS!N15 &amp; " (" &amp; CONVENTIONS!$B$4 &amp; ")"</f>
        <v>N2O Emissions - eNergy Emissions (SUP)</v>
      </c>
      <c r="E66" s="302" t="s">
        <v>322</v>
      </c>
      <c r="F66" s="302"/>
      <c r="G66" s="302"/>
      <c r="H66" s="302"/>
      <c r="I66" s="302"/>
      <c r="J66" s="273"/>
      <c r="K66" s="273"/>
      <c r="L66" s="273"/>
    </row>
    <row r="67" spans="2:12">
      <c r="B67" s="310" t="s">
        <v>321</v>
      </c>
      <c r="C67" s="307" t="str">
        <f>CONVENTIONS!$B$4&amp;CONVENTIONS!M16</f>
        <v>SUPSO2N</v>
      </c>
      <c r="D67" s="307" t="str">
        <f>CONVENTIONS!N16 &amp; " (" &amp; CONVENTIONS!$B$4 &amp; ")"</f>
        <v>Sulfur dioxide - eNergy Emissions (SUP)</v>
      </c>
      <c r="E67" s="302" t="s">
        <v>322</v>
      </c>
      <c r="F67" s="302"/>
      <c r="G67" s="302"/>
      <c r="H67" s="302"/>
      <c r="I67" s="302"/>
      <c r="J67" s="273"/>
      <c r="K67" s="273"/>
      <c r="L67" s="273"/>
    </row>
    <row r="68" spans="2:12">
      <c r="B68" s="310" t="s">
        <v>321</v>
      </c>
      <c r="C68" s="307" t="str">
        <f>CONVENTIONS!$B$4&amp;CONVENTIONS!M17</f>
        <v>SUPCO2N</v>
      </c>
      <c r="D68" s="307" t="str">
        <f>CONVENTIONS!N17 &amp; " (" &amp; CONVENTIONS!$B$4 &amp; ")"</f>
        <v>Carbon Dioxide - eNergy Emissions (SUP)</v>
      </c>
      <c r="E68" s="302" t="s">
        <v>322</v>
      </c>
      <c r="F68" s="302"/>
      <c r="G68" s="302"/>
      <c r="H68" s="302"/>
      <c r="I68" s="302"/>
    </row>
    <row r="69" spans="2:12">
      <c r="B69" s="310" t="s">
        <v>321</v>
      </c>
      <c r="C69" s="307" t="str">
        <f>CONVENTIONS!$B$4&amp;CONVENTIONS!M18</f>
        <v>SUPCO2P</v>
      </c>
      <c r="D69" s="307" t="str">
        <f>CONVENTIONS!N18 &amp; " (" &amp; CONVENTIONS!$B$4 &amp; ")"</f>
        <v>Carbon Dioxide - Process Emissions (SUP)</v>
      </c>
      <c r="E69" s="302" t="s">
        <v>322</v>
      </c>
      <c r="F69" s="302"/>
      <c r="G69" s="302"/>
      <c r="H69" s="302"/>
      <c r="I69" s="302"/>
    </row>
    <row r="70" spans="2:12">
      <c r="B70" s="310" t="s">
        <v>321</v>
      </c>
      <c r="C70" s="307" t="str">
        <f>CONVENTIONS!$B$4&amp;CONVENTIONS!M19</f>
        <v>SUPCO2S</v>
      </c>
      <c r="D70" s="307" t="str">
        <f>CONVENTIONS!N19 &amp; " (" &amp; CONVENTIONS!$B$4 &amp; ")"</f>
        <v>Carbon Dioxide - Sequestered (SUP)</v>
      </c>
      <c r="E70" s="302" t="s">
        <v>322</v>
      </c>
      <c r="F70" s="302"/>
      <c r="G70" s="302"/>
      <c r="H70" s="302"/>
      <c r="I70" s="302"/>
    </row>
    <row r="71" spans="2:12">
      <c r="B71" s="310" t="s">
        <v>321</v>
      </c>
      <c r="C71" s="307" t="str">
        <f>CONVENTIONS!$B$4&amp;CONVENTIONS!M20</f>
        <v>SUPNOXN</v>
      </c>
      <c r="D71" s="307" t="str">
        <f>CONVENTIONS!N20 &amp; " (" &amp; CONVENTIONS!$B$4 &amp; ")"</f>
        <v>Nitrogen Oxide  - eNergy Emissions (SUP)</v>
      </c>
      <c r="E71" s="302" t="s">
        <v>322</v>
      </c>
      <c r="F71" s="302"/>
      <c r="G71" s="302"/>
      <c r="H71" s="302"/>
      <c r="I71" s="302"/>
    </row>
    <row r="72" spans="2:12">
      <c r="B72" s="310" t="s">
        <v>321</v>
      </c>
      <c r="C72" s="307" t="str">
        <f>CONVENTIONS!$B$4&amp;CONVENTIONS!M21</f>
        <v>SUPPM10</v>
      </c>
      <c r="D72" s="307" t="str">
        <f>CONVENTIONS!N21 &amp; " (" &amp; CONVENTIONS!$B$4 &amp; ")"</f>
        <v>Particulate Matter &lt;10 µm (SUP)</v>
      </c>
      <c r="E72" s="302" t="s">
        <v>322</v>
      </c>
      <c r="F72" s="302"/>
      <c r="G72" s="302"/>
      <c r="H72" s="302"/>
      <c r="I72" s="302"/>
    </row>
    <row r="73" spans="2:12">
      <c r="B73" s="310" t="s">
        <v>321</v>
      </c>
      <c r="C73" s="307" t="str">
        <f>CONVENTIONS!$B$4&amp;CONVENTIONS!M22</f>
        <v>SUPPM25</v>
      </c>
      <c r="D73" s="307" t="str">
        <f>CONVENTIONS!N22 &amp; " (" &amp; CONVENTIONS!$B$4 &amp; ")"</f>
        <v>Particulate Matter &lt;2.5 µm (SUP)</v>
      </c>
      <c r="E73" s="302" t="s">
        <v>322</v>
      </c>
      <c r="F73" s="302"/>
      <c r="G73" s="302"/>
      <c r="H73" s="302"/>
      <c r="I73" s="302"/>
    </row>
    <row r="74" spans="2:12">
      <c r="B74"/>
      <c r="C74"/>
      <c r="D74"/>
      <c r="E74"/>
      <c r="F74"/>
      <c r="G74"/>
      <c r="H74"/>
      <c r="I74"/>
    </row>
    <row r="75" spans="2:12">
      <c r="B75"/>
      <c r="C75"/>
      <c r="D75"/>
      <c r="E75"/>
      <c r="F75"/>
      <c r="G75"/>
      <c r="H75"/>
      <c r="I75"/>
    </row>
    <row r="76" spans="2:12">
      <c r="B76"/>
      <c r="C76"/>
      <c r="D76"/>
      <c r="E76"/>
      <c r="F76"/>
      <c r="G76"/>
      <c r="H76"/>
      <c r="I76"/>
    </row>
    <row r="77" spans="2:12">
      <c r="B77"/>
      <c r="C77"/>
      <c r="D77"/>
      <c r="E77"/>
      <c r="F77"/>
      <c r="G77"/>
      <c r="H77"/>
      <c r="I77"/>
    </row>
    <row r="78" spans="2:12">
      <c r="B78"/>
      <c r="C78"/>
      <c r="D78"/>
      <c r="E78"/>
      <c r="F78"/>
      <c r="G78"/>
      <c r="H78"/>
      <c r="I78"/>
    </row>
    <row r="79" spans="2:12">
      <c r="B79"/>
      <c r="C79"/>
      <c r="D79"/>
      <c r="E79"/>
      <c r="F79"/>
      <c r="G79"/>
      <c r="H79"/>
      <c r="I79"/>
    </row>
    <row r="80" spans="2:12">
      <c r="B80"/>
      <c r="C80"/>
      <c r="D80"/>
      <c r="E80"/>
      <c r="F80"/>
      <c r="G80"/>
      <c r="H80"/>
      <c r="I80"/>
    </row>
    <row r="81" spans="2:9">
      <c r="B81"/>
      <c r="C81"/>
      <c r="D81"/>
      <c r="E81"/>
      <c r="F81"/>
      <c r="G81"/>
      <c r="H81"/>
      <c r="I81"/>
    </row>
    <row r="82" spans="2:9">
      <c r="B82"/>
      <c r="C82"/>
      <c r="D82"/>
      <c r="E82"/>
      <c r="F82"/>
      <c r="G82"/>
      <c r="H82"/>
      <c r="I82"/>
    </row>
    <row r="83" spans="2:9">
      <c r="B83"/>
      <c r="C83"/>
      <c r="D83"/>
      <c r="E83"/>
      <c r="F83"/>
      <c r="G83"/>
      <c r="H83"/>
      <c r="I83"/>
    </row>
    <row r="84" spans="2:9">
      <c r="B84"/>
      <c r="C84"/>
      <c r="D84"/>
      <c r="E84"/>
      <c r="F84"/>
      <c r="G84"/>
      <c r="H84"/>
      <c r="I84"/>
    </row>
    <row r="85" spans="2:9">
      <c r="B85"/>
      <c r="C85"/>
      <c r="D85"/>
      <c r="E85"/>
      <c r="F85"/>
      <c r="G85"/>
      <c r="H85"/>
      <c r="I85"/>
    </row>
    <row r="86" spans="2:9">
      <c r="B86"/>
      <c r="C86"/>
      <c r="D86"/>
      <c r="E86"/>
      <c r="F86"/>
      <c r="G86"/>
      <c r="H86"/>
      <c r="I86"/>
    </row>
    <row r="87" spans="2:9">
      <c r="B87"/>
      <c r="C87"/>
      <c r="D87"/>
      <c r="E87"/>
      <c r="F87"/>
      <c r="G87"/>
      <c r="H87"/>
      <c r="I87"/>
    </row>
    <row r="88" spans="2:9">
      <c r="B88"/>
      <c r="C88"/>
      <c r="D88"/>
      <c r="E88"/>
      <c r="F88"/>
      <c r="G88"/>
      <c r="H88"/>
      <c r="I88"/>
    </row>
    <row r="89" spans="2:9">
      <c r="B89"/>
      <c r="C89"/>
      <c r="D89"/>
      <c r="E89"/>
      <c r="F89"/>
      <c r="G89"/>
      <c r="H89"/>
      <c r="I89"/>
    </row>
    <row r="90" spans="2:9">
      <c r="B90"/>
      <c r="C90"/>
      <c r="D90"/>
      <c r="E90"/>
      <c r="F90"/>
      <c r="G90"/>
      <c r="H90"/>
      <c r="I90"/>
    </row>
    <row r="91" spans="2:9">
      <c r="B91"/>
      <c r="C91"/>
      <c r="D91"/>
      <c r="E91"/>
      <c r="F91"/>
      <c r="G91"/>
      <c r="H91"/>
      <c r="I91"/>
    </row>
    <row r="92" spans="2:9">
      <c r="B92"/>
      <c r="C92"/>
      <c r="D92"/>
      <c r="E92"/>
      <c r="F92"/>
      <c r="G92"/>
      <c r="H92"/>
      <c r="I92"/>
    </row>
    <row r="93" spans="2:9">
      <c r="B93"/>
      <c r="C93"/>
      <c r="D93"/>
      <c r="E93"/>
      <c r="F93"/>
      <c r="G93"/>
      <c r="H93"/>
      <c r="I93"/>
    </row>
    <row r="94" spans="2:9">
      <c r="B94"/>
      <c r="C94"/>
      <c r="D94"/>
      <c r="E94"/>
      <c r="F94"/>
      <c r="G94"/>
      <c r="H94"/>
      <c r="I94"/>
    </row>
    <row r="95" spans="2:9">
      <c r="B95"/>
      <c r="C95"/>
      <c r="D95"/>
      <c r="E95"/>
      <c r="F95"/>
      <c r="G95"/>
      <c r="H95"/>
      <c r="I95"/>
    </row>
    <row r="96" spans="2:9">
      <c r="B96"/>
      <c r="C96"/>
      <c r="D96"/>
      <c r="E96"/>
      <c r="F96"/>
      <c r="G96"/>
      <c r="H96"/>
      <c r="I96"/>
    </row>
    <row r="97" spans="2:9">
      <c r="B97"/>
      <c r="C97"/>
      <c r="D97"/>
      <c r="E97"/>
      <c r="F97"/>
      <c r="G97"/>
      <c r="H97"/>
      <c r="I9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FF4F-A0CF-43AC-AC4F-5B8E72D4ACA3}">
  <sheetPr codeName="Sheet3"/>
  <dimension ref="B1:V94"/>
  <sheetViews>
    <sheetView topLeftCell="A55" zoomScale="90" zoomScaleNormal="90" workbookViewId="0">
      <selection activeCell="C72" sqref="C72"/>
    </sheetView>
  </sheetViews>
  <sheetFormatPr defaultRowHeight="15"/>
  <cols>
    <col min="2" max="2" width="34.85546875" bestFit="1" customWidth="1"/>
    <col min="3" max="3" width="16" bestFit="1" customWidth="1"/>
    <col min="4" max="4" width="58.85546875" bestFit="1" customWidth="1"/>
    <col min="5" max="5" width="10.42578125" bestFit="1" customWidth="1"/>
    <col min="6" max="6" width="11.42578125" bestFit="1" customWidth="1"/>
    <col min="7" max="7" width="28" bestFit="1" customWidth="1"/>
    <col min="8" max="8" width="22.28515625" bestFit="1" customWidth="1"/>
    <col min="9" max="9" width="14.140625" bestFit="1" customWidth="1"/>
    <col min="13" max="13" width="23.28515625" bestFit="1" customWidth="1"/>
    <col min="14" max="14" width="26.5703125" bestFit="1" customWidth="1"/>
    <col min="15" max="15" width="4.140625" customWidth="1"/>
  </cols>
  <sheetData>
    <row r="1" spans="2:20" ht="26.25">
      <c r="B1" s="303" t="s">
        <v>401</v>
      </c>
      <c r="C1" s="304"/>
      <c r="D1" s="304"/>
      <c r="E1" s="304"/>
      <c r="F1" s="304"/>
      <c r="G1" s="304"/>
      <c r="H1" s="304"/>
      <c r="I1" s="304"/>
    </row>
    <row r="3" spans="2:20">
      <c r="B3" s="297" t="s">
        <v>0</v>
      </c>
      <c r="C3" s="298"/>
      <c r="D3" s="298"/>
      <c r="E3" s="298"/>
      <c r="F3" s="298"/>
      <c r="G3" s="298"/>
      <c r="H3" s="298"/>
      <c r="I3" s="298"/>
    </row>
    <row r="4" spans="2:20" ht="15.75" thickBot="1">
      <c r="B4" s="294" t="s">
        <v>1</v>
      </c>
      <c r="C4" s="294" t="s">
        <v>2</v>
      </c>
      <c r="D4" s="294" t="s">
        <v>3</v>
      </c>
      <c r="E4" s="294" t="s">
        <v>4</v>
      </c>
      <c r="F4" s="294" t="s">
        <v>5</v>
      </c>
      <c r="G4" s="294" t="s">
        <v>6</v>
      </c>
      <c r="H4" s="294" t="s">
        <v>7</v>
      </c>
      <c r="I4" s="294" t="s">
        <v>8</v>
      </c>
    </row>
    <row r="5" spans="2:20" s="289" customFormat="1">
      <c r="B5" s="299" t="s">
        <v>168</v>
      </c>
      <c r="C5" s="299" t="s">
        <v>402</v>
      </c>
      <c r="D5" s="299" t="s">
        <v>331</v>
      </c>
      <c r="E5" s="299" t="s">
        <v>403</v>
      </c>
      <c r="F5" s="299" t="s">
        <v>404</v>
      </c>
      <c r="G5" s="299" t="s">
        <v>405</v>
      </c>
      <c r="H5" s="301" t="s">
        <v>406</v>
      </c>
      <c r="I5" s="301" t="s">
        <v>169</v>
      </c>
      <c r="K5"/>
      <c r="L5"/>
      <c r="M5"/>
      <c r="N5"/>
      <c r="O5"/>
      <c r="P5"/>
      <c r="Q5"/>
      <c r="R5"/>
      <c r="S5"/>
      <c r="T5"/>
    </row>
    <row r="6" spans="2:20" s="289" customFormat="1">
      <c r="B6" s="305" t="s">
        <v>456</v>
      </c>
      <c r="C6" s="305"/>
      <c r="D6" s="306"/>
      <c r="E6" s="306"/>
      <c r="F6" s="306"/>
      <c r="G6" s="306"/>
      <c r="H6" s="306"/>
      <c r="I6" s="306"/>
      <c r="K6"/>
      <c r="L6"/>
      <c r="M6"/>
      <c r="N6"/>
      <c r="O6"/>
      <c r="P6"/>
      <c r="Q6"/>
      <c r="R6"/>
      <c r="S6"/>
      <c r="T6"/>
    </row>
    <row r="7" spans="2:20">
      <c r="B7" s="307" t="str">
        <f>CONVENTIONS!K13</f>
        <v>IMP</v>
      </c>
      <c r="C7" s="307" t="str">
        <f>CONVENTIONS!E13</f>
        <v>IMPCOABIT</v>
      </c>
      <c r="D7" s="307" t="str">
        <f>CONVENTIONS!F13</f>
        <v xml:space="preserve">Import of Bituminous Coal </v>
      </c>
      <c r="E7" s="318" t="s">
        <v>10</v>
      </c>
      <c r="F7" s="295" t="s">
        <v>408</v>
      </c>
      <c r="G7" s="295"/>
      <c r="H7" s="319"/>
      <c r="I7" s="295"/>
    </row>
    <row r="8" spans="2:20">
      <c r="B8" s="307" t="str">
        <f>CONVENTIONS!K14</f>
        <v>IMP</v>
      </c>
      <c r="C8" s="307" t="str">
        <f>CONVENTIONS!E14</f>
        <v>IMPCOAHAR</v>
      </c>
      <c r="D8" s="307" t="str">
        <f>CONVENTIONS!F14</f>
        <v xml:space="preserve">Import of Hard Coal / Antracite </v>
      </c>
      <c r="E8" s="318" t="s">
        <v>10</v>
      </c>
      <c r="F8" s="295" t="s">
        <v>408</v>
      </c>
      <c r="G8" s="320"/>
      <c r="H8" s="319"/>
      <c r="I8" s="295"/>
    </row>
    <row r="9" spans="2:20">
      <c r="B9" s="307" t="str">
        <f>CONVENTIONS!K15</f>
        <v>IMP</v>
      </c>
      <c r="C9" s="307" t="str">
        <f>CONVENTIONS!E15</f>
        <v>IMPCOACOK</v>
      </c>
      <c r="D9" s="307" t="str">
        <f>CONVENTIONS!F15</f>
        <v xml:space="preserve">Import of Coke Coal </v>
      </c>
      <c r="E9" s="318" t="s">
        <v>10</v>
      </c>
      <c r="F9" s="295" t="s">
        <v>408</v>
      </c>
      <c r="G9" s="320"/>
      <c r="H9" s="319"/>
      <c r="I9" s="295"/>
    </row>
    <row r="10" spans="2:20">
      <c r="B10" s="307" t="str">
        <f>CONVENTIONS!K16</f>
        <v>IMP</v>
      </c>
      <c r="C10" s="307" t="str">
        <f>CONVENTIONS!E16</f>
        <v>IMPCOALIG</v>
      </c>
      <c r="D10" s="307" t="str">
        <f>CONVENTIONS!F16</f>
        <v xml:space="preserve">Import of Lignite /  Brown Coal </v>
      </c>
      <c r="E10" s="318" t="s">
        <v>10</v>
      </c>
      <c r="F10" s="295" t="s">
        <v>408</v>
      </c>
      <c r="G10" s="320"/>
      <c r="H10" s="319"/>
      <c r="I10" s="295"/>
    </row>
    <row r="11" spans="2:20">
      <c r="B11" s="307" t="str">
        <f>CONVENTIONS!K17</f>
        <v>IMP</v>
      </c>
      <c r="C11" s="307" t="str">
        <f>CONVENTIONS!E17</f>
        <v>IMPOILCRD</v>
      </c>
      <c r="D11" s="307" t="str">
        <f>CONVENTIONS!F17</f>
        <v xml:space="preserve">Import of Crude Oil </v>
      </c>
      <c r="E11" s="318" t="s">
        <v>10</v>
      </c>
      <c r="F11" s="295" t="s">
        <v>408</v>
      </c>
      <c r="G11" s="320"/>
      <c r="H11" s="319"/>
      <c r="I11" s="295"/>
    </row>
    <row r="12" spans="2:20">
      <c r="B12" s="307" t="str">
        <f>CONVENTIONS!K18</f>
        <v>IMP</v>
      </c>
      <c r="C12" s="307" t="str">
        <f>CONVENTIONS!E18</f>
        <v>IMPOILKER</v>
      </c>
      <c r="D12" s="307" t="str">
        <f>CONVENTIONS!F18</f>
        <v xml:space="preserve">Import of Kerosene </v>
      </c>
      <c r="E12" s="318" t="s">
        <v>10</v>
      </c>
      <c r="F12" s="295" t="s">
        <v>408</v>
      </c>
      <c r="G12" s="320"/>
      <c r="H12" s="319"/>
      <c r="I12" s="295"/>
    </row>
    <row r="13" spans="2:20">
      <c r="B13" s="307" t="str">
        <f>CONVENTIONS!K19</f>
        <v>IMP</v>
      </c>
      <c r="C13" s="307" t="str">
        <f>CONVENTIONS!E19</f>
        <v>IMPOILHFO</v>
      </c>
      <c r="D13" s="307" t="str">
        <f>CONVENTIONS!F19</f>
        <v xml:space="preserve">Import of Heavy Fuel Oil </v>
      </c>
      <c r="E13" s="318" t="s">
        <v>10</v>
      </c>
      <c r="F13" s="295" t="s">
        <v>408</v>
      </c>
      <c r="G13" s="320"/>
      <c r="H13" s="319"/>
      <c r="I13" s="295"/>
    </row>
    <row r="14" spans="2:20">
      <c r="B14" s="307" t="str">
        <f>CONVENTIONS!K20</f>
        <v>IMP</v>
      </c>
      <c r="C14" s="307" t="str">
        <f>CONVENTIONS!E20</f>
        <v>IMPOILDST</v>
      </c>
      <c r="D14" s="307" t="str">
        <f>CONVENTIONS!F20</f>
        <v xml:space="preserve">Import of Diesel Oil </v>
      </c>
      <c r="E14" s="318" t="s">
        <v>10</v>
      </c>
      <c r="F14" s="295" t="s">
        <v>408</v>
      </c>
      <c r="G14" s="320"/>
      <c r="H14" s="319"/>
      <c r="I14" s="295"/>
    </row>
    <row r="15" spans="2:20">
      <c r="B15" s="307" t="str">
        <f>CONVENTIONS!K21</f>
        <v>IMP</v>
      </c>
      <c r="C15" s="307" t="str">
        <f>CONVENTIONS!E21</f>
        <v>IMPOILLPG</v>
      </c>
      <c r="D15" s="307" t="str">
        <f>CONVENTIONS!F21</f>
        <v xml:space="preserve">Import of Liquified Petroleum Gas </v>
      </c>
      <c r="E15" s="321" t="s">
        <v>10</v>
      </c>
      <c r="F15" s="295" t="s">
        <v>408</v>
      </c>
      <c r="G15" s="320"/>
      <c r="H15" s="319"/>
      <c r="I15" s="295"/>
    </row>
    <row r="16" spans="2:20">
      <c r="B16" s="307" t="str">
        <f>CONVENTIONS!K22</f>
        <v>IMP</v>
      </c>
      <c r="C16" s="307" t="str">
        <f>CONVENTIONS!E22</f>
        <v>IMPOILGSL</v>
      </c>
      <c r="D16" s="307" t="str">
        <f>CONVENTIONS!F22</f>
        <v xml:space="preserve">Import of Gasoline </v>
      </c>
      <c r="E16" s="318" t="s">
        <v>10</v>
      </c>
      <c r="F16" s="295" t="s">
        <v>408</v>
      </c>
      <c r="G16" s="320"/>
      <c r="H16" s="319"/>
      <c r="I16" s="295"/>
    </row>
    <row r="17" spans="2:12">
      <c r="B17" s="307" t="str">
        <f>CONVENTIONS!K23</f>
        <v>IMP</v>
      </c>
      <c r="C17" s="307" t="str">
        <f>CONVENTIONS!E23</f>
        <v>IMPOILCOK</v>
      </c>
      <c r="D17" s="307" t="str">
        <f>CONVENTIONS!F23</f>
        <v xml:space="preserve">Import of Petroleum Coke </v>
      </c>
      <c r="E17" s="321" t="s">
        <v>10</v>
      </c>
      <c r="F17" s="295" t="s">
        <v>408</v>
      </c>
      <c r="G17" s="295"/>
      <c r="H17" s="295"/>
      <c r="I17" s="295"/>
    </row>
    <row r="18" spans="2:12">
      <c r="B18" s="307" t="str">
        <f>CONVENTIONS!K24</f>
        <v>IMP</v>
      </c>
      <c r="C18" s="307" t="str">
        <f>CONVENTIONS!E24</f>
        <v>IMPOILNEU</v>
      </c>
      <c r="D18" s="307" t="str">
        <f>CONVENTIONS!F24</f>
        <v>Import of Oil for Non-Energy uses</v>
      </c>
      <c r="E18" s="315" t="s">
        <v>10</v>
      </c>
      <c r="F18" s="295" t="s">
        <v>408</v>
      </c>
      <c r="G18" s="319"/>
      <c r="H18" s="319"/>
      <c r="I18" s="322"/>
    </row>
    <row r="19" spans="2:12">
      <c r="B19" s="307" t="str">
        <f>CONVENTIONS!K25</f>
        <v>IMP</v>
      </c>
      <c r="C19" s="307" t="str">
        <f>CONVENTIONS!E25</f>
        <v>IMPGASNAT_UK</v>
      </c>
      <c r="D19" s="307" t="str">
        <f>CONVENTIONS!F25</f>
        <v>Import of Natural Gas  - UK</v>
      </c>
      <c r="E19" s="321" t="s">
        <v>10</v>
      </c>
      <c r="F19" s="295" t="s">
        <v>408</v>
      </c>
      <c r="G19" s="320" t="s">
        <v>73</v>
      </c>
      <c r="H19" s="319"/>
      <c r="I19" s="322"/>
    </row>
    <row r="20" spans="2:12">
      <c r="B20" s="307" t="str">
        <f>CONVENTIONS!K26</f>
        <v>IMP</v>
      </c>
      <c r="C20" s="307" t="str">
        <f>CONVENTIONS!E26</f>
        <v>IMPGASLNG_GLOBAL</v>
      </c>
      <c r="D20" s="307" t="str">
        <f>CONVENTIONS!F26</f>
        <v xml:space="preserve">Import of Liquified Natural Gas </v>
      </c>
      <c r="E20" s="321" t="s">
        <v>10</v>
      </c>
      <c r="F20" s="295" t="s">
        <v>408</v>
      </c>
      <c r="G20" s="320" t="s">
        <v>73</v>
      </c>
      <c r="H20" s="319"/>
      <c r="I20" s="295"/>
    </row>
    <row r="21" spans="2:12">
      <c r="B21" s="307" t="str">
        <f>CONVENTIONS!K27</f>
        <v>IMP</v>
      </c>
      <c r="C21" s="307" t="str">
        <f>CONVENTIONS!E27</f>
        <v>IMPNUCURM</v>
      </c>
      <c r="D21" s="307" t="str">
        <f>CONVENTIONS!F27</f>
        <v>Import of Uranium</v>
      </c>
      <c r="E21" s="321" t="s">
        <v>10</v>
      </c>
      <c r="F21" s="295" t="s">
        <v>408</v>
      </c>
      <c r="G21" s="319"/>
      <c r="H21" s="319"/>
      <c r="I21" s="322"/>
      <c r="L21" s="293"/>
    </row>
    <row r="22" spans="2:12">
      <c r="B22" s="305" t="s">
        <v>457</v>
      </c>
      <c r="C22" s="305"/>
      <c r="D22" s="306"/>
      <c r="E22" s="306"/>
      <c r="F22" s="306"/>
      <c r="G22" s="306"/>
      <c r="H22" s="306"/>
      <c r="I22" s="306"/>
    </row>
    <row r="23" spans="2:12" s="293" customFormat="1">
      <c r="B23" s="307" t="str">
        <f>CONVENTIONS!K28</f>
        <v>IMP</v>
      </c>
      <c r="C23" s="307" t="str">
        <f>CONVENTIONS!E28</f>
        <v>IMPBIOETH1G_S1</v>
      </c>
      <c r="D23" s="307" t="str">
        <f>CONVENTIONS!F28</f>
        <v>Import of Ethanol 1st generation  - Step 1</v>
      </c>
      <c r="E23" s="318" t="s">
        <v>10</v>
      </c>
      <c r="F23" s="295" t="s">
        <v>408</v>
      </c>
      <c r="G23" s="323"/>
      <c r="H23" s="324"/>
      <c r="I23" s="325"/>
    </row>
    <row r="24" spans="2:12" s="293" customFormat="1">
      <c r="B24" s="307" t="str">
        <f>CONVENTIONS!K29</f>
        <v>IMP</v>
      </c>
      <c r="C24" s="307" t="str">
        <f>CONVENTIONS!E29</f>
        <v>IMPBIOETH1G_S2</v>
      </c>
      <c r="D24" s="307" t="str">
        <f>CONVENTIONS!F29</f>
        <v>Import of Ethanol 1st generation  - Step 2</v>
      </c>
      <c r="E24" s="318" t="s">
        <v>10</v>
      </c>
      <c r="F24" s="295" t="s">
        <v>408</v>
      </c>
      <c r="G24" s="323"/>
      <c r="H24" s="324"/>
      <c r="I24" s="325"/>
    </row>
    <row r="25" spans="2:12" s="293" customFormat="1">
      <c r="B25" s="307" t="str">
        <f>CONVENTIONS!K30</f>
        <v>IMP</v>
      </c>
      <c r="C25" s="307" t="str">
        <f>CONVENTIONS!E30</f>
        <v>IMPBIOETH1G_S3</v>
      </c>
      <c r="D25" s="307" t="str">
        <f>CONVENTIONS!F30</f>
        <v>Import of Ethanol 1st generation  - Step 3</v>
      </c>
      <c r="E25" s="318" t="s">
        <v>10</v>
      </c>
      <c r="F25" s="295" t="s">
        <v>408</v>
      </c>
      <c r="G25" s="323"/>
      <c r="H25" s="324"/>
      <c r="I25" s="325"/>
    </row>
    <row r="26" spans="2:12" s="293" customFormat="1">
      <c r="B26" s="307" t="str">
        <f>CONVENTIONS!K31</f>
        <v>IMP</v>
      </c>
      <c r="C26" s="307" t="str">
        <f>CONVENTIONS!E31</f>
        <v>IMPBIOETH1G_S4</v>
      </c>
      <c r="D26" s="307" t="str">
        <f>CONVENTIONS!F31</f>
        <v>Import of Ethanol 1st generation  - Step 4</v>
      </c>
      <c r="E26" s="318" t="s">
        <v>10</v>
      </c>
      <c r="F26" s="295" t="s">
        <v>408</v>
      </c>
      <c r="G26" s="314"/>
      <c r="H26" s="324"/>
      <c r="I26" s="314"/>
    </row>
    <row r="27" spans="2:12" s="293" customFormat="1">
      <c r="B27" s="307" t="str">
        <f>CONVENTIONS!K32</f>
        <v>IMP</v>
      </c>
      <c r="C27" s="307" t="str">
        <f>CONVENTIONS!E32</f>
        <v>IMPBIODST1G_S1</v>
      </c>
      <c r="D27" s="307" t="str">
        <f>CONVENTIONS!F32</f>
        <v>Import of Biodiesel 1st generation  - Step 1</v>
      </c>
      <c r="E27" s="318" t="s">
        <v>10</v>
      </c>
      <c r="F27" s="295" t="s">
        <v>408</v>
      </c>
      <c r="G27" s="314"/>
      <c r="H27" s="324"/>
      <c r="I27" s="314"/>
    </row>
    <row r="28" spans="2:12" s="293" customFormat="1">
      <c r="B28" s="307" t="str">
        <f>CONVENTIONS!K33</f>
        <v>IMP</v>
      </c>
      <c r="C28" s="307" t="str">
        <f>CONVENTIONS!E33</f>
        <v>IMPBIODST1G_S2</v>
      </c>
      <c r="D28" s="307" t="str">
        <f>CONVENTIONS!F33</f>
        <v>Import of Biodiesel 1st generation  - Step 2</v>
      </c>
      <c r="E28" s="318" t="s">
        <v>10</v>
      </c>
      <c r="F28" s="295" t="s">
        <v>408</v>
      </c>
      <c r="G28" s="314"/>
      <c r="H28" s="324"/>
      <c r="I28" s="314"/>
    </row>
    <row r="29" spans="2:12" s="293" customFormat="1">
      <c r="B29" s="307" t="str">
        <f>CONVENTIONS!K34</f>
        <v>IMP</v>
      </c>
      <c r="C29" s="307" t="str">
        <f>CONVENTIONS!E34</f>
        <v>IMPBIODST1G_S3</v>
      </c>
      <c r="D29" s="307" t="str">
        <f>CONVENTIONS!F34</f>
        <v>Import of Biodiesel 1st generation  - Step 3</v>
      </c>
      <c r="E29" s="318" t="s">
        <v>10</v>
      </c>
      <c r="F29" s="295" t="s">
        <v>408</v>
      </c>
      <c r="G29" s="314"/>
      <c r="H29" s="324"/>
      <c r="I29" s="314"/>
    </row>
    <row r="30" spans="2:12" s="293" customFormat="1">
      <c r="B30" s="307" t="str">
        <f>CONVENTIONS!K35</f>
        <v>IMP</v>
      </c>
      <c r="C30" s="307" t="str">
        <f>CONVENTIONS!E35</f>
        <v>IMPBIODST1G_S4</v>
      </c>
      <c r="D30" s="307" t="str">
        <f>CONVENTIONS!F35</f>
        <v>Import of Biodiesel 1st generation  - Step 4</v>
      </c>
      <c r="E30" s="318" t="s">
        <v>10</v>
      </c>
      <c r="F30" s="295" t="s">
        <v>408</v>
      </c>
      <c r="G30" s="314"/>
      <c r="H30" s="324"/>
      <c r="I30" s="314"/>
    </row>
    <row r="31" spans="2:12" s="293" customFormat="1">
      <c r="B31" s="342" t="str">
        <f>CONVENTIONS!K37</f>
        <v>IMP</v>
      </c>
      <c r="C31" s="342" t="str">
        <f>CONVENTIONS!E36</f>
        <v>IMPBIOJKR_S1</v>
      </c>
      <c r="D31" s="342" t="str">
        <f>CONVENTIONS!F36</f>
        <v>Import of Bio Jet Kerosene - Step 1</v>
      </c>
      <c r="E31" s="343" t="s">
        <v>10</v>
      </c>
      <c r="F31" s="340" t="s">
        <v>408</v>
      </c>
      <c r="G31" s="314"/>
      <c r="H31" s="324"/>
      <c r="I31" s="314"/>
    </row>
    <row r="32" spans="2:12" s="293" customFormat="1">
      <c r="B32" s="307" t="str">
        <f>CONVENTIONS!K37</f>
        <v>IMP</v>
      </c>
      <c r="C32" s="307" t="str">
        <f>CONVENTIONS!E37</f>
        <v>IMPBIOWPE_S1</v>
      </c>
      <c r="D32" s="307" t="str">
        <f>CONVENTIONS!F37</f>
        <v>Import of Wood Pellets  - Step 1</v>
      </c>
      <c r="E32" s="318" t="s">
        <v>10</v>
      </c>
      <c r="F32" s="295" t="s">
        <v>408</v>
      </c>
      <c r="G32" s="314"/>
      <c r="H32" s="324"/>
      <c r="I32" s="314"/>
    </row>
    <row r="33" spans="2:22" s="293" customFormat="1">
      <c r="B33" s="307" t="str">
        <f>CONVENTIONS!K38</f>
        <v>IMP</v>
      </c>
      <c r="C33" s="307" t="str">
        <f>CONVENTIONS!E38</f>
        <v>IMPBIOWPE_S2</v>
      </c>
      <c r="D33" s="307" t="str">
        <f>CONVENTIONS!F38</f>
        <v>Import of Wood Pellets  - Step 2</v>
      </c>
      <c r="E33" s="321" t="s">
        <v>10</v>
      </c>
      <c r="F33" s="295" t="s">
        <v>408</v>
      </c>
      <c r="G33" s="314"/>
      <c r="H33" s="324"/>
      <c r="I33" s="314"/>
    </row>
    <row r="34" spans="2:22" s="293" customFormat="1">
      <c r="B34" s="307" t="str">
        <f>CONVENTIONS!K39</f>
        <v>IMP</v>
      </c>
      <c r="C34" s="307" t="str">
        <f>CONVENTIONS!E39</f>
        <v>IMPBIOWPE_S3</v>
      </c>
      <c r="D34" s="307" t="str">
        <f>CONVENTIONS!F39</f>
        <v>Import of Wood Pellets  - Step 3</v>
      </c>
      <c r="E34" s="318" t="s">
        <v>10</v>
      </c>
      <c r="F34" s="295" t="s">
        <v>408</v>
      </c>
      <c r="G34" s="314"/>
      <c r="H34" s="324"/>
      <c r="I34" s="314"/>
      <c r="K34"/>
      <c r="L34"/>
      <c r="M34"/>
      <c r="N34"/>
      <c r="O34"/>
      <c r="P34"/>
      <c r="Q34"/>
      <c r="R34"/>
      <c r="S34"/>
      <c r="T34"/>
      <c r="U34"/>
      <c r="V34"/>
    </row>
    <row r="35" spans="2:22" s="293" customFormat="1">
      <c r="B35" s="307" t="str">
        <f>CONVENTIONS!K40</f>
        <v>IMP</v>
      </c>
      <c r="C35" s="307" t="str">
        <f>CONVENTIONS!E40</f>
        <v>IMPBIOWPE_S4</v>
      </c>
      <c r="D35" s="307" t="str">
        <f>CONVENTIONS!F40</f>
        <v>Import of Wood Pellets  - Step 4</v>
      </c>
      <c r="E35" s="321" t="s">
        <v>10</v>
      </c>
      <c r="F35" s="295" t="s">
        <v>408</v>
      </c>
      <c r="G35" s="315"/>
      <c r="H35" s="324"/>
      <c r="I35" s="315"/>
      <c r="K35"/>
      <c r="L35"/>
      <c r="M35"/>
      <c r="N35"/>
      <c r="O35"/>
      <c r="P35"/>
      <c r="Q35"/>
      <c r="R35"/>
      <c r="S35"/>
      <c r="T35"/>
      <c r="U35"/>
      <c r="V35"/>
    </row>
    <row r="36" spans="2:22" s="293" customFormat="1">
      <c r="B36" s="307" t="str">
        <f>CONVENTIONS!K41</f>
        <v>IMP</v>
      </c>
      <c r="C36" s="307" t="str">
        <f>CONVENTIONS!E41</f>
        <v>IMPBIOWCH_S1</v>
      </c>
      <c r="D36" s="307" t="str">
        <f>CONVENTIONS!F41</f>
        <v>Import of Wood Chip  - Step 1</v>
      </c>
      <c r="E36" s="315" t="s">
        <v>10</v>
      </c>
      <c r="F36" s="295" t="s">
        <v>408</v>
      </c>
      <c r="G36" s="315"/>
      <c r="H36" s="324"/>
      <c r="I36" s="315"/>
      <c r="K36"/>
      <c r="L36"/>
      <c r="M36"/>
      <c r="N36"/>
      <c r="O36"/>
      <c r="P36"/>
      <c r="Q36"/>
      <c r="R36"/>
      <c r="S36"/>
      <c r="T36"/>
      <c r="U36"/>
      <c r="V36"/>
    </row>
    <row r="37" spans="2:22" s="293" customFormat="1">
      <c r="B37" s="307" t="str">
        <f>CONVENTIONS!K42</f>
        <v>IMP</v>
      </c>
      <c r="C37" s="307" t="str">
        <f>CONVENTIONS!E42</f>
        <v>IMPBIOWCH_S2</v>
      </c>
      <c r="D37" s="307" t="str">
        <f>CONVENTIONS!F42</f>
        <v>Import of Wood Chip  - Step 2</v>
      </c>
      <c r="E37" s="321" t="s">
        <v>10</v>
      </c>
      <c r="F37" s="295" t="s">
        <v>408</v>
      </c>
      <c r="G37" s="315"/>
      <c r="H37" s="324"/>
      <c r="I37" s="315"/>
      <c r="K37"/>
      <c r="L37"/>
      <c r="M37"/>
      <c r="N37"/>
      <c r="O37"/>
      <c r="P37"/>
      <c r="Q37"/>
      <c r="R37"/>
      <c r="S37"/>
      <c r="T37"/>
      <c r="U37"/>
      <c r="V37"/>
    </row>
    <row r="38" spans="2:22">
      <c r="B38" s="307" t="str">
        <f>CONVENTIONS!K43</f>
        <v>IMP</v>
      </c>
      <c r="C38" s="307" t="str">
        <f>CONVENTIONS!E43</f>
        <v>IMPBIOWCH_S3</v>
      </c>
      <c r="D38" s="307" t="str">
        <f>CONVENTIONS!F43</f>
        <v>Import of Wood Chip  - Step 3</v>
      </c>
      <c r="E38" s="321" t="s">
        <v>10</v>
      </c>
      <c r="F38" s="295" t="s">
        <v>408</v>
      </c>
      <c r="G38" s="315"/>
      <c r="H38" s="324"/>
      <c r="I38" s="315"/>
      <c r="J38" s="293"/>
    </row>
    <row r="39" spans="2:22" s="293" customFormat="1">
      <c r="B39" s="307" t="str">
        <f>CONVENTIONS!K44</f>
        <v>IMP</v>
      </c>
      <c r="C39" s="307" t="str">
        <f>CONVENTIONS!E44</f>
        <v>IMPBIOWCH_S4</v>
      </c>
      <c r="D39" s="307" t="str">
        <f>CONVENTIONS!F44</f>
        <v>Import of Wood Chip  - Step 4</v>
      </c>
      <c r="E39" s="321" t="s">
        <v>10</v>
      </c>
      <c r="F39" s="295" t="s">
        <v>408</v>
      </c>
      <c r="G39" s="315"/>
      <c r="H39" s="326"/>
      <c r="I39" s="315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2:22" s="293" customFormat="1">
      <c r="B40" s="305" t="s">
        <v>458</v>
      </c>
      <c r="C40" s="305"/>
      <c r="D40" s="306"/>
      <c r="E40" s="306"/>
      <c r="F40" s="306"/>
      <c r="G40" s="306"/>
      <c r="H40" s="306"/>
      <c r="I40" s="306"/>
      <c r="K40"/>
      <c r="L40"/>
      <c r="M40"/>
      <c r="N40"/>
      <c r="O40"/>
      <c r="P40"/>
      <c r="Q40"/>
      <c r="R40"/>
      <c r="S40"/>
      <c r="T40"/>
      <c r="U40"/>
      <c r="V40"/>
    </row>
    <row r="41" spans="2:22" s="293" customFormat="1">
      <c r="B41" s="307" t="str">
        <f>CONVENTIONS!K45</f>
        <v>MIN</v>
      </c>
      <c r="C41" s="307" t="str">
        <f>CONVENTIONS!E45</f>
        <v>MINGASNAT_S1</v>
      </c>
      <c r="D41" s="307" t="str">
        <f>CONVENTIONS!F45</f>
        <v>Domestic Potential of Natural Gas  - Step 1</v>
      </c>
      <c r="E41" s="318" t="s">
        <v>10</v>
      </c>
      <c r="F41" s="295" t="s">
        <v>408</v>
      </c>
      <c r="G41" s="314" t="s">
        <v>73</v>
      </c>
      <c r="H41" s="324"/>
      <c r="I41" s="314"/>
      <c r="K41"/>
      <c r="L41"/>
      <c r="M41"/>
      <c r="N41"/>
      <c r="O41"/>
      <c r="P41"/>
      <c r="Q41"/>
      <c r="R41"/>
      <c r="S41"/>
      <c r="T41"/>
      <c r="U41"/>
      <c r="V41"/>
    </row>
    <row r="42" spans="2:22" s="293" customFormat="1">
      <c r="B42" s="307" t="str">
        <f>CONVENTIONS!K46</f>
        <v>MIN</v>
      </c>
      <c r="C42" s="307" t="str">
        <f>CONVENTIONS!E46</f>
        <v>MINGASNAT_S2</v>
      </c>
      <c r="D42" s="307" t="str">
        <f>CONVENTIONS!F46</f>
        <v>Domestic Potential of Natural Gas  - Step 2</v>
      </c>
      <c r="E42" s="318" t="s">
        <v>10</v>
      </c>
      <c r="F42" s="295" t="s">
        <v>408</v>
      </c>
      <c r="G42" s="314" t="s">
        <v>73</v>
      </c>
      <c r="H42" s="324"/>
      <c r="I42" s="314"/>
      <c r="K42"/>
      <c r="L42"/>
      <c r="M42"/>
      <c r="N42"/>
      <c r="O42"/>
      <c r="P42"/>
      <c r="Q42"/>
      <c r="R42"/>
      <c r="S42"/>
      <c r="T42"/>
      <c r="U42"/>
      <c r="V42"/>
    </row>
    <row r="43" spans="2:22" s="293" customFormat="1">
      <c r="B43" s="307" t="str">
        <f>CONVENTIONS!K47</f>
        <v>MIN</v>
      </c>
      <c r="C43" s="307" t="str">
        <f>CONVENTIONS!E47</f>
        <v>MINPEAT_S1</v>
      </c>
      <c r="D43" s="307" t="str">
        <f>CONVENTIONS!F47</f>
        <v>Domestic Potential of Peat  - Step 1</v>
      </c>
      <c r="E43" s="318" t="s">
        <v>10</v>
      </c>
      <c r="F43" s="295" t="s">
        <v>408</v>
      </c>
      <c r="G43" s="314"/>
      <c r="H43" s="324"/>
      <c r="I43" s="314"/>
      <c r="K43"/>
      <c r="L43"/>
      <c r="M43"/>
      <c r="N43"/>
      <c r="O43"/>
      <c r="P43"/>
      <c r="Q43"/>
      <c r="R43"/>
      <c r="S43"/>
      <c r="T43"/>
      <c r="U43"/>
      <c r="V43"/>
    </row>
    <row r="44" spans="2:22" s="293" customFormat="1">
      <c r="B44" s="307" t="str">
        <f>CONVENTIONS!K48</f>
        <v>MIN</v>
      </c>
      <c r="C44" s="307" t="str">
        <f>CONVENTIONS!E48</f>
        <v>MINPEAT_S2</v>
      </c>
      <c r="D44" s="307" t="str">
        <f>CONVENTIONS!F48</f>
        <v>Domestic Potential of Peat  - Step 2</v>
      </c>
      <c r="E44" s="321" t="s">
        <v>10</v>
      </c>
      <c r="F44" s="295" t="s">
        <v>408</v>
      </c>
      <c r="G44" s="314"/>
      <c r="H44" s="324"/>
      <c r="I44" s="314"/>
      <c r="K44"/>
      <c r="L44"/>
      <c r="M44"/>
      <c r="N44"/>
      <c r="O44"/>
      <c r="P44"/>
      <c r="Q44"/>
      <c r="R44"/>
      <c r="S44"/>
      <c r="T44"/>
      <c r="U44"/>
      <c r="V44"/>
    </row>
    <row r="45" spans="2:22" s="293" customFormat="1">
      <c r="B45" s="307" t="str">
        <f>CONVENTIONS!K49</f>
        <v>MIN</v>
      </c>
      <c r="C45" s="307" t="str">
        <f>CONVENTIONS!E49</f>
        <v>MINRENHYD</v>
      </c>
      <c r="D45" s="307" t="str">
        <f>CONVENTIONS!F49</f>
        <v xml:space="preserve">Domestic Potential of Hydro </v>
      </c>
      <c r="E45" s="318" t="s">
        <v>10</v>
      </c>
      <c r="F45" s="295" t="s">
        <v>408</v>
      </c>
      <c r="G45" s="314"/>
      <c r="H45" s="324"/>
      <c r="I45" s="314"/>
      <c r="K45"/>
      <c r="L45"/>
      <c r="M45"/>
      <c r="N45"/>
      <c r="O45"/>
      <c r="P45"/>
      <c r="Q45"/>
      <c r="R45"/>
      <c r="S45"/>
      <c r="T45"/>
      <c r="U45"/>
      <c r="V45"/>
    </row>
    <row r="46" spans="2:22" s="293" customFormat="1">
      <c r="B46" s="307" t="str">
        <f>CONVENTIONS!K50</f>
        <v>MIN</v>
      </c>
      <c r="C46" s="307" t="str">
        <f>CONVENTIONS!E50</f>
        <v>MINRENWIN</v>
      </c>
      <c r="D46" s="307" t="str">
        <f>CONVENTIONS!F50</f>
        <v xml:space="preserve">Domestic Potential of Wind </v>
      </c>
      <c r="E46" s="321" t="s">
        <v>10</v>
      </c>
      <c r="F46" s="295" t="s">
        <v>408</v>
      </c>
      <c r="G46" s="315"/>
      <c r="H46" s="324"/>
      <c r="I46" s="315"/>
    </row>
    <row r="47" spans="2:22" s="293" customFormat="1">
      <c r="B47" s="307" t="str">
        <f>CONVENTIONS!K51</f>
        <v>MIN</v>
      </c>
      <c r="C47" s="307" t="str">
        <f>CONVENTIONS!E51</f>
        <v>MINRENSOL</v>
      </c>
      <c r="D47" s="307" t="str">
        <f>CONVENTIONS!F51</f>
        <v xml:space="preserve">Domestic Potential of Solar </v>
      </c>
      <c r="E47" s="315" t="s">
        <v>10</v>
      </c>
      <c r="F47" s="295" t="s">
        <v>408</v>
      </c>
      <c r="G47" s="315"/>
      <c r="H47" s="324"/>
      <c r="I47" s="315"/>
    </row>
    <row r="48" spans="2:22" s="293" customFormat="1">
      <c r="B48" s="307" t="str">
        <f>CONVENTIONS!K52</f>
        <v>MIN</v>
      </c>
      <c r="C48" s="307" t="str">
        <f>CONVENTIONS!E52</f>
        <v>MINMSWAS</v>
      </c>
      <c r="D48" s="307" t="str">
        <f>CONVENTIONS!F52</f>
        <v xml:space="preserve">Domestic Potential of Municipal Solid Waste </v>
      </c>
      <c r="E48" s="321" t="s">
        <v>10</v>
      </c>
      <c r="F48" s="295" t="s">
        <v>408</v>
      </c>
      <c r="G48" s="315"/>
      <c r="H48" s="324"/>
      <c r="I48" s="315"/>
      <c r="L48"/>
      <c r="M48"/>
      <c r="N48"/>
      <c r="O48"/>
      <c r="P48"/>
      <c r="Q48"/>
      <c r="R48"/>
      <c r="S48"/>
    </row>
    <row r="49" spans="2:19" s="293" customFormat="1">
      <c r="B49" s="307" t="str">
        <f>CONVENTIONS!K53</f>
        <v>MIN</v>
      </c>
      <c r="C49" s="307" t="str">
        <f>CONVENTIONS!E53</f>
        <v>MINRENOCE</v>
      </c>
      <c r="D49" s="307" t="str">
        <f>CONVENTIONS!F53</f>
        <v xml:space="preserve">Domestic Potential of Ocean </v>
      </c>
      <c r="E49" s="321" t="s">
        <v>10</v>
      </c>
      <c r="F49" s="295" t="s">
        <v>408</v>
      </c>
      <c r="G49" s="315"/>
      <c r="H49" s="324"/>
      <c r="I49" s="315"/>
      <c r="L49"/>
      <c r="M49"/>
      <c r="N49"/>
      <c r="O49"/>
      <c r="P49"/>
      <c r="Q49"/>
      <c r="R49"/>
      <c r="S49"/>
    </row>
    <row r="50" spans="2:19">
      <c r="B50" s="307" t="str">
        <f>CONVENTIONS!K54</f>
        <v>MIN</v>
      </c>
      <c r="C50" s="307" t="str">
        <f>CONVENTIONS!E54</f>
        <v>MINRENGEO</v>
      </c>
      <c r="D50" s="307" t="str">
        <f>CONVENTIONS!F54</f>
        <v xml:space="preserve">Domestic Potential of Geothermal </v>
      </c>
      <c r="E50" s="321" t="s">
        <v>10</v>
      </c>
      <c r="F50" s="295" t="s">
        <v>408</v>
      </c>
      <c r="G50" s="315"/>
      <c r="H50" s="326"/>
      <c r="I50" s="315"/>
      <c r="J50" s="293"/>
    </row>
    <row r="51" spans="2:19">
      <c r="B51" s="307" t="str">
        <f>CONVENTIONS!K55</f>
        <v>MIN</v>
      </c>
      <c r="C51" s="307" t="str">
        <f>CONVENTIONS!E55</f>
        <v>MINBIOWOO1_S1</v>
      </c>
      <c r="D51" s="307" t="str">
        <f>CONVENTIONS!F55</f>
        <v>Domestic Potential of Sawmill residues - Step 1</v>
      </c>
      <c r="E51" s="321" t="s">
        <v>10</v>
      </c>
      <c r="F51" s="295" t="s">
        <v>408</v>
      </c>
      <c r="G51" s="295"/>
      <c r="H51" s="295"/>
      <c r="I51" s="295"/>
      <c r="L51" s="197"/>
      <c r="P51" s="197"/>
      <c r="Q51" s="197"/>
      <c r="R51" s="197"/>
      <c r="S51" s="197"/>
    </row>
    <row r="52" spans="2:19">
      <c r="B52" s="307" t="str">
        <f>CONVENTIONS!K56</f>
        <v>MIN</v>
      </c>
      <c r="C52" s="307" t="str">
        <f>CONVENTIONS!E56</f>
        <v>MINBIOWOO1_S2</v>
      </c>
      <c r="D52" s="307" t="str">
        <f>CONVENTIONS!F56</f>
        <v>Domestic Potential of Sawmill residues - Step 2</v>
      </c>
      <c r="E52" s="321" t="s">
        <v>10</v>
      </c>
      <c r="F52" s="295" t="s">
        <v>408</v>
      </c>
      <c r="G52" s="295"/>
      <c r="H52" s="295"/>
      <c r="I52" s="295"/>
      <c r="L52" s="39"/>
      <c r="P52" s="197"/>
      <c r="Q52" s="197"/>
      <c r="R52" s="197"/>
      <c r="S52" s="197"/>
    </row>
    <row r="53" spans="2:19">
      <c r="B53" s="307" t="str">
        <f>CONVENTIONS!K57</f>
        <v>MIN</v>
      </c>
      <c r="C53" s="307" t="str">
        <f>CONVENTIONS!E57</f>
        <v>MINBIOWOO1_S3</v>
      </c>
      <c r="D53" s="307" t="str">
        <f>CONVENTIONS!F57</f>
        <v>Domestic Potential of Sawmill residues - Step 3</v>
      </c>
      <c r="E53" s="321" t="s">
        <v>10</v>
      </c>
      <c r="F53" s="295" t="s">
        <v>408</v>
      </c>
      <c r="G53" s="295"/>
      <c r="H53" s="295"/>
      <c r="I53" s="295"/>
      <c r="L53" s="39"/>
      <c r="P53" s="197"/>
      <c r="Q53" s="197"/>
      <c r="R53" s="196"/>
      <c r="S53" s="196"/>
    </row>
    <row r="54" spans="2:19">
      <c r="B54" s="307" t="str">
        <f>CONVENTIONS!K58</f>
        <v>MIN</v>
      </c>
      <c r="C54" s="307" t="str">
        <f>CONVENTIONS!E58</f>
        <v>MINBIOWOO2_S1</v>
      </c>
      <c r="D54" s="307" t="str">
        <f>CONVENTIONS!F58</f>
        <v>Domestic Potential of Post-Consumer Recycled Wood - Step 1</v>
      </c>
      <c r="E54" s="321" t="s">
        <v>10</v>
      </c>
      <c r="F54" s="295" t="s">
        <v>408</v>
      </c>
      <c r="G54" s="295"/>
      <c r="H54" s="295"/>
      <c r="I54" s="295"/>
      <c r="L54" s="197"/>
      <c r="P54" s="197"/>
      <c r="Q54" s="197"/>
      <c r="R54" s="196"/>
      <c r="S54" s="196"/>
    </row>
    <row r="55" spans="2:19">
      <c r="B55" s="307" t="str">
        <f>CONVENTIONS!K59</f>
        <v>MIN</v>
      </c>
      <c r="C55" s="307" t="str">
        <f>CONVENTIONS!E59</f>
        <v>MINBIOWOO2_S2</v>
      </c>
      <c r="D55" s="307" t="str">
        <f>CONVENTIONS!F59</f>
        <v>Domestic Potential of Post-Consumer Recycled Wood - Step 2</v>
      </c>
      <c r="E55" s="321" t="s">
        <v>10</v>
      </c>
      <c r="F55" s="295" t="s">
        <v>408</v>
      </c>
      <c r="G55" s="295"/>
      <c r="H55" s="295"/>
      <c r="I55" s="295"/>
    </row>
    <row r="56" spans="2:19">
      <c r="B56" s="307" t="str">
        <f>CONVENTIONS!K60</f>
        <v>MIN</v>
      </c>
      <c r="C56" s="307" t="str">
        <f>CONVENTIONS!E60</f>
        <v>MINBIOWOO2_S3</v>
      </c>
      <c r="D56" s="307" t="str">
        <f>CONVENTIONS!F60</f>
        <v>Domestic Potential of Post-Consumer Recycled Wood - Step 3</v>
      </c>
      <c r="E56" s="321" t="s">
        <v>10</v>
      </c>
      <c r="F56" s="295" t="s">
        <v>408</v>
      </c>
      <c r="G56" s="295"/>
      <c r="H56" s="295"/>
      <c r="I56" s="295"/>
    </row>
    <row r="57" spans="2:19">
      <c r="B57" s="307" t="str">
        <f>CONVENTIONS!K61</f>
        <v>MIN</v>
      </c>
      <c r="C57" s="307" t="str">
        <f>CONVENTIONS!E61</f>
        <v>MINBIOWOO3_S1</v>
      </c>
      <c r="D57" s="307" t="str">
        <f>CONVENTIONS!F61</f>
        <v>Domestic Potential of Straw - Step 1</v>
      </c>
      <c r="E57" s="321" t="s">
        <v>10</v>
      </c>
      <c r="F57" s="295" t="s">
        <v>408</v>
      </c>
      <c r="G57" s="295"/>
      <c r="H57" s="295"/>
      <c r="I57" s="295"/>
    </row>
    <row r="58" spans="2:19">
      <c r="B58" s="307" t="str">
        <f>CONVENTIONS!K62</f>
        <v>MIN</v>
      </c>
      <c r="C58" s="307" t="str">
        <f>CONVENTIONS!E62</f>
        <v>MINBIOWOO3_S2</v>
      </c>
      <c r="D58" s="307" t="str">
        <f>CONVENTIONS!F62</f>
        <v>Domestic Potential of Straw - Step 2</v>
      </c>
      <c r="E58" s="321" t="s">
        <v>10</v>
      </c>
      <c r="F58" s="295" t="s">
        <v>408</v>
      </c>
      <c r="G58" s="295"/>
      <c r="H58" s="295"/>
      <c r="I58" s="295"/>
    </row>
    <row r="59" spans="2:19">
      <c r="B59" s="307" t="str">
        <f>CONVENTIONS!K63</f>
        <v>MIN</v>
      </c>
      <c r="C59" s="307" t="str">
        <f>CONVENTIONS!E63</f>
        <v>MINBIOWOO3_S3</v>
      </c>
      <c r="D59" s="307" t="str">
        <f>CONVENTIONS!F63</f>
        <v>Domestic Potential of Straw - Step 3</v>
      </c>
      <c r="E59" s="321" t="s">
        <v>10</v>
      </c>
      <c r="F59" s="295" t="s">
        <v>408</v>
      </c>
      <c r="G59" s="295"/>
      <c r="H59" s="295"/>
      <c r="I59" s="295"/>
    </row>
    <row r="60" spans="2:19">
      <c r="B60" s="307" t="str">
        <f>CONVENTIONS!K64</f>
        <v>MIN</v>
      </c>
      <c r="C60" s="307" t="str">
        <f>CONVENTIONS!E64</f>
        <v>MINBIOMSW1_S1</v>
      </c>
      <c r="D60" s="307" t="str">
        <f>CONVENTIONS!F64</f>
        <v>Domestic Potential of Biodegradable Municipal Solid Waste potential - Solid  - Step 1</v>
      </c>
      <c r="E60" s="321" t="s">
        <v>10</v>
      </c>
      <c r="F60" s="295" t="s">
        <v>408</v>
      </c>
      <c r="G60" s="295"/>
      <c r="H60" s="295"/>
      <c r="I60" s="295"/>
    </row>
    <row r="61" spans="2:19">
      <c r="B61" s="307" t="str">
        <f>CONVENTIONS!K65</f>
        <v>MIN</v>
      </c>
      <c r="C61" s="307" t="str">
        <f>CONVENTIONS!E65</f>
        <v>MINBIOMSW1_S2</v>
      </c>
      <c r="D61" s="307" t="str">
        <f>CONVENTIONS!F65</f>
        <v>Domestic Potential of Biodegradable Municipal Solid Waste potential - Solid  - Step 2</v>
      </c>
      <c r="E61" s="321" t="s">
        <v>10</v>
      </c>
      <c r="F61" s="295" t="s">
        <v>408</v>
      </c>
      <c r="G61" s="295"/>
      <c r="H61" s="295"/>
      <c r="I61" s="295"/>
    </row>
    <row r="62" spans="2:19">
      <c r="B62" s="307" t="str">
        <f>CONVENTIONS!K66</f>
        <v>MIN</v>
      </c>
      <c r="C62" s="307" t="str">
        <f>CONVENTIONS!E66</f>
        <v>MINBIOMSW1_S3</v>
      </c>
      <c r="D62" s="307" t="str">
        <f>CONVENTIONS!F66</f>
        <v>Domestic Potential of Biodegradable Municipal Solid Waste potential - Solid  - Step 3</v>
      </c>
      <c r="E62" s="321" t="s">
        <v>10</v>
      </c>
      <c r="F62" s="295" t="s">
        <v>408</v>
      </c>
      <c r="G62" s="295"/>
      <c r="H62" s="295"/>
      <c r="I62" s="295"/>
    </row>
    <row r="63" spans="2:19">
      <c r="B63" s="307" t="str">
        <f>CONVENTIONS!K67</f>
        <v>MIN</v>
      </c>
      <c r="C63" s="307" t="str">
        <f>CONVENTIONS!E67</f>
        <v>MINBIOMSW2_S1</v>
      </c>
      <c r="D63" s="307" t="str">
        <f>CONVENTIONS!F67</f>
        <v>Domestic Potential of Biodegradable Municipal Solid Waste  - Step 1</v>
      </c>
      <c r="E63" s="321" t="s">
        <v>10</v>
      </c>
      <c r="F63" s="295" t="s">
        <v>408</v>
      </c>
      <c r="G63" s="295"/>
      <c r="H63" s="295"/>
      <c r="I63" s="295"/>
    </row>
    <row r="64" spans="2:19">
      <c r="B64" s="307" t="str">
        <f>CONVENTIONS!K68</f>
        <v>MIN</v>
      </c>
      <c r="C64" s="307" t="str">
        <f>CONVENTIONS!E68</f>
        <v>MINBIOMSW2_S2</v>
      </c>
      <c r="D64" s="307" t="str">
        <f>CONVENTIONS!F68</f>
        <v>Domestic Potential of Biodegradable Municipal Solid Waste  - Step 2</v>
      </c>
      <c r="E64" s="321" t="s">
        <v>10</v>
      </c>
      <c r="F64" s="295" t="s">
        <v>408</v>
      </c>
      <c r="G64" s="295"/>
      <c r="H64" s="295"/>
      <c r="I64" s="295"/>
    </row>
    <row r="65" spans="2:9">
      <c r="B65" s="307" t="str">
        <f>CONVENTIONS!K69</f>
        <v>MIN</v>
      </c>
      <c r="C65" s="307" t="str">
        <f>CONVENTIONS!E69</f>
        <v>MINBIOMSW2_S3</v>
      </c>
      <c r="D65" s="307" t="str">
        <f>CONVENTIONS!F69</f>
        <v>Domestic Potential of Biodegradable Municipal Solid Waste  - Step 3</v>
      </c>
      <c r="E65" s="321" t="s">
        <v>10</v>
      </c>
      <c r="F65" s="295" t="s">
        <v>408</v>
      </c>
      <c r="G65" s="295"/>
      <c r="H65" s="295"/>
      <c r="I65" s="295"/>
    </row>
    <row r="66" spans="2:9">
      <c r="B66" s="307" t="str">
        <f>CONVENTIONS!K70</f>
        <v>MIN</v>
      </c>
      <c r="C66" s="307" t="str">
        <f>CONVENTIONS!E70</f>
        <v>MINBIOTLW_S1</v>
      </c>
      <c r="D66" s="307" t="str">
        <f>CONVENTIONS!F70</f>
        <v>Domestic Potential of Tallow  - Step 1</v>
      </c>
      <c r="E66" s="321" t="s">
        <v>10</v>
      </c>
      <c r="F66" s="295" t="s">
        <v>408</v>
      </c>
      <c r="G66" s="295"/>
      <c r="H66" s="295"/>
      <c r="I66" s="295"/>
    </row>
    <row r="67" spans="2:9">
      <c r="B67" s="307" t="str">
        <f>CONVENTIONS!K71</f>
        <v>MIN</v>
      </c>
      <c r="C67" s="307" t="str">
        <f>CONVENTIONS!E71</f>
        <v>MINBIOTLW_S2</v>
      </c>
      <c r="D67" s="307" t="str">
        <f>CONVENTIONS!F71</f>
        <v>Domestic Potential of Tallow  - Step 2</v>
      </c>
      <c r="E67" s="321" t="s">
        <v>10</v>
      </c>
      <c r="F67" s="295" t="s">
        <v>408</v>
      </c>
      <c r="G67" s="295"/>
      <c r="H67" s="295"/>
      <c r="I67" s="295"/>
    </row>
    <row r="68" spans="2:9">
      <c r="B68" s="307" t="str">
        <f>CONVENTIONS!K72</f>
        <v>MIN</v>
      </c>
      <c r="C68" s="307" t="str">
        <f>CONVENTIONS!E72</f>
        <v>MINBIOTLW_S3</v>
      </c>
      <c r="D68" s="307" t="str">
        <f>CONVENTIONS!F72</f>
        <v>Domestic Potential of Tallow  - Step 3</v>
      </c>
      <c r="E68" s="321" t="s">
        <v>10</v>
      </c>
      <c r="F68" s="295" t="s">
        <v>408</v>
      </c>
      <c r="G68" s="295"/>
      <c r="H68" s="295"/>
      <c r="I68" s="295"/>
    </row>
    <row r="69" spans="2:9">
      <c r="B69" s="307" t="str">
        <f>CONVENTIONS!K73</f>
        <v>MIN</v>
      </c>
      <c r="C69" s="307" t="str">
        <f>CONVENTIONS!E73</f>
        <v>MINBIORVO_S1</v>
      </c>
      <c r="D69" s="307" t="str">
        <f>CONVENTIONS!F73</f>
        <v>Domestic Potential of Recovered Vegetable Oil  - Step 1</v>
      </c>
      <c r="E69" s="321" t="s">
        <v>10</v>
      </c>
      <c r="F69" s="295" t="s">
        <v>408</v>
      </c>
      <c r="G69" s="295"/>
      <c r="H69" s="295"/>
      <c r="I69" s="295"/>
    </row>
    <row r="70" spans="2:9">
      <c r="B70" s="307" t="str">
        <f>CONVENTIONS!K74</f>
        <v>MIN</v>
      </c>
      <c r="C70" s="307" t="str">
        <f>CONVENTIONS!E74</f>
        <v>MINBIORVO_S2</v>
      </c>
      <c r="D70" s="307" t="str">
        <f>CONVENTIONS!F74</f>
        <v>Domestic Potential of Recovered Vegetable Oil  - Step 2</v>
      </c>
      <c r="E70" s="321" t="s">
        <v>10</v>
      </c>
      <c r="F70" s="295" t="s">
        <v>408</v>
      </c>
      <c r="G70" s="295"/>
      <c r="H70" s="295"/>
      <c r="I70" s="295"/>
    </row>
    <row r="71" spans="2:9">
      <c r="B71" s="307" t="str">
        <f>CONVENTIONS!K75</f>
        <v>MIN</v>
      </c>
      <c r="C71" s="307" t="str">
        <f>CONVENTIONS!E75</f>
        <v>MINBIORVO_S3</v>
      </c>
      <c r="D71" s="307" t="str">
        <f>CONVENTIONS!F75</f>
        <v>Domestic Potential of Recovered Vegetable Oil  - Step 3</v>
      </c>
      <c r="E71" s="321" t="s">
        <v>10</v>
      </c>
      <c r="F71" s="295" t="s">
        <v>408</v>
      </c>
      <c r="G71" s="295"/>
      <c r="H71" s="295"/>
      <c r="I71" s="295"/>
    </row>
    <row r="72" spans="2:9" s="293" customFormat="1">
      <c r="B72" s="342" t="str">
        <f>CONVENTIONS!K76</f>
        <v>MIN</v>
      </c>
      <c r="C72" s="342" t="str">
        <f>CONVENTIONS!E76</f>
        <v>MINBIOJKR_S1</v>
      </c>
      <c r="D72" s="342" t="str">
        <f>CONVENTIONS!F76</f>
        <v>Domestic Potential of Bio Jet Kerosene - Step 1</v>
      </c>
      <c r="E72" s="344" t="s">
        <v>10</v>
      </c>
      <c r="F72" s="340" t="s">
        <v>408</v>
      </c>
      <c r="G72" s="295"/>
      <c r="H72" s="295"/>
      <c r="I72" s="295"/>
    </row>
    <row r="73" spans="2:9">
      <c r="B73" s="307" t="str">
        <f>CONVENTIONS!K77</f>
        <v>MIN</v>
      </c>
      <c r="C73" s="307" t="str">
        <f>CONVENTIONS!E77</f>
        <v>MINBIOCATW_S1</v>
      </c>
      <c r="D73" s="307" t="str">
        <f>CONVENTIONS!F77</f>
        <v>Domestic Potential of Cattle Waste  - Step 1</v>
      </c>
      <c r="E73" s="321" t="s">
        <v>10</v>
      </c>
      <c r="F73" s="295" t="s">
        <v>408</v>
      </c>
      <c r="G73" s="295"/>
      <c r="H73" s="295"/>
      <c r="I73" s="295"/>
    </row>
    <row r="74" spans="2:9">
      <c r="B74" s="307" t="str">
        <f>CONVENTIONS!K78</f>
        <v>MIN</v>
      </c>
      <c r="C74" s="307" t="str">
        <f>CONVENTIONS!E78</f>
        <v>MINBIOCATW_S2</v>
      </c>
      <c r="D74" s="307" t="str">
        <f>CONVENTIONS!F78</f>
        <v>Domestic Potential of Cattle Waste  - Step 2</v>
      </c>
      <c r="E74" s="321" t="s">
        <v>10</v>
      </c>
      <c r="F74" s="295" t="s">
        <v>408</v>
      </c>
      <c r="G74" s="295"/>
      <c r="H74" s="295"/>
      <c r="I74" s="295"/>
    </row>
    <row r="75" spans="2:9">
      <c r="B75" s="307" t="str">
        <f>CONVENTIONS!K79</f>
        <v>MIN</v>
      </c>
      <c r="C75" s="307" t="str">
        <f>CONVENTIONS!E79</f>
        <v>MINBIOCATW_S3</v>
      </c>
      <c r="D75" s="307" t="str">
        <f>CONVENTIONS!F79</f>
        <v>Domestic Potential of Cattle Waste  - Step 3</v>
      </c>
      <c r="E75" s="321" t="s">
        <v>10</v>
      </c>
      <c r="F75" s="295" t="s">
        <v>408</v>
      </c>
      <c r="G75" s="295"/>
      <c r="H75" s="295"/>
      <c r="I75" s="295"/>
    </row>
    <row r="76" spans="2:9">
      <c r="B76" s="307" t="str">
        <f>CONVENTIONS!K80</f>
        <v>MIN</v>
      </c>
      <c r="C76" s="307" t="str">
        <f>CONVENTIONS!E80</f>
        <v>MINBIOPIGW_S1</v>
      </c>
      <c r="D76" s="307" t="str">
        <f>CONVENTIONS!F80</f>
        <v>Domestic Potential of Pig Waste  - Step 1</v>
      </c>
      <c r="E76" s="321" t="s">
        <v>10</v>
      </c>
      <c r="F76" s="295" t="s">
        <v>408</v>
      </c>
      <c r="G76" s="295"/>
      <c r="H76" s="295"/>
      <c r="I76" s="295"/>
    </row>
    <row r="77" spans="2:9">
      <c r="B77" s="307" t="str">
        <f>CONVENTIONS!K81</f>
        <v>MIN</v>
      </c>
      <c r="C77" s="307" t="str">
        <f>CONVENTIONS!E81</f>
        <v>MINBIOPIGW_S2</v>
      </c>
      <c r="D77" s="307" t="str">
        <f>CONVENTIONS!F81</f>
        <v>Domestic Potential of Pig Waste  - Step 2</v>
      </c>
      <c r="E77" s="321" t="s">
        <v>10</v>
      </c>
      <c r="F77" s="295" t="s">
        <v>408</v>
      </c>
      <c r="G77" s="295"/>
      <c r="H77" s="295"/>
      <c r="I77" s="295"/>
    </row>
    <row r="78" spans="2:9">
      <c r="B78" s="307" t="str">
        <f>CONVENTIONS!K82</f>
        <v>MIN</v>
      </c>
      <c r="C78" s="307" t="str">
        <f>CONVENTIONS!E82</f>
        <v>MINBIOPIGW_S3</v>
      </c>
      <c r="D78" s="307" t="str">
        <f>CONVENTIONS!F82</f>
        <v>Domestic Potential of Pig Waste  - Step 3</v>
      </c>
      <c r="E78" s="321" t="s">
        <v>10</v>
      </c>
      <c r="F78" s="295" t="s">
        <v>408</v>
      </c>
      <c r="G78" s="295"/>
      <c r="H78" s="295"/>
      <c r="I78" s="295"/>
    </row>
    <row r="79" spans="2:9">
      <c r="B79" s="307" t="str">
        <f>CONVENTIONS!K83</f>
        <v>MIN</v>
      </c>
      <c r="C79" s="307" t="str">
        <f>CONVENTIONS!E83</f>
        <v>MINBIOINDF_S1</v>
      </c>
      <c r="D79" s="307" t="str">
        <f>CONVENTIONS!F83</f>
        <v>Domestic Potential of Industrial Food Waste  - Step 1</v>
      </c>
      <c r="E79" s="321" t="s">
        <v>10</v>
      </c>
      <c r="F79" s="295" t="s">
        <v>408</v>
      </c>
      <c r="G79" s="295"/>
      <c r="H79" s="295"/>
      <c r="I79" s="295"/>
    </row>
    <row r="80" spans="2:9">
      <c r="B80" s="307" t="str">
        <f>CONVENTIONS!K84</f>
        <v>MIN</v>
      </c>
      <c r="C80" s="307" t="str">
        <f>CONVENTIONS!E84</f>
        <v>MINBIOINDF_S2</v>
      </c>
      <c r="D80" s="307" t="str">
        <f>CONVENTIONS!F84</f>
        <v>Domestic Potential of Industrial Food Waste  - Step 2</v>
      </c>
      <c r="E80" s="321" t="s">
        <v>10</v>
      </c>
      <c r="F80" s="295" t="s">
        <v>408</v>
      </c>
      <c r="G80" s="295"/>
      <c r="H80" s="295"/>
      <c r="I80" s="295"/>
    </row>
    <row r="81" spans="2:10" s="293" customFormat="1">
      <c r="B81" s="307" t="str">
        <f>CONVENTIONS!K85</f>
        <v>MIN</v>
      </c>
      <c r="C81" s="307" t="str">
        <f>CONVENTIONS!E85</f>
        <v>MINBIOINDF_S3</v>
      </c>
      <c r="D81" s="307" t="str">
        <f>CONVENTIONS!F85</f>
        <v>Domestic Potential of Industrial Food Waste  - Step 3</v>
      </c>
      <c r="E81" s="321" t="s">
        <v>10</v>
      </c>
      <c r="F81" s="295" t="s">
        <v>408</v>
      </c>
      <c r="G81" s="295"/>
      <c r="H81" s="295"/>
      <c r="I81" s="295"/>
      <c r="J81"/>
    </row>
    <row r="82" spans="2:10" s="293" customFormat="1">
      <c r="B82" s="307" t="str">
        <f>CONVENTIONS!K86</f>
        <v>MIN</v>
      </c>
      <c r="C82" s="307" t="str">
        <f>CONVENTIONS!E86</f>
        <v>MINCYC</v>
      </c>
      <c r="D82" s="307" t="str">
        <f>CONVENTIONS!F86</f>
        <v>Domestic Potential of Cycling</v>
      </c>
      <c r="E82" s="321" t="s">
        <v>10</v>
      </c>
      <c r="F82" s="295" t="s">
        <v>408</v>
      </c>
      <c r="G82" s="295"/>
      <c r="H82" s="295"/>
      <c r="I82" s="295"/>
    </row>
    <row r="83" spans="2:10" s="293" customFormat="1">
      <c r="B83" s="307" t="str">
        <f>CONVENTIONS!K87</f>
        <v>MIN</v>
      </c>
      <c r="C83" s="307" t="str">
        <f>CONVENTIONS!E87</f>
        <v>MINWLK</v>
      </c>
      <c r="D83" s="307" t="str">
        <f>CONVENTIONS!F87</f>
        <v>Domestic Potential of Walking</v>
      </c>
      <c r="E83" s="321" t="s">
        <v>10</v>
      </c>
      <c r="F83" s="295" t="s">
        <v>408</v>
      </c>
      <c r="G83" s="295"/>
      <c r="H83" s="295"/>
      <c r="I83" s="295"/>
    </row>
    <row r="84" spans="2:10" s="293" customFormat="1">
      <c r="B84" s="307" t="str">
        <f>CONVENTIONS!K88</f>
        <v>MIN</v>
      </c>
      <c r="C84" s="307" t="str">
        <f>CONVENTIONS!E88</f>
        <v>MINAMBHET</v>
      </c>
      <c r="D84" s="307" t="str">
        <f>CONVENTIONS!F88</f>
        <v>Domestic Potential of Ambient Heat</v>
      </c>
      <c r="E84" s="321" t="s">
        <v>10</v>
      </c>
      <c r="F84" s="295" t="s">
        <v>408</v>
      </c>
      <c r="G84" s="295"/>
      <c r="H84" s="295"/>
      <c r="I84" s="295"/>
    </row>
    <row r="85" spans="2:10">
      <c r="B85" s="307" t="str">
        <f>CONVENTIONS!K89</f>
        <v>IMP</v>
      </c>
      <c r="C85" s="307" t="str">
        <f>CONVENTIONS!E89</f>
        <v>IMPELC_UK</v>
      </c>
      <c r="D85" s="307" t="str">
        <f>CONVENTIONS!F89</f>
        <v>Import of Electricity - UK</v>
      </c>
      <c r="E85" s="321" t="s">
        <v>10</v>
      </c>
      <c r="F85" s="295" t="s">
        <v>408</v>
      </c>
      <c r="G85" s="295" t="s">
        <v>65</v>
      </c>
      <c r="H85" s="295"/>
      <c r="I85" s="295"/>
      <c r="J85" s="293"/>
    </row>
    <row r="86" spans="2:10">
      <c r="B86" s="307" t="str">
        <f>CONVENTIONS!K90</f>
        <v>EXP</v>
      </c>
      <c r="C86" s="307" t="str">
        <f>CONVENTIONS!E90</f>
        <v>EXPELC_UK</v>
      </c>
      <c r="D86" s="307" t="str">
        <f>CONVENTIONS!F90</f>
        <v>Export of Electricity - UK</v>
      </c>
      <c r="E86" s="321" t="s">
        <v>10</v>
      </c>
      <c r="F86" s="295" t="s">
        <v>408</v>
      </c>
      <c r="G86" s="295" t="s">
        <v>65</v>
      </c>
      <c r="H86" s="295"/>
      <c r="I86" s="295"/>
    </row>
    <row r="87" spans="2:10">
      <c r="B87" s="307" t="str">
        <f>CONVENTIONS!K91</f>
        <v>PRE</v>
      </c>
      <c r="C87" s="307" t="str">
        <f>CONVENTIONS!E91</f>
        <v>BDNBIOWOO</v>
      </c>
      <c r="D87" s="307" t="str">
        <f>CONVENTIONS!F91</f>
        <v xml:space="preserve">Blending of Biomass - generic </v>
      </c>
      <c r="E87" s="321" t="s">
        <v>10</v>
      </c>
      <c r="F87" s="295" t="s">
        <v>408</v>
      </c>
      <c r="G87" s="295"/>
      <c r="H87" s="326"/>
      <c r="I87" s="315"/>
    </row>
    <row r="88" spans="2:10">
      <c r="B88" s="307" t="str">
        <f>CONVENTIONS!K92</f>
        <v>PRE</v>
      </c>
      <c r="C88" s="307" t="str">
        <f>CONVENTIONS!E92</f>
        <v>SREFOILCRD_Whitegate</v>
      </c>
      <c r="D88" s="307" t="str">
        <f>CONVENTIONS!F92</f>
        <v>Refinery of Crude Oil  - Whitegate</v>
      </c>
      <c r="E88" s="321" t="s">
        <v>10</v>
      </c>
      <c r="F88" s="295" t="s">
        <v>408</v>
      </c>
      <c r="G88" s="315"/>
      <c r="H88" s="326" t="str">
        <f>Commodities!C11</f>
        <v>OILCRD</v>
      </c>
      <c r="I88" s="315"/>
    </row>
    <row r="89" spans="2:10">
      <c r="B89" s="301" t="s">
        <v>407</v>
      </c>
      <c r="C89" s="305"/>
      <c r="D89" s="306"/>
      <c r="E89" s="306"/>
      <c r="F89" s="306"/>
      <c r="G89" s="306"/>
      <c r="H89" s="306"/>
      <c r="I89" s="306"/>
    </row>
    <row r="90" spans="2:10">
      <c r="B90" s="307" t="str">
        <f>CONVENTIONS!K93</f>
        <v>PRE</v>
      </c>
      <c r="C90" s="307" t="str">
        <f>CONVENTIONS!E93</f>
        <v>FT-SUPNGA</v>
      </c>
      <c r="D90" s="307" t="str">
        <f>CONVENTIONS!F93</f>
        <v>Fuel Tech - Natural Gas (SUP)</v>
      </c>
      <c r="E90" s="283" t="s">
        <v>10</v>
      </c>
      <c r="F90" s="295" t="s">
        <v>408</v>
      </c>
      <c r="G90" s="315" t="s">
        <v>73</v>
      </c>
      <c r="H90" s="326"/>
      <c r="I90" s="315"/>
    </row>
    <row r="91" spans="2:10">
      <c r="B91" s="307" t="str">
        <f>CONVENTIONS!K94</f>
        <v>PRE</v>
      </c>
      <c r="C91" s="307" t="str">
        <f>CONVENTIONS!E94</f>
        <v>FT-SUPCOA</v>
      </c>
      <c r="D91" s="307" t="str">
        <f>CONVENTIONS!F94</f>
        <v>Fuel Tech - Coal (SUP)</v>
      </c>
      <c r="E91" s="329" t="s">
        <v>10</v>
      </c>
      <c r="F91" s="295" t="s">
        <v>408</v>
      </c>
      <c r="G91" s="308"/>
      <c r="H91" s="308"/>
      <c r="I91" s="308"/>
    </row>
    <row r="92" spans="2:10">
      <c r="B92" s="307" t="str">
        <f>CONVENTIONS!K95</f>
        <v>PRE</v>
      </c>
      <c r="C92" s="307" t="str">
        <f>CONVENTIONS!E95</f>
        <v>FT-SUPWAS</v>
      </c>
      <c r="D92" s="307" t="str">
        <f>CONVENTIONS!F95</f>
        <v>Fuel Tech - Waste (SUP)</v>
      </c>
      <c r="E92" s="329" t="s">
        <v>10</v>
      </c>
      <c r="F92" s="295" t="s">
        <v>408</v>
      </c>
      <c r="G92" s="308"/>
      <c r="H92" s="308"/>
      <c r="I92" s="308"/>
    </row>
    <row r="93" spans="2:10">
      <c r="B93" s="307" t="str">
        <f>CONVENTIONS!K96</f>
        <v>PRE</v>
      </c>
      <c r="C93" s="307" t="str">
        <f>CONVENTIONS!E96</f>
        <v>FT-SUPBIO</v>
      </c>
      <c r="D93" s="307" t="str">
        <f>CONVENTIONS!F96</f>
        <v>Fuel Tech - Biomass (SUP)</v>
      </c>
      <c r="E93" s="329" t="s">
        <v>10</v>
      </c>
      <c r="F93" s="295" t="s">
        <v>408</v>
      </c>
      <c r="G93" s="308"/>
      <c r="H93" s="308"/>
      <c r="I93" s="308"/>
    </row>
    <row r="94" spans="2:10">
      <c r="B94" s="307" t="str">
        <f>CONVENTIONS!K97</f>
        <v>PRE</v>
      </c>
      <c r="C94" s="307" t="str">
        <f>CONVENTIONS!E97</f>
        <v>FT-SUPELC</v>
      </c>
      <c r="D94" s="307" t="str">
        <f>CONVENTIONS!F97</f>
        <v>Fuel Tech - Electricity (SUP)</v>
      </c>
      <c r="E94" s="283" t="s">
        <v>10</v>
      </c>
      <c r="F94" s="295" t="s">
        <v>408</v>
      </c>
      <c r="G94" s="308" t="s">
        <v>65</v>
      </c>
      <c r="H94" s="308"/>
      <c r="I94" s="30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577-4D89-4799-9E6A-0D10D8F4A4E3}">
  <sheetPr codeName="Sheet4"/>
  <dimension ref="B1:R14"/>
  <sheetViews>
    <sheetView workbookViewId="0">
      <selection activeCell="G13" sqref="G13"/>
    </sheetView>
  </sheetViews>
  <sheetFormatPr defaultRowHeight="15"/>
  <cols>
    <col min="1" max="1" width="9.140625" style="274"/>
    <col min="2" max="2" width="14.7109375" style="274" customWidth="1"/>
    <col min="3" max="3" width="26" style="274" bestFit="1" customWidth="1"/>
    <col min="4" max="4" width="11.140625" style="274" bestFit="1" customWidth="1"/>
    <col min="5" max="7" width="9.140625" style="274"/>
    <col min="8" max="8" width="10.28515625" style="274" bestFit="1" customWidth="1"/>
    <col min="9" max="9" width="8.85546875" style="258" bestFit="1" customWidth="1"/>
    <col min="10" max="10" width="16.85546875" style="274" customWidth="1"/>
    <col min="11" max="11" width="9.140625" style="274"/>
    <col min="12" max="12" width="11.28515625" style="274" bestFit="1" customWidth="1"/>
    <col min="13" max="13" width="14.7109375" style="274" bestFit="1" customWidth="1"/>
    <col min="14" max="14" width="37" style="274" bestFit="1" customWidth="1"/>
    <col min="15" max="16" width="9.85546875" style="274" customWidth="1"/>
    <col min="17" max="261" width="9.140625" style="274"/>
    <col min="262" max="262" width="10.5703125" style="274" bestFit="1" customWidth="1"/>
    <col min="263" max="263" width="14.85546875" style="274" bestFit="1" customWidth="1"/>
    <col min="264" max="264" width="11.140625" style="274" bestFit="1" customWidth="1"/>
    <col min="265" max="517" width="9.140625" style="274"/>
    <col min="518" max="518" width="10.5703125" style="274" bestFit="1" customWidth="1"/>
    <col min="519" max="519" width="14.85546875" style="274" bestFit="1" customWidth="1"/>
    <col min="520" max="520" width="11.140625" style="274" bestFit="1" customWidth="1"/>
    <col min="521" max="773" width="9.140625" style="274"/>
    <col min="774" max="774" width="10.5703125" style="274" bestFit="1" customWidth="1"/>
    <col min="775" max="775" width="14.85546875" style="274" bestFit="1" customWidth="1"/>
    <col min="776" max="776" width="11.140625" style="274" bestFit="1" customWidth="1"/>
    <col min="777" max="1029" width="9.140625" style="274"/>
    <col min="1030" max="1030" width="10.5703125" style="274" bestFit="1" customWidth="1"/>
    <col min="1031" max="1031" width="14.85546875" style="274" bestFit="1" customWidth="1"/>
    <col min="1032" max="1032" width="11.140625" style="274" bestFit="1" customWidth="1"/>
    <col min="1033" max="1285" width="9.140625" style="274"/>
    <col min="1286" max="1286" width="10.5703125" style="274" bestFit="1" customWidth="1"/>
    <col min="1287" max="1287" width="14.85546875" style="274" bestFit="1" customWidth="1"/>
    <col min="1288" max="1288" width="11.140625" style="274" bestFit="1" customWidth="1"/>
    <col min="1289" max="1541" width="9.140625" style="274"/>
    <col min="1542" max="1542" width="10.5703125" style="274" bestFit="1" customWidth="1"/>
    <col min="1543" max="1543" width="14.85546875" style="274" bestFit="1" customWidth="1"/>
    <col min="1544" max="1544" width="11.140625" style="274" bestFit="1" customWidth="1"/>
    <col min="1545" max="1797" width="9.140625" style="274"/>
    <col min="1798" max="1798" width="10.5703125" style="274" bestFit="1" customWidth="1"/>
    <col min="1799" max="1799" width="14.85546875" style="274" bestFit="1" customWidth="1"/>
    <col min="1800" max="1800" width="11.140625" style="274" bestFit="1" customWidth="1"/>
    <col min="1801" max="2053" width="9.140625" style="274"/>
    <col min="2054" max="2054" width="10.5703125" style="274" bestFit="1" customWidth="1"/>
    <col min="2055" max="2055" width="14.85546875" style="274" bestFit="1" customWidth="1"/>
    <col min="2056" max="2056" width="11.140625" style="274" bestFit="1" customWidth="1"/>
    <col min="2057" max="2309" width="9.140625" style="274"/>
    <col min="2310" max="2310" width="10.5703125" style="274" bestFit="1" customWidth="1"/>
    <col min="2311" max="2311" width="14.85546875" style="274" bestFit="1" customWidth="1"/>
    <col min="2312" max="2312" width="11.140625" style="274" bestFit="1" customWidth="1"/>
    <col min="2313" max="2565" width="9.140625" style="274"/>
    <col min="2566" max="2566" width="10.5703125" style="274" bestFit="1" customWidth="1"/>
    <col min="2567" max="2567" width="14.85546875" style="274" bestFit="1" customWidth="1"/>
    <col min="2568" max="2568" width="11.140625" style="274" bestFit="1" customWidth="1"/>
    <col min="2569" max="2821" width="9.140625" style="274"/>
    <col min="2822" max="2822" width="10.5703125" style="274" bestFit="1" customWidth="1"/>
    <col min="2823" max="2823" width="14.85546875" style="274" bestFit="1" customWidth="1"/>
    <col min="2824" max="2824" width="11.140625" style="274" bestFit="1" customWidth="1"/>
    <col min="2825" max="3077" width="9.140625" style="274"/>
    <col min="3078" max="3078" width="10.5703125" style="274" bestFit="1" customWidth="1"/>
    <col min="3079" max="3079" width="14.85546875" style="274" bestFit="1" customWidth="1"/>
    <col min="3080" max="3080" width="11.140625" style="274" bestFit="1" customWidth="1"/>
    <col min="3081" max="3333" width="9.140625" style="274"/>
    <col min="3334" max="3334" width="10.5703125" style="274" bestFit="1" customWidth="1"/>
    <col min="3335" max="3335" width="14.85546875" style="274" bestFit="1" customWidth="1"/>
    <col min="3336" max="3336" width="11.140625" style="274" bestFit="1" customWidth="1"/>
    <col min="3337" max="3589" width="9.140625" style="274"/>
    <col min="3590" max="3590" width="10.5703125" style="274" bestFit="1" customWidth="1"/>
    <col min="3591" max="3591" width="14.85546875" style="274" bestFit="1" customWidth="1"/>
    <col min="3592" max="3592" width="11.140625" style="274" bestFit="1" customWidth="1"/>
    <col min="3593" max="3845" width="9.140625" style="274"/>
    <col min="3846" max="3846" width="10.5703125" style="274" bestFit="1" customWidth="1"/>
    <col min="3847" max="3847" width="14.85546875" style="274" bestFit="1" customWidth="1"/>
    <col min="3848" max="3848" width="11.140625" style="274" bestFit="1" customWidth="1"/>
    <col min="3849" max="4101" width="9.140625" style="274"/>
    <col min="4102" max="4102" width="10.5703125" style="274" bestFit="1" customWidth="1"/>
    <col min="4103" max="4103" width="14.85546875" style="274" bestFit="1" customWidth="1"/>
    <col min="4104" max="4104" width="11.140625" style="274" bestFit="1" customWidth="1"/>
    <col min="4105" max="4357" width="9.140625" style="274"/>
    <col min="4358" max="4358" width="10.5703125" style="274" bestFit="1" customWidth="1"/>
    <col min="4359" max="4359" width="14.85546875" style="274" bestFit="1" customWidth="1"/>
    <col min="4360" max="4360" width="11.140625" style="274" bestFit="1" customWidth="1"/>
    <col min="4361" max="4613" width="9.140625" style="274"/>
    <col min="4614" max="4614" width="10.5703125" style="274" bestFit="1" customWidth="1"/>
    <col min="4615" max="4615" width="14.85546875" style="274" bestFit="1" customWidth="1"/>
    <col min="4616" max="4616" width="11.140625" style="274" bestFit="1" customWidth="1"/>
    <col min="4617" max="4869" width="9.140625" style="274"/>
    <col min="4870" max="4870" width="10.5703125" style="274" bestFit="1" customWidth="1"/>
    <col min="4871" max="4871" width="14.85546875" style="274" bestFit="1" customWidth="1"/>
    <col min="4872" max="4872" width="11.140625" style="274" bestFit="1" customWidth="1"/>
    <col min="4873" max="5125" width="9.140625" style="274"/>
    <col min="5126" max="5126" width="10.5703125" style="274" bestFit="1" customWidth="1"/>
    <col min="5127" max="5127" width="14.85546875" style="274" bestFit="1" customWidth="1"/>
    <col min="5128" max="5128" width="11.140625" style="274" bestFit="1" customWidth="1"/>
    <col min="5129" max="5381" width="9.140625" style="274"/>
    <col min="5382" max="5382" width="10.5703125" style="274" bestFit="1" customWidth="1"/>
    <col min="5383" max="5383" width="14.85546875" style="274" bestFit="1" customWidth="1"/>
    <col min="5384" max="5384" width="11.140625" style="274" bestFit="1" customWidth="1"/>
    <col min="5385" max="5637" width="9.140625" style="274"/>
    <col min="5638" max="5638" width="10.5703125" style="274" bestFit="1" customWidth="1"/>
    <col min="5639" max="5639" width="14.85546875" style="274" bestFit="1" customWidth="1"/>
    <col min="5640" max="5640" width="11.140625" style="274" bestFit="1" customWidth="1"/>
    <col min="5641" max="5893" width="9.140625" style="274"/>
    <col min="5894" max="5894" width="10.5703125" style="274" bestFit="1" customWidth="1"/>
    <col min="5895" max="5895" width="14.85546875" style="274" bestFit="1" customWidth="1"/>
    <col min="5896" max="5896" width="11.140625" style="274" bestFit="1" customWidth="1"/>
    <col min="5897" max="6149" width="9.140625" style="274"/>
    <col min="6150" max="6150" width="10.5703125" style="274" bestFit="1" customWidth="1"/>
    <col min="6151" max="6151" width="14.85546875" style="274" bestFit="1" customWidth="1"/>
    <col min="6152" max="6152" width="11.140625" style="274" bestFit="1" customWidth="1"/>
    <col min="6153" max="6405" width="9.140625" style="274"/>
    <col min="6406" max="6406" width="10.5703125" style="274" bestFit="1" customWidth="1"/>
    <col min="6407" max="6407" width="14.85546875" style="274" bestFit="1" customWidth="1"/>
    <col min="6408" max="6408" width="11.140625" style="274" bestFit="1" customWidth="1"/>
    <col min="6409" max="6661" width="9.140625" style="274"/>
    <col min="6662" max="6662" width="10.5703125" style="274" bestFit="1" customWidth="1"/>
    <col min="6663" max="6663" width="14.85546875" style="274" bestFit="1" customWidth="1"/>
    <col min="6664" max="6664" width="11.140625" style="274" bestFit="1" customWidth="1"/>
    <col min="6665" max="6917" width="9.140625" style="274"/>
    <col min="6918" max="6918" width="10.5703125" style="274" bestFit="1" customWidth="1"/>
    <col min="6919" max="6919" width="14.85546875" style="274" bestFit="1" customWidth="1"/>
    <col min="6920" max="6920" width="11.140625" style="274" bestFit="1" customWidth="1"/>
    <col min="6921" max="7173" width="9.140625" style="274"/>
    <col min="7174" max="7174" width="10.5703125" style="274" bestFit="1" customWidth="1"/>
    <col min="7175" max="7175" width="14.85546875" style="274" bestFit="1" customWidth="1"/>
    <col min="7176" max="7176" width="11.140625" style="274" bestFit="1" customWidth="1"/>
    <col min="7177" max="7429" width="9.140625" style="274"/>
    <col min="7430" max="7430" width="10.5703125" style="274" bestFit="1" customWidth="1"/>
    <col min="7431" max="7431" width="14.85546875" style="274" bestFit="1" customWidth="1"/>
    <col min="7432" max="7432" width="11.140625" style="274" bestFit="1" customWidth="1"/>
    <col min="7433" max="7685" width="9.140625" style="274"/>
    <col min="7686" max="7686" width="10.5703125" style="274" bestFit="1" customWidth="1"/>
    <col min="7687" max="7687" width="14.85546875" style="274" bestFit="1" customWidth="1"/>
    <col min="7688" max="7688" width="11.140625" style="274" bestFit="1" customWidth="1"/>
    <col min="7689" max="7941" width="9.140625" style="274"/>
    <col min="7942" max="7942" width="10.5703125" style="274" bestFit="1" customWidth="1"/>
    <col min="7943" max="7943" width="14.85546875" style="274" bestFit="1" customWidth="1"/>
    <col min="7944" max="7944" width="11.140625" style="274" bestFit="1" customWidth="1"/>
    <col min="7945" max="8197" width="9.140625" style="274"/>
    <col min="8198" max="8198" width="10.5703125" style="274" bestFit="1" customWidth="1"/>
    <col min="8199" max="8199" width="14.85546875" style="274" bestFit="1" customWidth="1"/>
    <col min="8200" max="8200" width="11.140625" style="274" bestFit="1" customWidth="1"/>
    <col min="8201" max="8453" width="9.140625" style="274"/>
    <col min="8454" max="8454" width="10.5703125" style="274" bestFit="1" customWidth="1"/>
    <col min="8455" max="8455" width="14.85546875" style="274" bestFit="1" customWidth="1"/>
    <col min="8456" max="8456" width="11.140625" style="274" bestFit="1" customWidth="1"/>
    <col min="8457" max="8709" width="9.140625" style="274"/>
    <col min="8710" max="8710" width="10.5703125" style="274" bestFit="1" customWidth="1"/>
    <col min="8711" max="8711" width="14.85546875" style="274" bestFit="1" customWidth="1"/>
    <col min="8712" max="8712" width="11.140625" style="274" bestFit="1" customWidth="1"/>
    <col min="8713" max="8965" width="9.140625" style="274"/>
    <col min="8966" max="8966" width="10.5703125" style="274" bestFit="1" customWidth="1"/>
    <col min="8967" max="8967" width="14.85546875" style="274" bestFit="1" customWidth="1"/>
    <col min="8968" max="8968" width="11.140625" style="274" bestFit="1" customWidth="1"/>
    <col min="8969" max="9221" width="9.140625" style="274"/>
    <col min="9222" max="9222" width="10.5703125" style="274" bestFit="1" customWidth="1"/>
    <col min="9223" max="9223" width="14.85546875" style="274" bestFit="1" customWidth="1"/>
    <col min="9224" max="9224" width="11.140625" style="274" bestFit="1" customWidth="1"/>
    <col min="9225" max="9477" width="9.140625" style="274"/>
    <col min="9478" max="9478" width="10.5703125" style="274" bestFit="1" customWidth="1"/>
    <col min="9479" max="9479" width="14.85546875" style="274" bestFit="1" customWidth="1"/>
    <col min="9480" max="9480" width="11.140625" style="274" bestFit="1" customWidth="1"/>
    <col min="9481" max="9733" width="9.140625" style="274"/>
    <col min="9734" max="9734" width="10.5703125" style="274" bestFit="1" customWidth="1"/>
    <col min="9735" max="9735" width="14.85546875" style="274" bestFit="1" customWidth="1"/>
    <col min="9736" max="9736" width="11.140625" style="274" bestFit="1" customWidth="1"/>
    <col min="9737" max="9989" width="9.140625" style="274"/>
    <col min="9990" max="9990" width="10.5703125" style="274" bestFit="1" customWidth="1"/>
    <col min="9991" max="9991" width="14.85546875" style="274" bestFit="1" customWidth="1"/>
    <col min="9992" max="9992" width="11.140625" style="274" bestFit="1" customWidth="1"/>
    <col min="9993" max="10245" width="9.140625" style="274"/>
    <col min="10246" max="10246" width="10.5703125" style="274" bestFit="1" customWidth="1"/>
    <col min="10247" max="10247" width="14.85546875" style="274" bestFit="1" customWidth="1"/>
    <col min="10248" max="10248" width="11.140625" style="274" bestFit="1" customWidth="1"/>
    <col min="10249" max="10501" width="9.140625" style="274"/>
    <col min="10502" max="10502" width="10.5703125" style="274" bestFit="1" customWidth="1"/>
    <col min="10503" max="10503" width="14.85546875" style="274" bestFit="1" customWidth="1"/>
    <col min="10504" max="10504" width="11.140625" style="274" bestFit="1" customWidth="1"/>
    <col min="10505" max="10757" width="9.140625" style="274"/>
    <col min="10758" max="10758" width="10.5703125" style="274" bestFit="1" customWidth="1"/>
    <col min="10759" max="10759" width="14.85546875" style="274" bestFit="1" customWidth="1"/>
    <col min="10760" max="10760" width="11.140625" style="274" bestFit="1" customWidth="1"/>
    <col min="10761" max="11013" width="9.140625" style="274"/>
    <col min="11014" max="11014" width="10.5703125" style="274" bestFit="1" customWidth="1"/>
    <col min="11015" max="11015" width="14.85546875" style="274" bestFit="1" customWidth="1"/>
    <col min="11016" max="11016" width="11.140625" style="274" bestFit="1" customWidth="1"/>
    <col min="11017" max="11269" width="9.140625" style="274"/>
    <col min="11270" max="11270" width="10.5703125" style="274" bestFit="1" customWidth="1"/>
    <col min="11271" max="11271" width="14.85546875" style="274" bestFit="1" customWidth="1"/>
    <col min="11272" max="11272" width="11.140625" style="274" bestFit="1" customWidth="1"/>
    <col min="11273" max="11525" width="9.140625" style="274"/>
    <col min="11526" max="11526" width="10.5703125" style="274" bestFit="1" customWidth="1"/>
    <col min="11527" max="11527" width="14.85546875" style="274" bestFit="1" customWidth="1"/>
    <col min="11528" max="11528" width="11.140625" style="274" bestFit="1" customWidth="1"/>
    <col min="11529" max="11781" width="9.140625" style="274"/>
    <col min="11782" max="11782" width="10.5703125" style="274" bestFit="1" customWidth="1"/>
    <col min="11783" max="11783" width="14.85546875" style="274" bestFit="1" customWidth="1"/>
    <col min="11784" max="11784" width="11.140625" style="274" bestFit="1" customWidth="1"/>
    <col min="11785" max="12037" width="9.140625" style="274"/>
    <col min="12038" max="12038" width="10.5703125" style="274" bestFit="1" customWidth="1"/>
    <col min="12039" max="12039" width="14.85546875" style="274" bestFit="1" customWidth="1"/>
    <col min="12040" max="12040" width="11.140625" style="274" bestFit="1" customWidth="1"/>
    <col min="12041" max="12293" width="9.140625" style="274"/>
    <col min="12294" max="12294" width="10.5703125" style="274" bestFit="1" customWidth="1"/>
    <col min="12295" max="12295" width="14.85546875" style="274" bestFit="1" customWidth="1"/>
    <col min="12296" max="12296" width="11.140625" style="274" bestFit="1" customWidth="1"/>
    <col min="12297" max="12549" width="9.140625" style="274"/>
    <col min="12550" max="12550" width="10.5703125" style="274" bestFit="1" customWidth="1"/>
    <col min="12551" max="12551" width="14.85546875" style="274" bestFit="1" customWidth="1"/>
    <col min="12552" max="12552" width="11.140625" style="274" bestFit="1" customWidth="1"/>
    <col min="12553" max="12805" width="9.140625" style="274"/>
    <col min="12806" max="12806" width="10.5703125" style="274" bestFit="1" customWidth="1"/>
    <col min="12807" max="12807" width="14.85546875" style="274" bestFit="1" customWidth="1"/>
    <col min="12808" max="12808" width="11.140625" style="274" bestFit="1" customWidth="1"/>
    <col min="12809" max="13061" width="9.140625" style="274"/>
    <col min="13062" max="13062" width="10.5703125" style="274" bestFit="1" customWidth="1"/>
    <col min="13063" max="13063" width="14.85546875" style="274" bestFit="1" customWidth="1"/>
    <col min="13064" max="13064" width="11.140625" style="274" bestFit="1" customWidth="1"/>
    <col min="13065" max="13317" width="9.140625" style="274"/>
    <col min="13318" max="13318" width="10.5703125" style="274" bestFit="1" customWidth="1"/>
    <col min="13319" max="13319" width="14.85546875" style="274" bestFit="1" customWidth="1"/>
    <col min="13320" max="13320" width="11.140625" style="274" bestFit="1" customWidth="1"/>
    <col min="13321" max="13573" width="9.140625" style="274"/>
    <col min="13574" max="13574" width="10.5703125" style="274" bestFit="1" customWidth="1"/>
    <col min="13575" max="13575" width="14.85546875" style="274" bestFit="1" customWidth="1"/>
    <col min="13576" max="13576" width="11.140625" style="274" bestFit="1" customWidth="1"/>
    <col min="13577" max="13829" width="9.140625" style="274"/>
    <col min="13830" max="13830" width="10.5703125" style="274" bestFit="1" customWidth="1"/>
    <col min="13831" max="13831" width="14.85546875" style="274" bestFit="1" customWidth="1"/>
    <col min="13832" max="13832" width="11.140625" style="274" bestFit="1" customWidth="1"/>
    <col min="13833" max="14085" width="9.140625" style="274"/>
    <col min="14086" max="14086" width="10.5703125" style="274" bestFit="1" customWidth="1"/>
    <col min="14087" max="14087" width="14.85546875" style="274" bestFit="1" customWidth="1"/>
    <col min="14088" max="14088" width="11.140625" style="274" bestFit="1" customWidth="1"/>
    <col min="14089" max="14341" width="9.140625" style="274"/>
    <col min="14342" max="14342" width="10.5703125" style="274" bestFit="1" customWidth="1"/>
    <col min="14343" max="14343" width="14.85546875" style="274" bestFit="1" customWidth="1"/>
    <col min="14344" max="14344" width="11.140625" style="274" bestFit="1" customWidth="1"/>
    <col min="14345" max="14597" width="9.140625" style="274"/>
    <col min="14598" max="14598" width="10.5703125" style="274" bestFit="1" customWidth="1"/>
    <col min="14599" max="14599" width="14.85546875" style="274" bestFit="1" customWidth="1"/>
    <col min="14600" max="14600" width="11.140625" style="274" bestFit="1" customWidth="1"/>
    <col min="14601" max="14853" width="9.140625" style="274"/>
    <col min="14854" max="14854" width="10.5703125" style="274" bestFit="1" customWidth="1"/>
    <col min="14855" max="14855" width="14.85546875" style="274" bestFit="1" customWidth="1"/>
    <col min="14856" max="14856" width="11.140625" style="274" bestFit="1" customWidth="1"/>
    <col min="14857" max="15109" width="9.140625" style="274"/>
    <col min="15110" max="15110" width="10.5703125" style="274" bestFit="1" customWidth="1"/>
    <col min="15111" max="15111" width="14.85546875" style="274" bestFit="1" customWidth="1"/>
    <col min="15112" max="15112" width="11.140625" style="274" bestFit="1" customWidth="1"/>
    <col min="15113" max="15365" width="9.140625" style="274"/>
    <col min="15366" max="15366" width="10.5703125" style="274" bestFit="1" customWidth="1"/>
    <col min="15367" max="15367" width="14.85546875" style="274" bestFit="1" customWidth="1"/>
    <col min="15368" max="15368" width="11.140625" style="274" bestFit="1" customWidth="1"/>
    <col min="15369" max="15621" width="9.140625" style="274"/>
    <col min="15622" max="15622" width="10.5703125" style="274" bestFit="1" customWidth="1"/>
    <col min="15623" max="15623" width="14.85546875" style="274" bestFit="1" customWidth="1"/>
    <col min="15624" max="15624" width="11.140625" style="274" bestFit="1" customWidth="1"/>
    <col min="15625" max="15877" width="9.140625" style="274"/>
    <col min="15878" max="15878" width="10.5703125" style="274" bestFit="1" customWidth="1"/>
    <col min="15879" max="15879" width="14.85546875" style="274" bestFit="1" customWidth="1"/>
    <col min="15880" max="15880" width="11.140625" style="274" bestFit="1" customWidth="1"/>
    <col min="15881" max="16133" width="9.140625" style="274"/>
    <col min="16134" max="16134" width="10.5703125" style="274" bestFit="1" customWidth="1"/>
    <col min="16135" max="16135" width="14.85546875" style="274" bestFit="1" customWidth="1"/>
    <col min="16136" max="16136" width="11.140625" style="274" bestFit="1" customWidth="1"/>
    <col min="16137" max="16384" width="9.140625" style="274"/>
  </cols>
  <sheetData>
    <row r="1" spans="2:18" ht="18.75">
      <c r="B1" s="276" t="s">
        <v>274</v>
      </c>
      <c r="C1" s="277"/>
      <c r="D1" s="278"/>
      <c r="E1" s="278"/>
      <c r="I1" s="274"/>
    </row>
    <row r="3" spans="2:18">
      <c r="D3" s="2" t="s">
        <v>60</v>
      </c>
    </row>
    <row r="4" spans="2:18">
      <c r="B4" s="279" t="s">
        <v>2</v>
      </c>
      <c r="C4" s="279" t="s">
        <v>69</v>
      </c>
      <c r="D4" s="279" t="s">
        <v>40</v>
      </c>
      <c r="E4" s="280" t="s">
        <v>150</v>
      </c>
      <c r="F4" s="281" t="s">
        <v>181</v>
      </c>
      <c r="G4" s="280" t="s">
        <v>275</v>
      </c>
      <c r="H4" s="281" t="s">
        <v>485</v>
      </c>
      <c r="I4" s="281" t="s">
        <v>276</v>
      </c>
      <c r="J4" s="281" t="s">
        <v>277</v>
      </c>
    </row>
    <row r="5" spans="2:18" ht="15.75" thickBot="1">
      <c r="B5" s="282" t="s">
        <v>255</v>
      </c>
      <c r="C5" s="282"/>
      <c r="D5" s="282"/>
      <c r="E5" s="282"/>
      <c r="F5" s="282"/>
      <c r="G5" s="282"/>
      <c r="H5" s="282" t="s">
        <v>187</v>
      </c>
      <c r="I5" s="282" t="s">
        <v>278</v>
      </c>
      <c r="J5" s="282" t="s">
        <v>279</v>
      </c>
    </row>
    <row r="6" spans="2:18">
      <c r="B6" s="274" t="str">
        <f>Processes!C90</f>
        <v>FT-SUPNGA</v>
      </c>
      <c r="C6" s="274" t="str">
        <f>Commodities!C21</f>
        <v>GASNAT</v>
      </c>
      <c r="D6" s="274" t="str">
        <f>Commodities!C54</f>
        <v>SUPNGA</v>
      </c>
      <c r="E6" s="47">
        <v>1</v>
      </c>
      <c r="F6" s="47"/>
      <c r="G6" s="47"/>
      <c r="H6" s="193"/>
      <c r="J6" s="47"/>
    </row>
    <row r="7" spans="2:18">
      <c r="B7" s="274" t="str">
        <f>Processes!C91</f>
        <v>FT-SUPCOA</v>
      </c>
      <c r="C7" s="274" t="str">
        <f>Commodities!C7</f>
        <v>COAHAR</v>
      </c>
      <c r="D7" s="274" t="str">
        <f>Commodities!C53</f>
        <v>SUPCOA</v>
      </c>
      <c r="E7" s="47">
        <v>1</v>
      </c>
      <c r="F7" s="47"/>
      <c r="G7" s="47"/>
      <c r="H7" s="193"/>
      <c r="J7" s="47"/>
    </row>
    <row r="8" spans="2:18">
      <c r="B8" s="274" t="str">
        <f>Processes!C92</f>
        <v>FT-SUPWAS</v>
      </c>
      <c r="C8" s="274" t="str">
        <f>Commodities!C27</f>
        <v>MSWAS</v>
      </c>
      <c r="D8" s="274" t="str">
        <f>Commodities!C57</f>
        <v>SUPWAS</v>
      </c>
      <c r="E8" s="47">
        <v>1</v>
      </c>
      <c r="F8" s="47"/>
      <c r="G8" s="47"/>
      <c r="H8" s="193"/>
      <c r="J8" s="47"/>
    </row>
    <row r="9" spans="2:18">
      <c r="B9" s="274" t="str">
        <f>Processes!C93</f>
        <v>FT-SUPBIO</v>
      </c>
      <c r="C9" s="274" t="str">
        <f>_xlfn.TEXTJOIN(", ",TRUE,Commodities!C37,Commodities!C41,Commodities!C42)</f>
        <v>BIOWOO, BIOWPE, BIOWCH</v>
      </c>
      <c r="D9" s="274" t="str">
        <f>Commodities!C55</f>
        <v>SUPBIO</v>
      </c>
      <c r="E9" s="47">
        <v>1</v>
      </c>
      <c r="F9" s="47"/>
      <c r="G9" s="47"/>
      <c r="H9" s="193"/>
      <c r="J9" s="47"/>
    </row>
    <row r="10" spans="2:18">
      <c r="B10" s="274" t="str">
        <f>Processes!C94</f>
        <v>FT-SUPELC</v>
      </c>
      <c r="C10" s="274" t="s">
        <v>70</v>
      </c>
      <c r="D10" s="274" t="str">
        <f>Commodities!C56</f>
        <v>SUPELC</v>
      </c>
      <c r="E10" s="47">
        <v>1</v>
      </c>
      <c r="F10" s="47"/>
      <c r="G10" s="47"/>
      <c r="H10" s="193"/>
      <c r="J10" s="47"/>
    </row>
    <row r="11" spans="2:18">
      <c r="E11" s="47"/>
      <c r="F11" s="47"/>
      <c r="G11" s="47"/>
      <c r="H11" s="193"/>
      <c r="J11" s="47"/>
      <c r="L11" s="258"/>
      <c r="M11" s="258"/>
      <c r="N11" s="273"/>
      <c r="O11" s="283"/>
      <c r="P11" s="283"/>
      <c r="Q11" s="283"/>
      <c r="R11" s="269"/>
    </row>
    <row r="12" spans="2:18">
      <c r="E12" s="47"/>
      <c r="F12" s="47"/>
      <c r="G12" s="284"/>
      <c r="H12" s="193"/>
      <c r="J12" s="284"/>
      <c r="L12" s="258"/>
      <c r="M12" s="258"/>
      <c r="N12" s="273"/>
      <c r="O12" s="283"/>
      <c r="P12" s="283"/>
      <c r="Q12" s="283"/>
      <c r="R12" s="269"/>
    </row>
    <row r="13" spans="2:18">
      <c r="F13" s="284"/>
      <c r="G13" s="284"/>
      <c r="H13" s="284"/>
      <c r="J13" s="284"/>
      <c r="L13" s="258"/>
      <c r="M13" s="258"/>
      <c r="N13" s="273"/>
      <c r="O13" s="283"/>
      <c r="P13" s="283"/>
      <c r="Q13" s="258"/>
      <c r="R13" s="269"/>
    </row>
    <row r="14" spans="2:18">
      <c r="E14" s="47"/>
      <c r="F14" s="47"/>
      <c r="G14" s="47"/>
      <c r="H14" s="193"/>
      <c r="J14" s="47"/>
      <c r="L14" s="258"/>
      <c r="M14" s="258"/>
      <c r="N14" s="273"/>
      <c r="O14" s="283"/>
      <c r="P14" s="283"/>
      <c r="Q14" s="283"/>
      <c r="R14" s="26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T62"/>
  <sheetViews>
    <sheetView zoomScaleNormal="100" workbookViewId="0">
      <selection activeCell="D1" sqref="D1"/>
    </sheetView>
  </sheetViews>
  <sheetFormatPr defaultColWidth="9.140625" defaultRowHeight="15"/>
  <cols>
    <col min="1" max="1" width="9.140625" style="42"/>
    <col min="2" max="2" width="23.5703125" style="42" bestFit="1" customWidth="1"/>
    <col min="3" max="3" width="34.140625" style="42" bestFit="1" customWidth="1"/>
    <col min="4" max="4" width="10.85546875" style="42" bestFit="1" customWidth="1"/>
    <col min="5" max="14" width="10.5703125" style="42" customWidth="1"/>
    <col min="15" max="21" width="9.140625" style="42"/>
    <col min="22" max="22" width="16" style="42" bestFit="1" customWidth="1"/>
    <col min="23" max="23" width="19.42578125" style="42" customWidth="1"/>
    <col min="24" max="24" width="38.5703125" style="42" bestFit="1" customWidth="1"/>
    <col min="25" max="16384" width="9.140625" style="42"/>
  </cols>
  <sheetData>
    <row r="2" spans="2:17" ht="18.75">
      <c r="B2" s="4" t="s">
        <v>101</v>
      </c>
      <c r="C2" s="5"/>
      <c r="D2" s="6" t="s">
        <v>194</v>
      </c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17">
      <c r="B3" s="8" t="s">
        <v>2</v>
      </c>
      <c r="C3" s="8" t="s">
        <v>3</v>
      </c>
      <c r="D3" s="22" t="s">
        <v>40</v>
      </c>
      <c r="E3" s="9" t="s">
        <v>42</v>
      </c>
      <c r="F3" s="9" t="s">
        <v>43</v>
      </c>
      <c r="G3" s="9" t="s">
        <v>45</v>
      </c>
      <c r="H3" s="9" t="s">
        <v>46</v>
      </c>
      <c r="I3" s="9" t="s">
        <v>47</v>
      </c>
      <c r="J3" s="110" t="s">
        <v>98</v>
      </c>
      <c r="K3" s="1"/>
      <c r="L3" s="1"/>
    </row>
    <row r="4" spans="2:17" ht="26.25" thickBot="1">
      <c r="B4" s="13" t="s">
        <v>48</v>
      </c>
      <c r="C4" s="13" t="s">
        <v>49</v>
      </c>
      <c r="D4" s="13" t="s">
        <v>50</v>
      </c>
      <c r="E4" s="10" t="s">
        <v>51</v>
      </c>
      <c r="F4" s="10" t="s">
        <v>51</v>
      </c>
      <c r="G4" s="10" t="s">
        <v>51</v>
      </c>
      <c r="H4" s="10" t="s">
        <v>51</v>
      </c>
      <c r="I4" s="10" t="s">
        <v>51</v>
      </c>
      <c r="J4" s="10"/>
      <c r="K4" s="3"/>
      <c r="L4" s="3"/>
    </row>
    <row r="5" spans="2:17">
      <c r="B5" s="11" t="str">
        <f>Processes!C11</f>
        <v>IMPOILCRD</v>
      </c>
      <c r="C5" s="3" t="str">
        <f>Processes!D11</f>
        <v xml:space="preserve">Import of Crude Oil </v>
      </c>
      <c r="D5" s="3" t="str">
        <f>Commodities!C11</f>
        <v>OILCRD</v>
      </c>
      <c r="E5" s="12">
        <f>Imports_Fossil!G31</f>
        <v>6.8347633154600382</v>
      </c>
      <c r="F5" s="12">
        <f>Imports_Fossil!L31</f>
        <v>10.989227291523985</v>
      </c>
      <c r="G5" s="12">
        <f>Imports_Fossil!M31</f>
        <v>17.019900805165197</v>
      </c>
      <c r="H5" s="12">
        <f>Imports_Fossil!N31</f>
        <v>19.566185177591485</v>
      </c>
      <c r="I5" s="12">
        <f>Imports_Fossil!O31</f>
        <v>22.493409731719346</v>
      </c>
      <c r="J5" s="111" t="s">
        <v>259</v>
      </c>
      <c r="K5" s="3"/>
      <c r="L5" s="1"/>
    </row>
    <row r="6" spans="2:17">
      <c r="B6" s="11" t="str">
        <f>Processes!C19</f>
        <v>IMPGASNAT_UK</v>
      </c>
      <c r="C6" s="11" t="str">
        <f>Processes!D19</f>
        <v>Import of Natural Gas  - UK</v>
      </c>
      <c r="D6" s="11" t="str">
        <f>Commodities!C21</f>
        <v>GASNAT</v>
      </c>
      <c r="E6" s="12">
        <f>Imports_Fossil!G32</f>
        <v>5.6772421955803125</v>
      </c>
      <c r="F6" s="12">
        <f>Imports_Fossil!L32</f>
        <v>5.9205525753908965</v>
      </c>
      <c r="G6" s="12">
        <f>Imports_Fossil!M32</f>
        <v>9.0024840529916368</v>
      </c>
      <c r="H6" s="12">
        <f>Imports_Fossil!N32</f>
        <v>10.543449791792009</v>
      </c>
      <c r="I6" s="12">
        <f>Imports_Fossil!O32</f>
        <v>12.348184440837489</v>
      </c>
      <c r="J6" s="111" t="s">
        <v>259</v>
      </c>
      <c r="K6" s="3"/>
      <c r="L6" s="3"/>
    </row>
    <row r="7" spans="2:17">
      <c r="B7" s="108" t="str">
        <f>Processes!C8</f>
        <v>IMPCOAHAR</v>
      </c>
      <c r="C7" s="108" t="str">
        <f>Processes!D8</f>
        <v xml:space="preserve">Import of Hard Coal / Antracite </v>
      </c>
      <c r="D7" s="108" t="str">
        <f>Commodities!C7</f>
        <v>COAHAR</v>
      </c>
      <c r="E7" s="109">
        <f>Imports_Fossil!G33</f>
        <v>1.8332979002949681</v>
      </c>
      <c r="F7" s="109">
        <f>Imports_Fossil!L33</f>
        <v>2.0906028687574199</v>
      </c>
      <c r="G7" s="109">
        <f>Imports_Fossil!M33</f>
        <v>2.5730496846245168</v>
      </c>
      <c r="H7" s="109">
        <f>Imports_Fossil!N33</f>
        <v>2.8303546530869679</v>
      </c>
      <c r="I7" s="109">
        <f>Imports_Fossil!O33</f>
        <v>3.1133901183956652</v>
      </c>
      <c r="J7" s="112" t="s">
        <v>259</v>
      </c>
      <c r="K7" s="3"/>
      <c r="L7" s="3"/>
    </row>
    <row r="8" spans="2:17">
      <c r="B8" s="11" t="str">
        <f>Processes!C7</f>
        <v>IMPCOABIT</v>
      </c>
      <c r="C8" s="3" t="str">
        <f>Processes!D7</f>
        <v xml:space="preserve">Import of Bituminous Coal </v>
      </c>
      <c r="D8" s="3" t="str">
        <f>Commodities!C6</f>
        <v>COABIT</v>
      </c>
      <c r="E8" s="12">
        <f>E$7*$J$8</f>
        <v>1.7416330052802285</v>
      </c>
      <c r="F8" s="12">
        <f>F$7*$J$8</f>
        <v>1.9860727253195589</v>
      </c>
      <c r="G8" s="12">
        <f>G$7*$J$8</f>
        <v>2.4443972003933032</v>
      </c>
      <c r="H8" s="12">
        <f>H$7*$J$8</f>
        <v>2.688836920432633</v>
      </c>
      <c r="I8" s="12">
        <f>I$7*$J$8</f>
        <v>2.9577206124758968</v>
      </c>
      <c r="J8" s="114">
        <v>0.95000000000000484</v>
      </c>
      <c r="K8" s="3"/>
    </row>
    <row r="9" spans="2:17">
      <c r="B9" s="11" t="str">
        <f>Processes!C9</f>
        <v>IMPCOACOK</v>
      </c>
      <c r="C9" s="3" t="str">
        <f>Processes!D9</f>
        <v xml:space="preserve">Import of Coke Coal </v>
      </c>
      <c r="D9" s="3" t="str">
        <f>Commodities!C8</f>
        <v>COACOK</v>
      </c>
      <c r="E9" s="12">
        <f t="shared" ref="E9:I10" si="0">E$7*$J9</f>
        <v>2.3282883333746209</v>
      </c>
      <c r="F9" s="12">
        <f t="shared" si="0"/>
        <v>2.6550656433219362</v>
      </c>
      <c r="G9" s="12">
        <f t="shared" si="0"/>
        <v>3.2677730994731524</v>
      </c>
      <c r="H9" s="12">
        <f t="shared" si="0"/>
        <v>3.5945504094204668</v>
      </c>
      <c r="I9" s="12">
        <f t="shared" si="0"/>
        <v>3.9540054503625139</v>
      </c>
      <c r="J9" s="114">
        <v>1.2700000000000062</v>
      </c>
      <c r="K9" s="12"/>
    </row>
    <row r="10" spans="2:17">
      <c r="B10" s="11" t="str">
        <f>Processes!C10</f>
        <v>IMPCOALIG</v>
      </c>
      <c r="C10" s="3" t="str">
        <f>Processes!D10</f>
        <v xml:space="preserve">Import of Lignite /  Brown Coal </v>
      </c>
      <c r="D10" s="3" t="str">
        <f>Commodities!C9</f>
        <v>COALIG</v>
      </c>
      <c r="E10" s="12">
        <f t="shared" si="0"/>
        <v>1.6051917099356978</v>
      </c>
      <c r="F10" s="12">
        <f t="shared" si="0"/>
        <v>1.8304817744880766</v>
      </c>
      <c r="G10" s="12">
        <f t="shared" si="0"/>
        <v>2.2529006455237868</v>
      </c>
      <c r="H10" s="12">
        <f t="shared" si="0"/>
        <v>2.4781907100761646</v>
      </c>
      <c r="I10" s="12">
        <f t="shared" si="0"/>
        <v>2.7260097810837816</v>
      </c>
      <c r="J10" s="114">
        <v>0.87557603686636576</v>
      </c>
      <c r="K10" s="3"/>
    </row>
    <row r="11" spans="2:17">
      <c r="B11" s="11" t="str">
        <f>Processes!C20</f>
        <v>IMPGASLNG_GLOBAL</v>
      </c>
      <c r="C11" s="3" t="str">
        <f>Processes!D20</f>
        <v xml:space="preserve">Import of Liquified Natural Gas </v>
      </c>
      <c r="D11" s="3" t="str">
        <f>Commodities!C22</f>
        <v>GASLNG</v>
      </c>
      <c r="E11" s="12">
        <f>E$6*$J11</f>
        <v>6.0573818829465766</v>
      </c>
      <c r="F11" s="12">
        <f>F$6*$J11</f>
        <v>6.3169839636442857</v>
      </c>
      <c r="G11" s="12">
        <f>G$6*$J11</f>
        <v>9.6052769858152836</v>
      </c>
      <c r="H11" s="12">
        <f>H$6*$J11</f>
        <v>11.249423496900784</v>
      </c>
      <c r="I11" s="12">
        <f>I$6*$J11</f>
        <v>13.175000491865784</v>
      </c>
      <c r="J11" s="114">
        <v>1.0669585115925122</v>
      </c>
      <c r="K11" s="3"/>
    </row>
    <row r="12" spans="2:17">
      <c r="B12" s="11" t="str">
        <f>Processes!C14</f>
        <v>IMPOILDST</v>
      </c>
      <c r="C12" s="3" t="str">
        <f>Processes!D14</f>
        <v xml:space="preserve">Import of Diesel Oil </v>
      </c>
      <c r="D12" s="3" t="str">
        <f>Commodities!C15</f>
        <v>OILDST</v>
      </c>
      <c r="E12" s="12">
        <f t="shared" ref="E12:I17" si="1">E$5*$J12</f>
        <v>10.453167423644777</v>
      </c>
      <c r="F12" s="12">
        <f t="shared" si="1"/>
        <v>16.807053504683761</v>
      </c>
      <c r="G12" s="12">
        <f t="shared" si="1"/>
        <v>26.030436525546804</v>
      </c>
      <c r="H12" s="12">
        <f t="shared" si="1"/>
        <v>29.924753801022309</v>
      </c>
      <c r="I12" s="12">
        <f t="shared" si="1"/>
        <v>34.401685472041393</v>
      </c>
      <c r="J12" s="115">
        <v>1.5294117647058842</v>
      </c>
      <c r="K12" s="3"/>
    </row>
    <row r="13" spans="2:17">
      <c r="B13" s="11" t="str">
        <f>Processes!C16</f>
        <v>IMPOILGSL</v>
      </c>
      <c r="C13" s="3" t="str">
        <f>Processes!D16</f>
        <v xml:space="preserve">Import of Gasoline </v>
      </c>
      <c r="D13" s="3" t="str">
        <f>Commodities!C17</f>
        <v>OILGSL</v>
      </c>
      <c r="E13" s="12">
        <f t="shared" si="1"/>
        <v>11.257257225463581</v>
      </c>
      <c r="F13" s="12">
        <f t="shared" si="1"/>
        <v>18.099903774274782</v>
      </c>
      <c r="G13" s="12">
        <f t="shared" si="1"/>
        <v>28.03277779674265</v>
      </c>
      <c r="H13" s="12">
        <f t="shared" si="1"/>
        <v>32.226657939562415</v>
      </c>
      <c r="I13" s="12">
        <f t="shared" si="1"/>
        <v>37.047968969890654</v>
      </c>
      <c r="J13" s="115">
        <v>1.6470588235294101</v>
      </c>
      <c r="K13" s="3"/>
    </row>
    <row r="14" spans="2:17">
      <c r="B14" s="11" t="str">
        <f>Processes!C13</f>
        <v>IMPOILHFO</v>
      </c>
      <c r="C14" s="3" t="str">
        <f>Processes!D13</f>
        <v xml:space="preserve">Import of Heavy Fuel Oil </v>
      </c>
      <c r="D14" s="3" t="str">
        <f>Commodities!C14</f>
        <v>OILHFO</v>
      </c>
      <c r="E14" s="12">
        <f t="shared" si="1"/>
        <v>5.5361582855226219</v>
      </c>
      <c r="F14" s="12">
        <f t="shared" si="1"/>
        <v>8.9012741061344141</v>
      </c>
      <c r="G14" s="12">
        <f t="shared" si="1"/>
        <v>13.786119652183787</v>
      </c>
      <c r="H14" s="12">
        <f t="shared" si="1"/>
        <v>15.848609993849077</v>
      </c>
      <c r="I14" s="12">
        <f t="shared" si="1"/>
        <v>18.219661882692641</v>
      </c>
      <c r="J14" s="115">
        <v>0.80999999999999872</v>
      </c>
      <c r="K14" s="3"/>
    </row>
    <row r="15" spans="2:17">
      <c r="B15" s="11" t="str">
        <f>Processes!C12</f>
        <v>IMPOILKER</v>
      </c>
      <c r="C15" s="3" t="str">
        <f>Processes!D12</f>
        <v xml:space="preserve">Import of Kerosene </v>
      </c>
      <c r="D15" s="3" t="str">
        <f>Commodities!C13</f>
        <v>OILKER</v>
      </c>
      <c r="E15" s="12">
        <f t="shared" si="1"/>
        <v>11.257257225463581</v>
      </c>
      <c r="F15" s="12">
        <f t="shared" si="1"/>
        <v>18.099903774274782</v>
      </c>
      <c r="G15" s="12">
        <f t="shared" si="1"/>
        <v>28.03277779674265</v>
      </c>
      <c r="H15" s="12">
        <f t="shared" si="1"/>
        <v>32.226657939562415</v>
      </c>
      <c r="I15" s="12">
        <f t="shared" si="1"/>
        <v>37.047968969890654</v>
      </c>
      <c r="J15" s="115">
        <v>1.6470588235294101</v>
      </c>
      <c r="K15" s="3"/>
    </row>
    <row r="16" spans="2:17" s="46" customFormat="1">
      <c r="B16" s="11" t="str">
        <f>Processes!C15</f>
        <v>IMPOILLPG</v>
      </c>
      <c r="C16" s="11" t="str">
        <f>Processes!D15</f>
        <v xml:space="preserve">Import of Liquified Petroleum Gas </v>
      </c>
      <c r="D16" s="11" t="str">
        <f>Commodities!C16</f>
        <v>OILLPG</v>
      </c>
      <c r="E16" s="59">
        <f t="shared" si="1"/>
        <v>8.8449878200070895</v>
      </c>
      <c r="F16" s="59">
        <f t="shared" si="1"/>
        <v>14.221352965501596</v>
      </c>
      <c r="G16" s="59">
        <f t="shared" si="1"/>
        <v>22.025753983154914</v>
      </c>
      <c r="H16" s="59">
        <f t="shared" si="1"/>
        <v>25.320945523941866</v>
      </c>
      <c r="I16" s="59">
        <f t="shared" si="1"/>
        <v>29.109118476342619</v>
      </c>
      <c r="J16" s="129">
        <v>1.2941176470588207</v>
      </c>
      <c r="K16" s="11"/>
    </row>
    <row r="17" spans="2:20">
      <c r="B17" s="11" t="str">
        <f>Processes!C17</f>
        <v>IMPOILCOK</v>
      </c>
      <c r="C17" s="11" t="str">
        <f>Processes!D17</f>
        <v xml:space="preserve">Import of Petroleum Coke </v>
      </c>
      <c r="D17" s="11" t="str">
        <f>Commodities!C18</f>
        <v>OILCOK</v>
      </c>
      <c r="E17" s="12">
        <f t="shared" si="1"/>
        <v>11.257257225463581</v>
      </c>
      <c r="F17" s="12">
        <f t="shared" si="1"/>
        <v>18.099903774274782</v>
      </c>
      <c r="G17" s="12">
        <f t="shared" si="1"/>
        <v>28.03277779674265</v>
      </c>
      <c r="H17" s="12">
        <f t="shared" si="1"/>
        <v>32.226657939562415</v>
      </c>
      <c r="I17" s="12">
        <f t="shared" si="1"/>
        <v>37.047968969890654</v>
      </c>
      <c r="J17" s="114">
        <v>1.6470588235294101</v>
      </c>
      <c r="K17" s="3"/>
    </row>
    <row r="18" spans="2:20">
      <c r="B18" s="14" t="str">
        <f>Processes!C21</f>
        <v>IMPNUCURM</v>
      </c>
      <c r="C18" s="14" t="str">
        <f>Processes!D21</f>
        <v>Import of Uranium</v>
      </c>
      <c r="D18" s="14" t="str">
        <f>Commodities!C23</f>
        <v>NUCURM</v>
      </c>
      <c r="E18" s="261"/>
      <c r="F18" s="15"/>
      <c r="G18" s="15"/>
      <c r="H18" s="15"/>
      <c r="I18" s="15"/>
      <c r="J18" s="113"/>
      <c r="K18" s="3"/>
      <c r="L18" s="3"/>
    </row>
    <row r="19" spans="2:20">
      <c r="B19" s="14" t="str">
        <f>Processes!C18</f>
        <v>IMPOILNEU</v>
      </c>
      <c r="C19" s="14" t="str">
        <f>Processes!D18</f>
        <v>Import of Oil for Non-Energy uses</v>
      </c>
      <c r="D19" s="291" t="str">
        <f>Commodities!C20</f>
        <v>OILNEU</v>
      </c>
      <c r="E19" s="261">
        <f t="shared" ref="E19:I19" si="2">E5</f>
        <v>6.8347633154600382</v>
      </c>
      <c r="F19" s="261">
        <f t="shared" si="2"/>
        <v>10.989227291523985</v>
      </c>
      <c r="G19" s="261">
        <f t="shared" si="2"/>
        <v>17.019900805165197</v>
      </c>
      <c r="H19" s="261">
        <f t="shared" si="2"/>
        <v>19.566185177591485</v>
      </c>
      <c r="I19" s="261">
        <f t="shared" si="2"/>
        <v>22.493409731719346</v>
      </c>
      <c r="J19" s="291"/>
      <c r="K19" s="3"/>
      <c r="L19" s="3"/>
    </row>
    <row r="20" spans="2:20">
      <c r="B20"/>
      <c r="C20"/>
      <c r="D20"/>
      <c r="E20"/>
      <c r="F20"/>
      <c r="G20"/>
      <c r="H20" s="258"/>
      <c r="I20"/>
      <c r="J20"/>
      <c r="K20"/>
      <c r="L20" s="41"/>
      <c r="M20"/>
      <c r="N20"/>
      <c r="O20"/>
      <c r="P20"/>
      <c r="Q20"/>
      <c r="R20"/>
      <c r="S20"/>
      <c r="T20"/>
    </row>
    <row r="21" spans="2:20">
      <c r="B21"/>
      <c r="C21"/>
      <c r="D21"/>
      <c r="E21"/>
      <c r="F21"/>
      <c r="G21"/>
      <c r="H21"/>
      <c r="I21"/>
      <c r="J21"/>
      <c r="K21" s="66"/>
      <c r="L21" s="66"/>
      <c r="M21" s="66"/>
      <c r="N21"/>
      <c r="O21"/>
      <c r="P21"/>
      <c r="Q21"/>
      <c r="R21"/>
      <c r="S21"/>
    </row>
    <row r="22" spans="2:20">
      <c r="D22"/>
      <c r="E22"/>
      <c r="F22"/>
      <c r="G22"/>
      <c r="H22"/>
      <c r="I22"/>
      <c r="J22"/>
      <c r="K22"/>
      <c r="L22"/>
      <c r="M22"/>
      <c r="N22"/>
      <c r="O22"/>
      <c r="P22" s="66"/>
      <c r="Q22" s="66"/>
      <c r="R22"/>
      <c r="S22"/>
    </row>
    <row r="23" spans="2:20">
      <c r="B23" s="140" t="s">
        <v>102</v>
      </c>
      <c r="C23" s="141"/>
      <c r="D23" s="141"/>
      <c r="E23" s="141"/>
      <c r="F23" s="141"/>
      <c r="G23" s="141"/>
      <c r="H23" s="510" t="s">
        <v>89</v>
      </c>
      <c r="I23" s="511"/>
      <c r="J23" s="511"/>
      <c r="K23" s="512"/>
      <c r="L23" s="513" t="s">
        <v>90</v>
      </c>
      <c r="M23" s="513"/>
      <c r="N23" s="513"/>
      <c r="O23" s="514"/>
      <c r="P23" s="503" t="s">
        <v>91</v>
      </c>
      <c r="Q23" s="503"/>
      <c r="R23" s="503"/>
      <c r="S23" s="504"/>
      <c r="T23"/>
    </row>
    <row r="24" spans="2:20">
      <c r="B24" s="67" t="s">
        <v>161</v>
      </c>
      <c r="C24" s="68" t="s">
        <v>92</v>
      </c>
      <c r="D24" s="69">
        <v>2012</v>
      </c>
      <c r="E24" s="69">
        <v>2013</v>
      </c>
      <c r="F24" s="69">
        <v>2014</v>
      </c>
      <c r="G24" s="69">
        <v>2015</v>
      </c>
      <c r="H24" s="68">
        <v>2020</v>
      </c>
      <c r="I24" s="69">
        <v>2030</v>
      </c>
      <c r="J24" s="69">
        <v>2040</v>
      </c>
      <c r="K24" s="70">
        <v>2050</v>
      </c>
      <c r="L24" s="69">
        <v>2020</v>
      </c>
      <c r="M24" s="69">
        <v>2030</v>
      </c>
      <c r="N24" s="71">
        <v>2040</v>
      </c>
      <c r="O24" s="72">
        <v>2050</v>
      </c>
      <c r="P24" s="69">
        <v>2020</v>
      </c>
      <c r="Q24" s="69">
        <v>2030</v>
      </c>
      <c r="R24" s="71">
        <v>2040</v>
      </c>
      <c r="S24" s="72">
        <v>2050</v>
      </c>
      <c r="T24" s="66"/>
    </row>
    <row r="25" spans="2:20">
      <c r="B25" s="73" t="s">
        <v>93</v>
      </c>
      <c r="C25" s="74" t="s">
        <v>158</v>
      </c>
      <c r="D25" s="75">
        <f>109*($L$53/$L$50)</f>
        <v>112.54004619200001</v>
      </c>
      <c r="E25" s="75">
        <f>106*($L$53/$L$51)</f>
        <v>107.82523519999999</v>
      </c>
      <c r="F25" s="75">
        <f>97*($L$53/$L$52)</f>
        <v>97.116400000000013</v>
      </c>
      <c r="G25" s="76">
        <v>51</v>
      </c>
      <c r="H25" s="75">
        <v>79</v>
      </c>
      <c r="I25" s="75">
        <v>111</v>
      </c>
      <c r="J25" s="75">
        <v>124</v>
      </c>
      <c r="K25" s="76">
        <f>J25*(1+(J25/I25-1))</f>
        <v>138.52252252252251</v>
      </c>
      <c r="L25" s="75">
        <v>82</v>
      </c>
      <c r="M25" s="75">
        <v>127</v>
      </c>
      <c r="N25" s="75">
        <v>146</v>
      </c>
      <c r="O25" s="76">
        <f>N25*(1+(N25/M25-1))</f>
        <v>167.84251968503938</v>
      </c>
      <c r="P25" s="75">
        <v>73</v>
      </c>
      <c r="Q25" s="75">
        <v>85</v>
      </c>
      <c r="R25" s="75">
        <v>78</v>
      </c>
      <c r="S25" s="76">
        <f>R25*(1+R25/Q25-1)</f>
        <v>71.576470588235281</v>
      </c>
      <c r="T25" s="66"/>
    </row>
    <row r="26" spans="2:20">
      <c r="B26" s="73" t="s">
        <v>260</v>
      </c>
      <c r="C26" s="74" t="s">
        <v>159</v>
      </c>
      <c r="D26" s="75">
        <f>11.7*($L$53/$L$50)</f>
        <v>12.079986609600001</v>
      </c>
      <c r="E26" s="75">
        <f>10.6*($L$53/$L$51)</f>
        <v>10.78252352</v>
      </c>
      <c r="F26" s="75">
        <f>9.3*($L$53/$L$52)</f>
        <v>9.311160000000001</v>
      </c>
      <c r="G26" s="76">
        <v>7</v>
      </c>
      <c r="H26" s="75">
        <v>7.1</v>
      </c>
      <c r="I26" s="75">
        <v>10.3</v>
      </c>
      <c r="J26" s="75">
        <v>11.5</v>
      </c>
      <c r="K26" s="76">
        <f>J26*(1+(J26/I26-1))</f>
        <v>12.839805825242717</v>
      </c>
      <c r="L26" s="75">
        <v>7.3</v>
      </c>
      <c r="M26" s="75">
        <v>11.1</v>
      </c>
      <c r="N26" s="75">
        <v>13</v>
      </c>
      <c r="O26" s="76">
        <f>N26*(1+(N26/M26-1))</f>
        <v>15.225225225225225</v>
      </c>
      <c r="P26" s="75">
        <v>6.9</v>
      </c>
      <c r="Q26" s="75">
        <v>9.4</v>
      </c>
      <c r="R26" s="75">
        <v>9.9</v>
      </c>
      <c r="S26" s="76">
        <f>R26*(1+R26/Q26-1)</f>
        <v>10.426595744680853</v>
      </c>
      <c r="T26" s="66"/>
    </row>
    <row r="27" spans="2:20">
      <c r="B27" s="73" t="s">
        <v>94</v>
      </c>
      <c r="C27" s="74" t="s">
        <v>160</v>
      </c>
      <c r="D27" s="75">
        <f>99*($L$53/$L$50)</f>
        <v>102.215271312</v>
      </c>
      <c r="E27" s="75">
        <f>86*($L$53/$L$51)</f>
        <v>87.480851200000004</v>
      </c>
      <c r="F27" s="75">
        <f>78*($L$53/$L$52)</f>
        <v>78.093600000000009</v>
      </c>
      <c r="G27" s="76">
        <v>57</v>
      </c>
      <c r="H27" s="75">
        <v>63</v>
      </c>
      <c r="I27" s="75">
        <v>74</v>
      </c>
      <c r="J27" s="75">
        <v>77</v>
      </c>
      <c r="K27" s="76">
        <f>J27*(1+(J27/I27-1))</f>
        <v>80.121621621621628</v>
      </c>
      <c r="L27" s="75">
        <v>65</v>
      </c>
      <c r="M27" s="75">
        <v>80</v>
      </c>
      <c r="N27" s="75">
        <v>88</v>
      </c>
      <c r="O27" s="76">
        <f>N27*(1+(N27/M27-1))</f>
        <v>96.800000000000011</v>
      </c>
      <c r="P27" s="75">
        <v>58</v>
      </c>
      <c r="Q27" s="75">
        <v>57</v>
      </c>
      <c r="R27" s="75">
        <v>51</v>
      </c>
      <c r="S27" s="76">
        <f>R27*(1+R27/Q27-1)</f>
        <v>45.631578947368425</v>
      </c>
      <c r="T27" s="77"/>
    </row>
    <row r="28" spans="2:20">
      <c r="B28" s="78" t="s">
        <v>93</v>
      </c>
      <c r="C28" s="79" t="s">
        <v>162</v>
      </c>
      <c r="D28" s="80">
        <f t="shared" ref="D28:S28" si="3">D25*$L$60</f>
        <v>86.509375195633794</v>
      </c>
      <c r="E28" s="80">
        <f t="shared" si="3"/>
        <v>82.885106618494888</v>
      </c>
      <c r="F28" s="80">
        <f t="shared" si="3"/>
        <v>74.653240064570696</v>
      </c>
      <c r="G28" s="80">
        <f t="shared" si="3"/>
        <v>39.203628257360286</v>
      </c>
      <c r="H28" s="81">
        <f t="shared" si="3"/>
        <v>60.727188869244372</v>
      </c>
      <c r="I28" s="80">
        <f t="shared" si="3"/>
        <v>85.325543854254747</v>
      </c>
      <c r="J28" s="80">
        <f t="shared" si="3"/>
        <v>95.318625566915216</v>
      </c>
      <c r="K28" s="82">
        <f t="shared" si="3"/>
        <v>106.48206820087825</v>
      </c>
      <c r="L28" s="81">
        <f t="shared" si="3"/>
        <v>63.03328464908909</v>
      </c>
      <c r="M28" s="80">
        <f t="shared" si="3"/>
        <v>97.624721346759941</v>
      </c>
      <c r="N28" s="80">
        <f t="shared" si="3"/>
        <v>112.22999461910985</v>
      </c>
      <c r="O28" s="82">
        <f t="shared" si="3"/>
        <v>129.02030877472473</v>
      </c>
      <c r="P28" s="81">
        <f t="shared" si="3"/>
        <v>56.114997309554923</v>
      </c>
      <c r="Q28" s="80">
        <f t="shared" si="3"/>
        <v>65.339380428933822</v>
      </c>
      <c r="R28" s="80">
        <f t="shared" si="3"/>
        <v>59.958490275962795</v>
      </c>
      <c r="S28" s="82">
        <f t="shared" si="3"/>
        <v>55.020732253236439</v>
      </c>
      <c r="T28" s="77"/>
    </row>
    <row r="29" spans="2:20">
      <c r="B29" s="78" t="s">
        <v>260</v>
      </c>
      <c r="C29" s="79" t="s">
        <v>163</v>
      </c>
      <c r="D29" s="80">
        <f>D26*$L$60</f>
        <v>9.2858687136597737</v>
      </c>
      <c r="E29" s="80">
        <f t="shared" ref="E29:S29" si="4">E26*$L$60</f>
        <v>8.2885106618494895</v>
      </c>
      <c r="F29" s="80">
        <f t="shared" si="4"/>
        <v>7.1574755938196644</v>
      </c>
      <c r="G29" s="80">
        <f t="shared" si="4"/>
        <v>5.3808901529710198</v>
      </c>
      <c r="H29" s="81">
        <f t="shared" si="4"/>
        <v>5.4577600122991772</v>
      </c>
      <c r="I29" s="80">
        <f t="shared" si="4"/>
        <v>7.9175955108002158</v>
      </c>
      <c r="J29" s="80">
        <f t="shared" si="4"/>
        <v>8.8400338227381052</v>
      </c>
      <c r="K29" s="82">
        <f t="shared" si="4"/>
        <v>9.8699406758726393</v>
      </c>
      <c r="L29" s="81">
        <f t="shared" si="4"/>
        <v>5.6114997309554919</v>
      </c>
      <c r="M29" s="80">
        <f t="shared" si="4"/>
        <v>8.532554385425474</v>
      </c>
      <c r="N29" s="80">
        <f t="shared" si="4"/>
        <v>9.9930817126604659</v>
      </c>
      <c r="O29" s="82">
        <f t="shared" si="4"/>
        <v>11.703609213025771</v>
      </c>
      <c r="P29" s="81">
        <f t="shared" si="4"/>
        <v>5.3040202936428633</v>
      </c>
      <c r="Q29" s="80">
        <f t="shared" si="4"/>
        <v>7.2257667768467986</v>
      </c>
      <c r="R29" s="80">
        <f t="shared" si="4"/>
        <v>7.6101160734875855</v>
      </c>
      <c r="S29" s="82">
        <f t="shared" si="4"/>
        <v>8.01490948165182</v>
      </c>
      <c r="T29" s="77"/>
    </row>
    <row r="30" spans="2:20">
      <c r="B30" s="78" t="s">
        <v>94</v>
      </c>
      <c r="C30" s="79" t="s">
        <v>164</v>
      </c>
      <c r="D30" s="80">
        <f t="shared" ref="D30:S30" si="5">D27*$L$60</f>
        <v>78.572735269428861</v>
      </c>
      <c r="E30" s="80">
        <f t="shared" si="5"/>
        <v>67.246407256514729</v>
      </c>
      <c r="F30" s="80">
        <f t="shared" si="5"/>
        <v>60.03044046429396</v>
      </c>
      <c r="G30" s="80">
        <f t="shared" si="5"/>
        <v>43.815819817049736</v>
      </c>
      <c r="H30" s="81">
        <f t="shared" si="5"/>
        <v>48.428011376739178</v>
      </c>
      <c r="I30" s="80">
        <f t="shared" si="5"/>
        <v>56.8836959028365</v>
      </c>
      <c r="J30" s="80">
        <f t="shared" si="5"/>
        <v>59.189791682681225</v>
      </c>
      <c r="K30" s="82">
        <f t="shared" si="5"/>
        <v>61.589377831979114</v>
      </c>
      <c r="L30" s="81">
        <f t="shared" si="5"/>
        <v>49.965408563302333</v>
      </c>
      <c r="M30" s="80">
        <f t="shared" si="5"/>
        <v>61.495887462525943</v>
      </c>
      <c r="N30" s="80">
        <f t="shared" si="5"/>
        <v>67.645476208778533</v>
      </c>
      <c r="O30" s="82">
        <f t="shared" si="5"/>
        <v>74.410023829656396</v>
      </c>
      <c r="P30" s="81">
        <f t="shared" si="5"/>
        <v>44.584518410331313</v>
      </c>
      <c r="Q30" s="80">
        <f t="shared" si="5"/>
        <v>43.815819817049736</v>
      </c>
      <c r="R30" s="80">
        <f t="shared" si="5"/>
        <v>39.203628257360286</v>
      </c>
      <c r="S30" s="82">
        <f t="shared" si="5"/>
        <v>35.076930546059209</v>
      </c>
      <c r="T30" s="83"/>
    </row>
    <row r="31" spans="2:20">
      <c r="B31" s="84" t="s">
        <v>93</v>
      </c>
      <c r="C31" s="85" t="s">
        <v>165</v>
      </c>
      <c r="D31" s="86">
        <f t="shared" ref="D31:S31" si="6">D28/$I$59</f>
        <v>15.082050573201174</v>
      </c>
      <c r="E31" s="86">
        <f t="shared" si="6"/>
        <v>14.450195333839423</v>
      </c>
      <c r="F31" s="86">
        <f t="shared" si="6"/>
        <v>13.015051138226342</v>
      </c>
      <c r="G31" s="86">
        <f t="shared" si="6"/>
        <v>6.8347633154600382</v>
      </c>
      <c r="H31" s="87">
        <f t="shared" si="6"/>
        <v>10.58718239061457</v>
      </c>
      <c r="I31" s="86">
        <f t="shared" si="6"/>
        <v>14.875661333648321</v>
      </c>
      <c r="J31" s="86">
        <f t="shared" si="6"/>
        <v>16.617855904255784</v>
      </c>
      <c r="K31" s="88">
        <f t="shared" si="6"/>
        <v>18.564091280429881</v>
      </c>
      <c r="L31" s="86">
        <f t="shared" si="6"/>
        <v>10.989227291523985</v>
      </c>
      <c r="M31" s="86">
        <f t="shared" si="6"/>
        <v>17.019900805165197</v>
      </c>
      <c r="N31" s="86">
        <f t="shared" si="6"/>
        <v>19.566185177591485</v>
      </c>
      <c r="O31" s="88">
        <f t="shared" si="6"/>
        <v>22.493409731719346</v>
      </c>
      <c r="P31" s="86">
        <f t="shared" si="6"/>
        <v>9.7830925887957427</v>
      </c>
      <c r="Q31" s="86">
        <f t="shared" si="6"/>
        <v>11.3912721924334</v>
      </c>
      <c r="R31" s="86">
        <f t="shared" si="6"/>
        <v>10.453167423644766</v>
      </c>
      <c r="S31" s="88">
        <f t="shared" si="6"/>
        <v>9.592318341697549</v>
      </c>
      <c r="T31" s="83"/>
    </row>
    <row r="32" spans="2:20">
      <c r="B32" s="84" t="s">
        <v>260</v>
      </c>
      <c r="C32" s="85" t="s">
        <v>165</v>
      </c>
      <c r="D32" s="86">
        <f t="shared" ref="D32:S32" si="7">D29/($I$58/1000)</f>
        <v>9.7972871002951827</v>
      </c>
      <c r="E32" s="86">
        <f t="shared" si="7"/>
        <v>8.7449996432258814</v>
      </c>
      <c r="F32" s="86">
        <f t="shared" si="7"/>
        <v>7.5516729202570847</v>
      </c>
      <c r="G32" s="86">
        <f t="shared" si="7"/>
        <v>5.6772421955803125</v>
      </c>
      <c r="H32" s="87">
        <f t="shared" si="7"/>
        <v>5.7583456555171741</v>
      </c>
      <c r="I32" s="86">
        <f t="shared" si="7"/>
        <v>8.3536563734967455</v>
      </c>
      <c r="J32" s="86">
        <f t="shared" si="7"/>
        <v>9.3268978927390851</v>
      </c>
      <c r="K32" s="88">
        <f t="shared" si="7"/>
        <v>10.413526773446549</v>
      </c>
      <c r="L32" s="86">
        <f t="shared" si="7"/>
        <v>5.9205525753908965</v>
      </c>
      <c r="M32" s="86">
        <f t="shared" si="7"/>
        <v>9.0024840529916368</v>
      </c>
      <c r="N32" s="86">
        <f t="shared" si="7"/>
        <v>10.543449791792009</v>
      </c>
      <c r="O32" s="88">
        <f t="shared" si="7"/>
        <v>12.348184440837489</v>
      </c>
      <c r="P32" s="86">
        <f t="shared" si="7"/>
        <v>5.5961387356434518</v>
      </c>
      <c r="Q32" s="86">
        <f t="shared" si="7"/>
        <v>7.6237252340649917</v>
      </c>
      <c r="R32" s="86">
        <f t="shared" si="7"/>
        <v>8.029242533749299</v>
      </c>
      <c r="S32" s="88">
        <f t="shared" si="7"/>
        <v>8.4563299025657521</v>
      </c>
      <c r="T32" s="66"/>
    </row>
    <row r="33" spans="2:20">
      <c r="B33" s="89" t="s">
        <v>94</v>
      </c>
      <c r="C33" s="93" t="s">
        <v>165</v>
      </c>
      <c r="D33" s="90">
        <f t="shared" ref="D33:S33" si="8">D30/$I$62</f>
        <v>3.2875621451643875</v>
      </c>
      <c r="E33" s="90">
        <f t="shared" si="8"/>
        <v>2.8136572073855537</v>
      </c>
      <c r="F33" s="90">
        <f t="shared" si="8"/>
        <v>2.5117339106399146</v>
      </c>
      <c r="G33" s="90">
        <f t="shared" si="8"/>
        <v>1.8332979002949681</v>
      </c>
      <c r="H33" s="91">
        <f t="shared" si="8"/>
        <v>2.0262766266418066</v>
      </c>
      <c r="I33" s="90">
        <f t="shared" si="8"/>
        <v>2.380070958277678</v>
      </c>
      <c r="J33" s="90">
        <f t="shared" si="8"/>
        <v>2.4765603214510974</v>
      </c>
      <c r="K33" s="92">
        <f t="shared" si="8"/>
        <v>2.57696141556398</v>
      </c>
      <c r="L33" s="90">
        <f t="shared" si="8"/>
        <v>2.0906028687574199</v>
      </c>
      <c r="M33" s="90">
        <f t="shared" si="8"/>
        <v>2.5730496846245168</v>
      </c>
      <c r="N33" s="90">
        <f t="shared" si="8"/>
        <v>2.8303546530869679</v>
      </c>
      <c r="O33" s="92">
        <f t="shared" si="8"/>
        <v>3.1133901183956652</v>
      </c>
      <c r="P33" s="90">
        <f t="shared" si="8"/>
        <v>1.8654610213527747</v>
      </c>
      <c r="Q33" s="90">
        <f t="shared" si="8"/>
        <v>1.8332979002949681</v>
      </c>
      <c r="R33" s="90">
        <f t="shared" si="8"/>
        <v>1.6403191739481293</v>
      </c>
      <c r="S33" s="92">
        <f t="shared" si="8"/>
        <v>1.4676539977430632</v>
      </c>
      <c r="T33" s="77"/>
    </row>
    <row r="34" spans="2:20">
      <c r="B34" s="60" t="s">
        <v>261</v>
      </c>
      <c r="C34" s="95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66"/>
      <c r="R35"/>
      <c r="S35" s="41"/>
    </row>
    <row r="36" spans="2:20">
      <c r="C36"/>
      <c r="D36"/>
      <c r="E36"/>
      <c r="F36"/>
      <c r="G36"/>
      <c r="H36"/>
      <c r="I36"/>
      <c r="J36"/>
      <c r="K36"/>
      <c r="L36"/>
      <c r="M36"/>
      <c r="S36"/>
    </row>
    <row r="37" spans="2:20" ht="39">
      <c r="B37"/>
      <c r="C37"/>
      <c r="D37"/>
      <c r="E37"/>
      <c r="F37"/>
      <c r="G37"/>
      <c r="H37" s="61"/>
      <c r="I37" s="97" t="s">
        <v>95</v>
      </c>
      <c r="J37" s="98" t="s">
        <v>80</v>
      </c>
      <c r="K37" s="97" t="s">
        <v>81</v>
      </c>
      <c r="L37" s="98" t="s">
        <v>82</v>
      </c>
      <c r="M37"/>
      <c r="S37" s="94"/>
    </row>
    <row r="38" spans="2:20">
      <c r="B38"/>
      <c r="C38"/>
      <c r="D38"/>
      <c r="E38"/>
      <c r="F38"/>
      <c r="G38"/>
      <c r="H38" s="99">
        <v>2000</v>
      </c>
      <c r="I38" s="100"/>
      <c r="J38" s="100">
        <v>100</v>
      </c>
      <c r="K38" s="100"/>
      <c r="L38" s="100">
        <v>100</v>
      </c>
      <c r="M38"/>
      <c r="S38" s="105"/>
    </row>
    <row r="39" spans="2:20">
      <c r="B39"/>
      <c r="C39"/>
      <c r="D39"/>
      <c r="E39"/>
      <c r="F39"/>
      <c r="G39"/>
      <c r="H39" s="101">
        <v>2001</v>
      </c>
      <c r="I39" s="102">
        <v>2.1999999999999999E-2</v>
      </c>
      <c r="J39" s="100">
        <f t="shared" ref="J39:J53" si="9">J38+(J38*I39)</f>
        <v>102.2</v>
      </c>
      <c r="K39" s="102">
        <v>2.8000000000000001E-2</v>
      </c>
      <c r="L39" s="100">
        <f t="shared" ref="L39:L50" si="10">L38+(L38*K39)</f>
        <v>102.8</v>
      </c>
      <c r="M39"/>
      <c r="S39" s="105"/>
    </row>
    <row r="40" spans="2:20">
      <c r="B40"/>
      <c r="C40"/>
      <c r="D40"/>
      <c r="E40"/>
      <c r="F40"/>
      <c r="G40"/>
      <c r="H40" s="101">
        <v>2002</v>
      </c>
      <c r="I40" s="102">
        <v>2.1000000000000001E-2</v>
      </c>
      <c r="J40" s="103">
        <f t="shared" si="9"/>
        <v>104.34620000000001</v>
      </c>
      <c r="K40" s="102">
        <v>1.6E-2</v>
      </c>
      <c r="L40" s="103">
        <f t="shared" si="10"/>
        <v>104.4448</v>
      </c>
      <c r="M40"/>
      <c r="S40" s="106"/>
    </row>
    <row r="41" spans="2:20">
      <c r="B41"/>
      <c r="C41"/>
      <c r="D41"/>
      <c r="E41"/>
      <c r="F41"/>
      <c r="G41"/>
      <c r="H41" s="101">
        <v>2003</v>
      </c>
      <c r="I41" s="102">
        <v>0.02</v>
      </c>
      <c r="J41" s="103">
        <f t="shared" si="9"/>
        <v>106.43312400000001</v>
      </c>
      <c r="K41" s="102">
        <v>2.3E-2</v>
      </c>
      <c r="L41" s="103">
        <f t="shared" si="10"/>
        <v>106.84703039999999</v>
      </c>
      <c r="M41"/>
      <c r="S41" s="106"/>
    </row>
    <row r="42" spans="2:20">
      <c r="B42"/>
      <c r="C42"/>
      <c r="D42"/>
      <c r="E42"/>
      <c r="F42"/>
      <c r="G42"/>
      <c r="H42" s="101">
        <v>2004</v>
      </c>
      <c r="I42" s="102">
        <v>0.02</v>
      </c>
      <c r="J42" s="103">
        <f t="shared" si="9"/>
        <v>108.56178648000001</v>
      </c>
      <c r="K42" s="102">
        <v>2.7E-2</v>
      </c>
      <c r="L42" s="103">
        <f t="shared" si="10"/>
        <v>109.7319002208</v>
      </c>
      <c r="M42"/>
      <c r="S42" s="106"/>
    </row>
    <row r="43" spans="2:20">
      <c r="B43"/>
      <c r="C43"/>
      <c r="D43"/>
      <c r="E43"/>
      <c r="F43"/>
      <c r="G43"/>
      <c r="H43" s="101">
        <v>2005</v>
      </c>
      <c r="I43" s="102">
        <v>2.1999999999999999E-2</v>
      </c>
      <c r="J43" s="103">
        <f t="shared" si="9"/>
        <v>110.95014578256001</v>
      </c>
      <c r="K43" s="102">
        <v>3.4000000000000002E-2</v>
      </c>
      <c r="L43" s="103">
        <f t="shared" si="10"/>
        <v>113.46278482830721</v>
      </c>
      <c r="M43"/>
      <c r="S43" s="106"/>
    </row>
    <row r="44" spans="2:20">
      <c r="B44"/>
      <c r="C44"/>
      <c r="D44"/>
      <c r="E44"/>
      <c r="F44"/>
      <c r="G44"/>
      <c r="H44" s="101">
        <v>2006</v>
      </c>
      <c r="I44" s="102">
        <v>2.1999999999999999E-2</v>
      </c>
      <c r="J44" s="103">
        <f t="shared" si="9"/>
        <v>113.39104898977634</v>
      </c>
      <c r="K44" s="102">
        <v>3.2000000000000001E-2</v>
      </c>
      <c r="L44" s="103">
        <f t="shared" si="10"/>
        <v>117.09359394281304</v>
      </c>
      <c r="M44"/>
      <c r="S44" s="106"/>
    </row>
    <row r="45" spans="2:20">
      <c r="B45"/>
      <c r="C45"/>
      <c r="D45"/>
      <c r="E45"/>
      <c r="F45"/>
      <c r="G45"/>
      <c r="H45" s="101">
        <v>2007</v>
      </c>
      <c r="I45" s="102">
        <v>2.3E-2</v>
      </c>
      <c r="J45" s="103">
        <f t="shared" si="9"/>
        <v>115.99904311654119</v>
      </c>
      <c r="K45" s="102">
        <v>2.8000000000000001E-2</v>
      </c>
      <c r="L45" s="103">
        <f t="shared" si="10"/>
        <v>120.37221457321181</v>
      </c>
      <c r="M45"/>
      <c r="S45" s="106"/>
    </row>
    <row r="46" spans="2:20">
      <c r="B46"/>
      <c r="C46"/>
      <c r="D46"/>
      <c r="E46"/>
      <c r="F46"/>
      <c r="G46"/>
      <c r="H46" s="101">
        <v>2008</v>
      </c>
      <c r="I46" s="102">
        <v>3.6999999999999998E-2</v>
      </c>
      <c r="J46" s="103">
        <f t="shared" si="9"/>
        <v>120.29100771185321</v>
      </c>
      <c r="K46" s="102">
        <v>3.7999999999999999E-2</v>
      </c>
      <c r="L46" s="103">
        <f t="shared" si="10"/>
        <v>124.94635872699385</v>
      </c>
      <c r="M46"/>
      <c r="S46" s="106"/>
    </row>
    <row r="47" spans="2:20">
      <c r="B47"/>
      <c r="C47"/>
      <c r="D47"/>
      <c r="E47"/>
      <c r="F47"/>
      <c r="G47"/>
      <c r="H47" s="101">
        <v>2009</v>
      </c>
      <c r="I47" s="102">
        <v>0.01</v>
      </c>
      <c r="J47" s="103">
        <f t="shared" si="9"/>
        <v>121.49391778897174</v>
      </c>
      <c r="K47" s="102">
        <v>-4.0000000000000001E-3</v>
      </c>
      <c r="L47" s="103">
        <f t="shared" si="10"/>
        <v>124.44657329208587</v>
      </c>
      <c r="M47"/>
      <c r="S47" s="106"/>
    </row>
    <row r="48" spans="2:20">
      <c r="B48"/>
      <c r="C48"/>
      <c r="D48"/>
      <c r="E48"/>
      <c r="F48"/>
      <c r="G48"/>
      <c r="H48" s="101">
        <v>2010</v>
      </c>
      <c r="I48" s="102">
        <v>2.1000000000000001E-2</v>
      </c>
      <c r="J48" s="103">
        <f t="shared" si="9"/>
        <v>124.04529006254015</v>
      </c>
      <c r="K48" s="102">
        <v>1.6E-2</v>
      </c>
      <c r="L48" s="103">
        <f t="shared" si="10"/>
        <v>126.43771846475924</v>
      </c>
      <c r="M48"/>
      <c r="S48" s="106"/>
    </row>
    <row r="49" spans="2:19">
      <c r="B49"/>
      <c r="C49"/>
      <c r="D49"/>
      <c r="E49"/>
      <c r="F49"/>
      <c r="G49"/>
      <c r="H49" s="101">
        <v>2011</v>
      </c>
      <c r="I49" s="102">
        <v>3.1E-2</v>
      </c>
      <c r="J49" s="103">
        <f t="shared" si="9"/>
        <v>127.89069405447889</v>
      </c>
      <c r="K49" s="102">
        <v>3.2000000000000001E-2</v>
      </c>
      <c r="L49" s="103">
        <f t="shared" si="10"/>
        <v>130.48372545563154</v>
      </c>
      <c r="M49"/>
      <c r="S49" s="106"/>
    </row>
    <row r="50" spans="2:19">
      <c r="B50"/>
      <c r="C50"/>
      <c r="D50"/>
      <c r="E50"/>
      <c r="F50"/>
      <c r="G50"/>
      <c r="H50" s="101">
        <v>2012</v>
      </c>
      <c r="I50" s="102">
        <v>2.6000000000000002E-2</v>
      </c>
      <c r="J50" s="103">
        <f t="shared" si="9"/>
        <v>131.21585209989533</v>
      </c>
      <c r="K50" s="102">
        <v>2.1000000000000001E-2</v>
      </c>
      <c r="L50" s="103">
        <f t="shared" si="10"/>
        <v>133.22388369019981</v>
      </c>
      <c r="M50"/>
      <c r="S50" s="106"/>
    </row>
    <row r="51" spans="2:19">
      <c r="B51"/>
      <c r="C51"/>
      <c r="D51"/>
      <c r="E51"/>
      <c r="F51"/>
      <c r="G51"/>
      <c r="H51" s="101">
        <v>2013</v>
      </c>
      <c r="I51" s="102">
        <v>1.4999999999999999E-2</v>
      </c>
      <c r="J51" s="103">
        <f t="shared" si="9"/>
        <v>133.18408988139376</v>
      </c>
      <c r="K51" s="102">
        <v>1.4999999999999999E-2</v>
      </c>
      <c r="L51" s="103">
        <f>(L50)+(L50*K51)</f>
        <v>135.22224194555281</v>
      </c>
      <c r="M51"/>
      <c r="S51" s="106"/>
    </row>
    <row r="52" spans="2:19">
      <c r="B52"/>
      <c r="C52"/>
      <c r="D52"/>
      <c r="E52"/>
      <c r="F52"/>
      <c r="G52"/>
      <c r="H52" s="101">
        <v>2014</v>
      </c>
      <c r="I52" s="102">
        <v>6.0000000000000001E-3</v>
      </c>
      <c r="J52" s="103">
        <f t="shared" si="9"/>
        <v>133.98319442068211</v>
      </c>
      <c r="K52" s="102">
        <v>1.6E-2</v>
      </c>
      <c r="L52" s="103">
        <f>L51+(L51*K52)</f>
        <v>137.38579781668165</v>
      </c>
      <c r="M52"/>
      <c r="S52" s="106"/>
    </row>
    <row r="53" spans="2:19">
      <c r="B53"/>
      <c r="C53"/>
      <c r="D53"/>
      <c r="E53"/>
      <c r="F53"/>
      <c r="G53"/>
      <c r="H53" s="101">
        <v>2015</v>
      </c>
      <c r="I53" s="102">
        <v>0</v>
      </c>
      <c r="J53" s="103">
        <f t="shared" si="9"/>
        <v>133.98319442068211</v>
      </c>
      <c r="K53" s="102">
        <v>1.1999999999999999E-3</v>
      </c>
      <c r="L53" s="103">
        <f>L52+(L52*K53)</f>
        <v>137.55066077406167</v>
      </c>
      <c r="M53"/>
      <c r="S53" s="107"/>
    </row>
    <row r="54" spans="2:19">
      <c r="B54"/>
      <c r="C54"/>
      <c r="D54"/>
      <c r="E54"/>
      <c r="F54"/>
      <c r="G54"/>
      <c r="H54" s="104" t="s">
        <v>79</v>
      </c>
      <c r="I54"/>
      <c r="J54" s="104"/>
      <c r="K54" s="104" t="s">
        <v>83</v>
      </c>
      <c r="L54"/>
      <c r="M54"/>
      <c r="S54"/>
    </row>
    <row r="55" spans="2:19">
      <c r="B55"/>
      <c r="C55"/>
      <c r="D55"/>
      <c r="E55"/>
      <c r="F55"/>
      <c r="G55"/>
      <c r="H55"/>
      <c r="I55"/>
      <c r="J55"/>
      <c r="K55" s="104" t="s">
        <v>262</v>
      </c>
      <c r="L55"/>
      <c r="M55"/>
      <c r="S55"/>
    </row>
    <row r="56" spans="2:19">
      <c r="B56"/>
      <c r="C56"/>
      <c r="D56"/>
      <c r="E56"/>
      <c r="F56"/>
      <c r="G56"/>
      <c r="H56"/>
      <c r="I56"/>
      <c r="J56"/>
      <c r="K56"/>
      <c r="L56"/>
      <c r="M56"/>
      <c r="S56"/>
    </row>
    <row r="57" spans="2:19">
      <c r="B57"/>
      <c r="C57"/>
      <c r="D57"/>
      <c r="E57"/>
      <c r="F57"/>
      <c r="G57"/>
      <c r="H57" s="505" t="s">
        <v>85</v>
      </c>
      <c r="I57" s="506"/>
      <c r="J57"/>
      <c r="K57" s="505" t="s">
        <v>96</v>
      </c>
      <c r="L57" s="506"/>
      <c r="M57"/>
      <c r="S57"/>
    </row>
    <row r="58" spans="2:19">
      <c r="B58"/>
      <c r="C58"/>
      <c r="D58"/>
      <c r="E58"/>
      <c r="F58"/>
      <c r="G58"/>
      <c r="H58" s="61" t="s">
        <v>86</v>
      </c>
      <c r="I58" s="64">
        <v>947.8</v>
      </c>
      <c r="J58"/>
      <c r="K58" s="62"/>
      <c r="L58" s="62" t="s">
        <v>263</v>
      </c>
      <c r="M58"/>
      <c r="S58"/>
    </row>
    <row r="59" spans="2:19">
      <c r="B59"/>
      <c r="C59"/>
      <c r="D59"/>
      <c r="E59"/>
      <c r="F59"/>
      <c r="G59"/>
      <c r="H59" s="507" t="s">
        <v>87</v>
      </c>
      <c r="I59" s="64">
        <f>I60*I61</f>
        <v>5.7359160000000005</v>
      </c>
      <c r="J59"/>
      <c r="K59" s="61" t="s">
        <v>156</v>
      </c>
      <c r="L59" s="63">
        <v>1.3008999999999999</v>
      </c>
      <c r="M59"/>
      <c r="S59"/>
    </row>
    <row r="60" spans="2:19">
      <c r="B60"/>
      <c r="C60"/>
      <c r="D60"/>
      <c r="E60"/>
      <c r="F60"/>
      <c r="G60"/>
      <c r="H60" s="508"/>
      <c r="I60" s="65">
        <v>0.13700000000000001</v>
      </c>
      <c r="J60"/>
      <c r="K60" s="61" t="s">
        <v>157</v>
      </c>
      <c r="L60" s="153">
        <f>1/L59</f>
        <v>0.76869859328157431</v>
      </c>
      <c r="M60"/>
      <c r="S60"/>
    </row>
    <row r="61" spans="2:19">
      <c r="H61" s="509"/>
      <c r="I61" s="65">
        <v>41.868000000000002</v>
      </c>
      <c r="J61"/>
      <c r="K61" t="s">
        <v>84</v>
      </c>
      <c r="L61"/>
    </row>
    <row r="62" spans="2:19">
      <c r="H62" s="61" t="s">
        <v>88</v>
      </c>
      <c r="I62" s="65">
        <v>23.9</v>
      </c>
      <c r="J62"/>
      <c r="K62"/>
      <c r="L62"/>
    </row>
  </sheetData>
  <mergeCells count="6">
    <mergeCell ref="P23:S23"/>
    <mergeCell ref="H57:I57"/>
    <mergeCell ref="K57:L57"/>
    <mergeCell ref="H59:H61"/>
    <mergeCell ref="H23:K23"/>
    <mergeCell ref="L23:O2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2:V58"/>
  <sheetViews>
    <sheetView zoomScale="70" zoomScaleNormal="70" workbookViewId="0">
      <selection activeCell="H30" sqref="H30"/>
    </sheetView>
  </sheetViews>
  <sheetFormatPr defaultColWidth="9.140625" defaultRowHeight="15"/>
  <cols>
    <col min="1" max="1" width="9.140625" style="274"/>
    <col min="2" max="2" width="22.140625" style="274" bestFit="1" customWidth="1"/>
    <col min="3" max="3" width="31.7109375" style="274" bestFit="1" customWidth="1"/>
    <col min="4" max="4" width="16.28515625" style="274" bestFit="1" customWidth="1"/>
    <col min="5" max="13" width="12.85546875" style="274" customWidth="1"/>
    <col min="14" max="15" width="13" style="274" customWidth="1"/>
    <col min="16" max="16" width="21.85546875" style="274" customWidth="1"/>
    <col min="17" max="17" width="29.5703125" style="274" bestFit="1" customWidth="1"/>
    <col min="18" max="21" width="9.140625" style="274"/>
    <col min="22" max="22" width="14.5703125" style="274" bestFit="1" customWidth="1"/>
    <col min="23" max="23" width="29.5703125" style="274" bestFit="1" customWidth="1"/>
    <col min="24" max="16384" width="9.140625" style="274"/>
  </cols>
  <sheetData>
    <row r="2" spans="2:11" ht="18.75">
      <c r="B2" s="4" t="s">
        <v>104</v>
      </c>
      <c r="C2" s="4"/>
      <c r="D2" s="18" t="s">
        <v>132</v>
      </c>
      <c r="E2" s="179"/>
      <c r="F2" s="179"/>
      <c r="G2" s="178"/>
      <c r="H2" s="178"/>
      <c r="I2" s="178"/>
      <c r="J2" s="178"/>
      <c r="K2" s="178"/>
    </row>
    <row r="3" spans="2:11">
      <c r="B3" s="22" t="s">
        <v>2</v>
      </c>
      <c r="C3" s="22" t="s">
        <v>3</v>
      </c>
      <c r="D3" s="22" t="s">
        <v>40</v>
      </c>
      <c r="E3" s="43" t="s">
        <v>42</v>
      </c>
      <c r="F3" s="43" t="s">
        <v>43</v>
      </c>
      <c r="G3" s="43" t="s">
        <v>44</v>
      </c>
      <c r="H3" s="43" t="s">
        <v>45</v>
      </c>
      <c r="I3" s="43" t="s">
        <v>46</v>
      </c>
      <c r="J3" s="43" t="s">
        <v>47</v>
      </c>
      <c r="K3" s="180" t="s">
        <v>71</v>
      </c>
    </row>
    <row r="4" spans="2:11" ht="32.450000000000003" customHeight="1" thickBot="1">
      <c r="B4" s="13" t="s">
        <v>61</v>
      </c>
      <c r="C4" s="13" t="s">
        <v>49</v>
      </c>
      <c r="D4" s="13" t="s">
        <v>50</v>
      </c>
      <c r="E4" s="10" t="s">
        <v>51</v>
      </c>
      <c r="F4" s="10" t="s">
        <v>51</v>
      </c>
      <c r="G4" s="10" t="s">
        <v>51</v>
      </c>
      <c r="H4" s="10" t="s">
        <v>51</v>
      </c>
      <c r="I4" s="10" t="s">
        <v>51</v>
      </c>
      <c r="J4" s="10" t="s">
        <v>51</v>
      </c>
      <c r="K4" s="181"/>
    </row>
    <row r="5" spans="2:11">
      <c r="B5" s="38" t="str">
        <f>Processes!C23</f>
        <v>IMPBIOETH1G_S1</v>
      </c>
      <c r="C5" s="39" t="str">
        <f>Processes!D23</f>
        <v>Import of Ethanol 1st generation  - Step 1</v>
      </c>
      <c r="D5" s="39" t="str">
        <f>Commodities!$C$30</f>
        <v>BIOETH1G</v>
      </c>
      <c r="E5" s="182">
        <f>'SEAI-AEA_BioData'!K$23</f>
        <v>18.176172733352441</v>
      </c>
      <c r="F5" s="182">
        <f>'SEAI-AEA_BioData'!L$23</f>
        <v>17.579057991783699</v>
      </c>
      <c r="G5" s="182">
        <f>'SEAI-AEA_BioData'!M$23</f>
        <v>16.599789815610968</v>
      </c>
      <c r="H5" s="182">
        <f>'SEAI-AEA_BioData'!N$23</f>
        <v>15.883252125728479</v>
      </c>
      <c r="I5" s="182"/>
      <c r="J5" s="182"/>
      <c r="K5" s="39"/>
    </row>
    <row r="6" spans="2:11">
      <c r="B6" s="38" t="str">
        <f>Processes!C24</f>
        <v>IMPBIOETH1G_S2</v>
      </c>
      <c r="C6" s="39" t="str">
        <f>Processes!D24</f>
        <v>Import of Ethanol 1st generation  - Step 2</v>
      </c>
      <c r="D6" s="39" t="str">
        <f>Commodities!$C$30</f>
        <v>BIOETH1G</v>
      </c>
      <c r="E6" s="182">
        <f>'SEAI-AEA_BioData'!K$33</f>
        <v>18.916595012897677</v>
      </c>
      <c r="F6" s="182">
        <f>'SEAI-AEA_BioData'!L$33</f>
        <v>19.083787140536923</v>
      </c>
      <c r="G6" s="182">
        <f>'SEAI-AEA_BioData'!M$33</f>
        <v>18.916595012897677</v>
      </c>
      <c r="H6" s="182">
        <f>'SEAI-AEA_BioData'!N$33</f>
        <v>19.131556319862423</v>
      </c>
      <c r="I6" s="182">
        <f>H6*Imports_Fossil!$N$31/Imports_Fossil!$M$31</f>
        <v>21.993757659054438</v>
      </c>
      <c r="J6" s="182">
        <f>H6*Imports_Fossil!$O$31/Imports_Fossil!$M$31</f>
        <v>25.284162348204315</v>
      </c>
      <c r="K6" s="39"/>
    </row>
    <row r="7" spans="2:11">
      <c r="B7" s="40" t="str">
        <f>Processes!C25</f>
        <v>IMPBIOETH1G_S3</v>
      </c>
      <c r="C7" s="39" t="str">
        <f>Processes!D25</f>
        <v>Import of Ethanol 1st generation  - Step 3</v>
      </c>
      <c r="D7" s="39" t="str">
        <f>Commodities!$C$30</f>
        <v>BIOETH1G</v>
      </c>
      <c r="E7" s="182">
        <f>'SEAI-AEA_BioData'!K$44</f>
        <v>19.680901882105665</v>
      </c>
      <c r="F7" s="182">
        <f>'SEAI-AEA_BioData'!L$44</f>
        <v>20.684054647941146</v>
      </c>
      <c r="G7" s="182">
        <f>'SEAI-AEA_BioData'!M$44</f>
        <v>21.758861182764878</v>
      </c>
      <c r="H7" s="182">
        <f>'SEAI-AEA_BioData'!N$44</f>
        <v>23.550205407471097</v>
      </c>
      <c r="I7" s="182">
        <f>H7*Imports_Fossil!$N$31/Imports_Fossil!$M$31</f>
        <v>27.073464484179372</v>
      </c>
      <c r="J7" s="182">
        <f>H7*Imports_Fossil!$O$31/Imports_Fossil!$M$31</f>
        <v>31.123825312521166</v>
      </c>
      <c r="K7" s="39"/>
    </row>
    <row r="8" spans="2:11">
      <c r="B8" s="116" t="str">
        <f>Processes!C26</f>
        <v>IMPBIOETH1G_S4</v>
      </c>
      <c r="C8" s="116" t="str">
        <f>Processes!D26</f>
        <v>Import of Ethanol 1st generation  - Step 4</v>
      </c>
      <c r="D8" s="116" t="str">
        <f>Commodities!$C$30</f>
        <v>BIOETH1G</v>
      </c>
      <c r="E8" s="128">
        <f>'SEAI-AEA_BioData'!K$55</f>
        <v>20.636285468615647</v>
      </c>
      <c r="F8" s="128">
        <f>'SEAI-AEA_BioData'!L$55</f>
        <v>22.714244769274863</v>
      </c>
      <c r="G8" s="128">
        <f>'SEAI-AEA_BioData'!M$55</f>
        <v>25.174357504538072</v>
      </c>
      <c r="H8" s="128">
        <f>'SEAI-AEA_BioData'!N$55</f>
        <v>28.757045953950509</v>
      </c>
      <c r="I8" s="128">
        <f>H8*Imports_Fossil!$N$31/Imports_Fossil!$M$31</f>
        <v>33.059281175407669</v>
      </c>
      <c r="J8" s="128">
        <f>H8*Imports_Fossil!$O$31/Imports_Fossil!$M$31</f>
        <v>38.005157886689133</v>
      </c>
      <c r="K8" s="116"/>
    </row>
    <row r="9" spans="2:11">
      <c r="B9" s="40" t="str">
        <f>Processes!C27</f>
        <v>IMPBIODST1G_S1</v>
      </c>
      <c r="C9" s="39" t="str">
        <f>Processes!D27</f>
        <v>Import of Biodiesel 1st generation  - Step 1</v>
      </c>
      <c r="D9" s="39" t="str">
        <f>Commodities!$C$32</f>
        <v>BIODST1G</v>
      </c>
      <c r="E9" s="182">
        <f>'SEAI-AEA_BioData'!K$25</f>
        <v>31.360466227190216</v>
      </c>
      <c r="F9" s="182">
        <f>'SEAI-AEA_BioData'!L$25</f>
        <v>33.175695041559187</v>
      </c>
      <c r="G9" s="182">
        <f>'SEAI-AEA_BioData'!M$25</f>
        <v>31.862042610107956</v>
      </c>
      <c r="H9" s="182">
        <f>'SEAI-AEA_BioData'!N$25</f>
        <v>31.336581637527466</v>
      </c>
      <c r="I9" s="182"/>
      <c r="J9" s="182"/>
      <c r="K9" s="39"/>
    </row>
    <row r="10" spans="2:11">
      <c r="B10" s="40" t="str">
        <f>Processes!C28</f>
        <v>IMPBIODST1G_S2</v>
      </c>
      <c r="C10" s="39" t="str">
        <f>Processes!D28</f>
        <v>Import of Biodiesel 1st generation  - Step 2</v>
      </c>
      <c r="D10" s="39" t="str">
        <f>Commodities!$C$32</f>
        <v>BIODST1G</v>
      </c>
      <c r="E10" s="182">
        <f>'SEAI-AEA_BioData'!K$35</f>
        <v>32.650234068978691</v>
      </c>
      <c r="F10" s="182">
        <f>'SEAI-AEA_BioData'!L$35</f>
        <v>35.826884494124393</v>
      </c>
      <c r="G10" s="182">
        <f>'SEAI-AEA_BioData'!M$35</f>
        <v>35.97019203210089</v>
      </c>
      <c r="H10" s="182">
        <f>'SEAI-AEA_BioData'!N$35</f>
        <v>37.021113977261869</v>
      </c>
      <c r="I10" s="182">
        <f>H10*Imports_Fossil!$N$31/Imports_Fossil!$M$31</f>
        <v>42.559705832127818</v>
      </c>
      <c r="J10" s="182">
        <f>H10*Imports_Fossil!$O$31/Imports_Fossil!$M$31</f>
        <v>48.9269059172493</v>
      </c>
      <c r="K10" s="39"/>
    </row>
    <row r="11" spans="2:11">
      <c r="B11" s="40" t="str">
        <f>Processes!C29</f>
        <v>IMPBIODST1G_S3</v>
      </c>
      <c r="C11" s="39" t="str">
        <f>Processes!D29</f>
        <v>Import of Biodiesel 1st generation  - Step 3</v>
      </c>
      <c r="D11" s="39" t="str">
        <f>Commodities!$C$32</f>
        <v>BIODST1G</v>
      </c>
      <c r="E11" s="182">
        <f>'SEAI-AEA_BioData'!K$46</f>
        <v>33.916117321104423</v>
      </c>
      <c r="F11" s="182">
        <f>'SEAI-AEA_BioData'!L$46</f>
        <v>38.334766408713094</v>
      </c>
      <c r="G11" s="182">
        <f>'SEAI-AEA_BioData'!M$46</f>
        <v>40.460494888697809</v>
      </c>
      <c r="H11" s="182">
        <f>'SEAI-AEA_BioData'!N$46</f>
        <v>43.756568262157252</v>
      </c>
      <c r="I11" s="182">
        <f>H11*Imports_Fossil!$N$31/Imports_Fossil!$M$31</f>
        <v>50.302826506102036</v>
      </c>
      <c r="J11" s="182">
        <f>H11*Imports_Fossil!$O$31/Imports_Fossil!$M$31</f>
        <v>57.828446219613369</v>
      </c>
      <c r="K11" s="39"/>
    </row>
    <row r="12" spans="2:11">
      <c r="B12" s="116" t="str">
        <f>Processes!C30</f>
        <v>IMPBIODST1G_S4</v>
      </c>
      <c r="C12" s="116" t="str">
        <f>Processes!D30</f>
        <v>Import of Biodiesel 1st generation  - Step 4</v>
      </c>
      <c r="D12" s="116" t="str">
        <f>Commodities!$C$32</f>
        <v>BIODST1G</v>
      </c>
      <c r="E12" s="128">
        <f>'SEAI-AEA_BioData'!K$57</f>
        <v>35.540269418171391</v>
      </c>
      <c r="F12" s="128">
        <f>'SEAI-AEA_BioData'!L$57</f>
        <v>41.917454858125538</v>
      </c>
      <c r="G12" s="128">
        <f>'SEAI-AEA_BioData'!M$57</f>
        <v>46.527180663036205</v>
      </c>
      <c r="H12" s="128">
        <f>'SEAI-AEA_BioData'!N$57</f>
        <v>52.832712334002096</v>
      </c>
      <c r="I12" s="128">
        <f>H12*Imports_Fossil!$N$31/Imports_Fossil!$M$31</f>
        <v>60.736818903655944</v>
      </c>
      <c r="J12" s="128">
        <f>H12*Imports_Fossil!$O$31/Imports_Fossil!$M$31</f>
        <v>69.823429605777719</v>
      </c>
      <c r="K12" s="116"/>
    </row>
    <row r="13" spans="2:11">
      <c r="B13" s="40" t="str">
        <f>Processes!C32</f>
        <v>IMPBIOWPE_S1</v>
      </c>
      <c r="C13" s="39" t="str">
        <f>Processes!D32</f>
        <v>Import of Wood Pellets  - Step 1</v>
      </c>
      <c r="D13" s="39" t="str">
        <f>Commodities!$C$41</f>
        <v>BIOWPE</v>
      </c>
      <c r="E13" s="182">
        <f>'SEAI-AEA_BioData'!K$21</f>
        <v>10.652526989586319</v>
      </c>
      <c r="F13" s="182">
        <f>'SEAI-AEA_BioData'!L$21</f>
        <v>8.5029139199388553</v>
      </c>
      <c r="G13" s="182">
        <f>'SEAI-AEA_BioData'!M$21</f>
        <v>7.2847998471386255</v>
      </c>
      <c r="H13" s="182">
        <f>'SEAI-AEA_BioData'!N$21</f>
        <v>6.9504155918601311</v>
      </c>
      <c r="I13" s="182"/>
      <c r="J13" s="182"/>
      <c r="K13" s="39"/>
    </row>
    <row r="14" spans="2:11">
      <c r="B14" s="40" t="str">
        <f>Processes!C33</f>
        <v>IMPBIOWPE_S2</v>
      </c>
      <c r="C14" s="39" t="str">
        <f>Processes!D33</f>
        <v>Import of Wood Pellets  - Step 2</v>
      </c>
      <c r="D14" s="39" t="str">
        <f>Commodities!$C$41</f>
        <v>BIOWPE</v>
      </c>
      <c r="E14" s="182">
        <f>'SEAI-AEA_BioData'!K$42</f>
        <v>11.034680424190311</v>
      </c>
      <c r="F14" s="182">
        <f>'SEAI-AEA_BioData'!L$42</f>
        <v>9.0522594821820963</v>
      </c>
      <c r="G14" s="182">
        <f>'SEAI-AEA_BioData'!M$42</f>
        <v>8.0729913060093619</v>
      </c>
      <c r="H14" s="182">
        <f>'SEAI-AEA_BioData'!N$42</f>
        <v>7.9057991783701151</v>
      </c>
      <c r="I14" s="182"/>
      <c r="J14" s="182"/>
      <c r="K14" s="39"/>
    </row>
    <row r="15" spans="2:11">
      <c r="B15" s="40" t="str">
        <f>Processes!C34</f>
        <v>IMPBIOWPE_S3</v>
      </c>
      <c r="C15" s="39" t="str">
        <f>Processes!D34</f>
        <v>Import of Wood Pellets  - Step 3</v>
      </c>
      <c r="D15" s="39" t="str">
        <f>Commodities!$C$41</f>
        <v>BIOWPE</v>
      </c>
      <c r="E15" s="182">
        <f>'SEAI-AEA_BioData'!K$31</f>
        <v>12.27667908665329</v>
      </c>
      <c r="F15" s="182">
        <f>'SEAI-AEA_BioData'!L$31</f>
        <v>10.103181427343078</v>
      </c>
      <c r="G15" s="182">
        <f>'SEAI-AEA_BioData'!M$31</f>
        <v>8.9328365338683469</v>
      </c>
      <c r="H15" s="182">
        <f>'SEAI-AEA_BioData'!N$31</f>
        <v>8.7656444062291001</v>
      </c>
      <c r="I15" s="182"/>
      <c r="J15" s="182"/>
      <c r="K15" s="39"/>
    </row>
    <row r="16" spans="2:11">
      <c r="B16" s="116" t="str">
        <f>Processes!C35</f>
        <v>IMPBIOWPE_S4</v>
      </c>
      <c r="C16" s="116" t="str">
        <f>Processes!D35</f>
        <v>Import of Wood Pellets  - Step 4</v>
      </c>
      <c r="D16" s="116" t="str">
        <f>Commodities!$C$41</f>
        <v>BIOWPE</v>
      </c>
      <c r="E16" s="128">
        <f>'SEAI-AEA_BioData'!K$53</f>
        <v>12.778255469571032</v>
      </c>
      <c r="F16" s="128">
        <f>'SEAI-AEA_BioData'!L$53</f>
        <v>10.795834527562816</v>
      </c>
      <c r="G16" s="128">
        <f>'SEAI-AEA_BioData'!M$53</f>
        <v>9.9837584790293299</v>
      </c>
      <c r="H16" s="128">
        <f>'SEAI-AEA_BioData'!N$53</f>
        <v>10.055412248017578</v>
      </c>
      <c r="I16" s="128"/>
      <c r="J16" s="128"/>
      <c r="K16" s="116"/>
    </row>
    <row r="17" spans="2:17">
      <c r="B17" s="40" t="str">
        <f>Processes!C36</f>
        <v>IMPBIOWCH_S1</v>
      </c>
      <c r="C17" s="39" t="str">
        <f>Processes!D36</f>
        <v>Import of Wood Chip  - Step 1</v>
      </c>
      <c r="D17" s="39" t="str">
        <f>Commodities!$C$42</f>
        <v>BIOWCH</v>
      </c>
      <c r="E17" s="182">
        <f>'SEAI-AEA_BioData'!K$19</f>
        <v>5.2068405464794116</v>
      </c>
      <c r="F17" s="182">
        <f>'SEAI-AEA_BioData'!L$19</f>
        <v>4.1559186013184295</v>
      </c>
      <c r="G17" s="182">
        <f>'SEAI-AEA_BioData'!M$19</f>
        <v>3.5588038597496894</v>
      </c>
      <c r="H17" s="182">
        <f>'SEAI-AEA_BioData'!N$19</f>
        <v>3.3916117321104422</v>
      </c>
      <c r="I17" s="182"/>
      <c r="J17" s="182"/>
      <c r="K17" s="39"/>
    </row>
    <row r="18" spans="2:17">
      <c r="B18" s="40" t="str">
        <f>Processes!C37</f>
        <v>IMPBIOWCH_S2</v>
      </c>
      <c r="C18" s="39" t="str">
        <f>Processes!D37</f>
        <v>Import of Wood Chip  - Step 2</v>
      </c>
      <c r="D18" s="39" t="str">
        <f>Commodities!$C$42</f>
        <v>BIOWCH</v>
      </c>
      <c r="E18" s="182">
        <f>'SEAI-AEA_BioData'!K$40</f>
        <v>5.3979172637814079</v>
      </c>
      <c r="F18" s="182">
        <f>'SEAI-AEA_BioData'!L$40</f>
        <v>4.4186490876086744</v>
      </c>
      <c r="G18" s="182">
        <f>'SEAI-AEA_BioData'!M$40</f>
        <v>3.9409572943536828</v>
      </c>
      <c r="H18" s="182">
        <f>'SEAI-AEA_BioData'!N$40</f>
        <v>3.8693035253654342</v>
      </c>
      <c r="I18" s="182"/>
      <c r="J18" s="182"/>
      <c r="K18" s="39"/>
    </row>
    <row r="19" spans="2:17">
      <c r="B19" s="40" t="str">
        <f>Processes!C38</f>
        <v>IMPBIOWCH_S3</v>
      </c>
      <c r="C19" s="39" t="str">
        <f>Processes!D38</f>
        <v>Import of Wood Chip  - Step 3</v>
      </c>
      <c r="D19" s="39" t="str">
        <f>Commodities!$C$42</f>
        <v>BIOWCH</v>
      </c>
      <c r="E19" s="182">
        <f>'SEAI-AEA_BioData'!K$29</f>
        <v>6.1383395433266452</v>
      </c>
      <c r="F19" s="182">
        <f>'SEAI-AEA_BioData'!L$29</f>
        <v>5.039648418840164</v>
      </c>
      <c r="G19" s="182">
        <f>'SEAI-AEA_BioData'!M$29</f>
        <v>4.4664182669341734</v>
      </c>
      <c r="H19" s="182">
        <f>'SEAI-AEA_BioData'!N$29</f>
        <v>4.3708799082831753</v>
      </c>
      <c r="I19" s="182"/>
      <c r="J19" s="182"/>
      <c r="K19" s="39"/>
    </row>
    <row r="20" spans="2:17">
      <c r="B20" s="116" t="str">
        <f>Processes!C39</f>
        <v>IMPBIOWCH_S4</v>
      </c>
      <c r="C20" s="116" t="str">
        <f>Processes!D39</f>
        <v>Import of Wood Chip  - Step 4</v>
      </c>
      <c r="D20" s="116" t="str">
        <f>Commodities!$C$42</f>
        <v>BIOWCH</v>
      </c>
      <c r="E20" s="128">
        <f>'SEAI-AEA_BioData'!K$51</f>
        <v>6.3771854399541414</v>
      </c>
      <c r="F20" s="128">
        <f>'SEAI-AEA_BioData'!L$51</f>
        <v>5.3979172637814079</v>
      </c>
      <c r="G20" s="128">
        <f>'SEAI-AEA_BioData'!M$51</f>
        <v>4.9918792395146649</v>
      </c>
      <c r="H20" s="128">
        <f>'SEAI-AEA_BioData'!N$51</f>
        <v>5.039648418840164</v>
      </c>
      <c r="I20" s="128"/>
      <c r="J20" s="128"/>
      <c r="K20" s="116"/>
    </row>
    <row r="21" spans="2:17">
      <c r="B21" s="345" t="str">
        <f>Processes!C31</f>
        <v>IMPBIOJKR_S1</v>
      </c>
      <c r="C21" s="345" t="str">
        <f>Processes!D31</f>
        <v>Import of Bio Jet Kerosene - Step 1</v>
      </c>
      <c r="D21" s="345" t="str">
        <f>Commodities!C36</f>
        <v>BIOJKR</v>
      </c>
      <c r="E21" s="346">
        <f>E5</f>
        <v>18.176172733352441</v>
      </c>
      <c r="F21" s="346">
        <f t="shared" ref="F21:H21" si="0">F5</f>
        <v>17.579057991783699</v>
      </c>
      <c r="G21" s="346">
        <f t="shared" si="0"/>
        <v>16.599789815610968</v>
      </c>
      <c r="H21" s="346">
        <f t="shared" si="0"/>
        <v>15.883252125728479</v>
      </c>
      <c r="I21" s="127"/>
      <c r="J21" s="127"/>
      <c r="K21" s="40"/>
    </row>
    <row r="22" spans="2:17">
      <c r="B22" s="178"/>
      <c r="C22" s="39"/>
      <c r="D22" s="39"/>
      <c r="E22" s="119"/>
      <c r="F22" s="178"/>
      <c r="G22" s="178"/>
      <c r="H22" s="178"/>
      <c r="I22" s="178"/>
      <c r="J22" s="178"/>
      <c r="K22" s="178"/>
      <c r="L22" s="178"/>
    </row>
    <row r="23" spans="2:17" ht="26.25">
      <c r="B23" s="4" t="s">
        <v>134</v>
      </c>
      <c r="C23" s="4"/>
      <c r="D23" s="18" t="s">
        <v>133</v>
      </c>
      <c r="E23" s="119"/>
      <c r="F23" s="178"/>
      <c r="G23" s="178"/>
      <c r="H23" s="178"/>
      <c r="I23" s="178"/>
      <c r="J23" s="178"/>
      <c r="K23" s="178"/>
      <c r="M23" s="233" t="s">
        <v>188</v>
      </c>
      <c r="N23" s="231"/>
      <c r="O23" s="231"/>
      <c r="P23" s="231"/>
      <c r="Q23" s="231"/>
    </row>
    <row r="24" spans="2:17">
      <c r="B24" s="22" t="s">
        <v>2</v>
      </c>
      <c r="C24" s="22" t="s">
        <v>3</v>
      </c>
      <c r="D24" s="22" t="s">
        <v>40</v>
      </c>
      <c r="E24" s="43" t="s">
        <v>327</v>
      </c>
      <c r="F24" s="43" t="s">
        <v>135</v>
      </c>
      <c r="G24" s="43" t="s">
        <v>136</v>
      </c>
      <c r="H24" s="43" t="s">
        <v>137</v>
      </c>
      <c r="I24" s="43" t="s">
        <v>138</v>
      </c>
      <c r="J24" s="180" t="s">
        <v>71</v>
      </c>
      <c r="M24" s="274" t="s">
        <v>189</v>
      </c>
    </row>
    <row r="25" spans="2:17" ht="15.75" thickBot="1">
      <c r="B25" s="13" t="s">
        <v>61</v>
      </c>
      <c r="C25" s="13" t="s">
        <v>49</v>
      </c>
      <c r="D25" s="13" t="s">
        <v>50</v>
      </c>
      <c r="E25" s="10" t="s">
        <v>51</v>
      </c>
      <c r="F25" s="10" t="s">
        <v>51</v>
      </c>
      <c r="G25" s="10" t="s">
        <v>51</v>
      </c>
      <c r="H25" s="10" t="s">
        <v>51</v>
      </c>
      <c r="I25" s="10" t="s">
        <v>51</v>
      </c>
      <c r="J25" s="181"/>
      <c r="M25" s="232"/>
      <c r="N25" s="232"/>
      <c r="O25" s="272" t="s">
        <v>190</v>
      </c>
      <c r="P25" s="272"/>
      <c r="Q25" s="272" t="s">
        <v>191</v>
      </c>
    </row>
    <row r="26" spans="2:17" ht="15.75" thickBot="1">
      <c r="B26" s="120" t="str">
        <f t="shared" ref="B26:C26" si="1">B13</f>
        <v>IMPBIOWPE_S1</v>
      </c>
      <c r="C26" s="120" t="str">
        <f t="shared" si="1"/>
        <v>Import of Wood Pellets  - Step 1</v>
      </c>
      <c r="D26" s="39" t="str">
        <f>Commodities!$C$41</f>
        <v>BIOWPE</v>
      </c>
      <c r="E26" s="183">
        <f t="shared" ref="E26:E33" si="2">SUM($O$26:$Q$26)</f>
        <v>4.8499999999999996</v>
      </c>
      <c r="F26" s="183">
        <f>SUM($O$26:$P$26)+$Q$26*(Imports_Fossil!L$31/Imports_Fossil!$D$31)</f>
        <v>4.1959971466765573</v>
      </c>
      <c r="G26" s="183">
        <f>SUM($O$26:$P$26)+$Q$26*(Imports_Fossil!M$31/Imports_Fossil!$D$31)</f>
        <v>5.1596541174136927</v>
      </c>
      <c r="H26" s="183">
        <f>SUM($O$26:$P$26)+$Q$26*(Imports_Fossil!N$31/Imports_Fossil!$D$31)</f>
        <v>5.5665315050582613</v>
      </c>
      <c r="I26" s="183">
        <f>SUM($O$26:$P$26)+$Q$26*(Imports_Fossil!O$31/Imports_Fossil!$D$31)</f>
        <v>6.0342803129016236</v>
      </c>
      <c r="J26" s="515" t="s">
        <v>139</v>
      </c>
      <c r="M26" s="241" t="s">
        <v>192</v>
      </c>
      <c r="N26" s="270" t="s">
        <v>193</v>
      </c>
      <c r="O26" s="262">
        <v>0.53</v>
      </c>
      <c r="P26" s="262">
        <v>1.91</v>
      </c>
      <c r="Q26" s="262">
        <v>2.41</v>
      </c>
    </row>
    <row r="27" spans="2:17">
      <c r="B27" s="38" t="str">
        <f t="shared" ref="B27:C27" si="3">B14</f>
        <v>IMPBIOWPE_S2</v>
      </c>
      <c r="C27" s="38" t="str">
        <f t="shared" si="3"/>
        <v>Import of Wood Pellets  - Step 2</v>
      </c>
      <c r="D27" s="39" t="str">
        <f>Commodities!$C$41</f>
        <v>BIOWPE</v>
      </c>
      <c r="E27" s="235">
        <f t="shared" si="2"/>
        <v>4.8499999999999996</v>
      </c>
      <c r="F27" s="235">
        <f>SUM($O$26:$P$26)+$Q$26*(Imports_Fossil!L$31/Imports_Fossil!$D$31)</f>
        <v>4.1959971466765573</v>
      </c>
      <c r="G27" s="235">
        <f>SUM($O$26:$P$26)+$Q$26*(Imports_Fossil!M$31/Imports_Fossil!$D$31)</f>
        <v>5.1596541174136927</v>
      </c>
      <c r="H27" s="235">
        <f>SUM($O$26:$P$26)+$Q$26*(Imports_Fossil!N$31/Imports_Fossil!$D$31)</f>
        <v>5.5665315050582613</v>
      </c>
      <c r="I27" s="235">
        <f>SUM($O$26:$P$26)+$Q$26*(Imports_Fossil!O$31/Imports_Fossil!$D$31)</f>
        <v>6.0342803129016236</v>
      </c>
      <c r="J27" s="516"/>
      <c r="L27" s="237"/>
      <c r="M27" s="271"/>
      <c r="N27" s="267"/>
      <c r="O27" s="267"/>
      <c r="P27" s="267"/>
    </row>
    <row r="28" spans="2:17">
      <c r="B28" s="38" t="str">
        <f t="shared" ref="B28:C28" si="4">B15</f>
        <v>IMPBIOWPE_S3</v>
      </c>
      <c r="C28" s="38" t="str">
        <f t="shared" si="4"/>
        <v>Import of Wood Pellets  - Step 3</v>
      </c>
      <c r="D28" s="39" t="str">
        <f>Commodities!$C$41</f>
        <v>BIOWPE</v>
      </c>
      <c r="E28" s="235">
        <f t="shared" si="2"/>
        <v>4.8499999999999996</v>
      </c>
      <c r="F28" s="235">
        <f>SUM($O$26:$P$26)+$Q$26*(Imports_Fossil!L$31/Imports_Fossil!$D$31)</f>
        <v>4.1959971466765573</v>
      </c>
      <c r="G28" s="235">
        <f>SUM($O$26:$P$26)+$Q$26*(Imports_Fossil!M$31/Imports_Fossil!$D$31)</f>
        <v>5.1596541174136927</v>
      </c>
      <c r="H28" s="235">
        <f>SUM($O$26:$P$26)+$Q$26*(Imports_Fossil!N$31/Imports_Fossil!$D$31)</f>
        <v>5.5665315050582613</v>
      </c>
      <c r="I28" s="235">
        <f>SUM($O$26:$P$26)+$Q$26*(Imports_Fossil!O$31/Imports_Fossil!$D$31)</f>
        <v>6.0342803129016236</v>
      </c>
      <c r="J28" s="516"/>
      <c r="L28" s="230"/>
      <c r="M28" s="239"/>
      <c r="N28" s="239"/>
      <c r="O28" s="239"/>
      <c r="P28" s="239"/>
      <c r="Q28" s="239"/>
    </row>
    <row r="29" spans="2:17">
      <c r="B29" s="122" t="str">
        <f t="shared" ref="B29:C29" si="5">B16</f>
        <v>IMPBIOWPE_S4</v>
      </c>
      <c r="C29" s="122" t="str">
        <f t="shared" si="5"/>
        <v>Import of Wood Pellets  - Step 4</v>
      </c>
      <c r="D29" s="116" t="str">
        <f>Commodities!$C$41</f>
        <v>BIOWPE</v>
      </c>
      <c r="E29" s="236">
        <f t="shared" si="2"/>
        <v>4.8499999999999996</v>
      </c>
      <c r="F29" s="236">
        <f>SUM($O$26:$P$26)+$Q$26*(Imports_Fossil!L$31/Imports_Fossil!$D$31)</f>
        <v>4.1959971466765573</v>
      </c>
      <c r="G29" s="236">
        <f>SUM($O$26:$P$26)+$Q$26*(Imports_Fossil!M$31/Imports_Fossil!$D$31)</f>
        <v>5.1596541174136927</v>
      </c>
      <c r="H29" s="236">
        <f>SUM($O$26:$P$26)+$Q$26*(Imports_Fossil!N$31/Imports_Fossil!$D$31)</f>
        <v>5.5665315050582613</v>
      </c>
      <c r="I29" s="236">
        <f>SUM($O$26:$P$26)+$Q$26*(Imports_Fossil!O$31/Imports_Fossil!$D$31)</f>
        <v>6.0342803129016236</v>
      </c>
      <c r="J29" s="516"/>
      <c r="L29" s="178"/>
    </row>
    <row r="30" spans="2:17">
      <c r="B30" s="184" t="str">
        <f t="shared" ref="B30:C30" si="6">B17</f>
        <v>IMPBIOWCH_S1</v>
      </c>
      <c r="C30" s="184" t="str">
        <f t="shared" si="6"/>
        <v>Import of Wood Chip  - Step 1</v>
      </c>
      <c r="D30" s="39" t="str">
        <f>Commodities!$C$42</f>
        <v>BIOWCH</v>
      </c>
      <c r="E30" s="185">
        <f t="shared" si="2"/>
        <v>4.8499999999999996</v>
      </c>
      <c r="F30" s="185">
        <f>SUM($O$26:$P$26)+$Q$26*(Imports_Fossil!L$31/Imports_Fossil!$D$31)</f>
        <v>4.1959971466765573</v>
      </c>
      <c r="G30" s="185">
        <f>SUM($O$26:$P$26)+$Q$26*(Imports_Fossil!M$31/Imports_Fossil!$D$31)</f>
        <v>5.1596541174136927</v>
      </c>
      <c r="H30" s="185">
        <f>SUM($O$26:$P$26)+$Q$26*(Imports_Fossil!N$31/Imports_Fossil!$D$31)</f>
        <v>5.5665315050582613</v>
      </c>
      <c r="I30" s="185">
        <f>SUM($O$26:$P$26)+$Q$26*(Imports_Fossil!O$31/Imports_Fossil!$D$31)</f>
        <v>6.0342803129016236</v>
      </c>
      <c r="J30" s="516"/>
      <c r="L30" s="178"/>
    </row>
    <row r="31" spans="2:17">
      <c r="B31" s="38" t="str">
        <f t="shared" ref="B31:C31" si="7">B18</f>
        <v>IMPBIOWCH_S2</v>
      </c>
      <c r="C31" s="38" t="str">
        <f t="shared" si="7"/>
        <v>Import of Wood Chip  - Step 2</v>
      </c>
      <c r="D31" s="39" t="str">
        <f>Commodities!$C$42</f>
        <v>BIOWCH</v>
      </c>
      <c r="E31" s="235">
        <f t="shared" si="2"/>
        <v>4.8499999999999996</v>
      </c>
      <c r="F31" s="235">
        <f>SUM($O$26:$P$26)+$Q$26*(Imports_Fossil!L$31/Imports_Fossil!$D$31)</f>
        <v>4.1959971466765573</v>
      </c>
      <c r="G31" s="235">
        <f>SUM($O$26:$P$26)+$Q$26*(Imports_Fossil!M$31/Imports_Fossil!$D$31)</f>
        <v>5.1596541174136927</v>
      </c>
      <c r="H31" s="235">
        <f>SUM($O$26:$P$26)+$Q$26*(Imports_Fossil!N$31/Imports_Fossil!$D$31)</f>
        <v>5.5665315050582613</v>
      </c>
      <c r="I31" s="235">
        <f>SUM($O$26:$P$26)+$Q$26*(Imports_Fossil!O$31/Imports_Fossil!$D$31)</f>
        <v>6.0342803129016236</v>
      </c>
      <c r="J31" s="516"/>
      <c r="L31" s="178"/>
    </row>
    <row r="32" spans="2:17">
      <c r="B32" s="38" t="str">
        <f t="shared" ref="B32:C32" si="8">B19</f>
        <v>IMPBIOWCH_S3</v>
      </c>
      <c r="C32" s="38" t="str">
        <f t="shared" si="8"/>
        <v>Import of Wood Chip  - Step 3</v>
      </c>
      <c r="D32" s="39" t="str">
        <f>Commodities!$C$42</f>
        <v>BIOWCH</v>
      </c>
      <c r="E32" s="235">
        <f t="shared" si="2"/>
        <v>4.8499999999999996</v>
      </c>
      <c r="F32" s="235">
        <f>SUM($O$26:$P$26)+$Q$26*(Imports_Fossil!L$31/Imports_Fossil!$D$31)</f>
        <v>4.1959971466765573</v>
      </c>
      <c r="G32" s="235">
        <f>SUM($O$26:$P$26)+$Q$26*(Imports_Fossil!M$31/Imports_Fossil!$D$31)</f>
        <v>5.1596541174136927</v>
      </c>
      <c r="H32" s="235">
        <f>SUM($O$26:$P$26)+$Q$26*(Imports_Fossil!N$31/Imports_Fossil!$D$31)</f>
        <v>5.5665315050582613</v>
      </c>
      <c r="I32" s="235">
        <f>SUM($O$26:$P$26)+$Q$26*(Imports_Fossil!O$31/Imports_Fossil!$D$31)</f>
        <v>6.0342803129016236</v>
      </c>
      <c r="J32" s="516"/>
      <c r="L32" s="178"/>
    </row>
    <row r="33" spans="2:22">
      <c r="B33" s="122" t="str">
        <f t="shared" ref="B33:C33" si="9">B20</f>
        <v>IMPBIOWCH_S4</v>
      </c>
      <c r="C33" s="122" t="str">
        <f t="shared" si="9"/>
        <v>Import of Wood Chip  - Step 4</v>
      </c>
      <c r="D33" s="116" t="str">
        <f>Commodities!$C$42</f>
        <v>BIOWCH</v>
      </c>
      <c r="E33" s="236">
        <f t="shared" si="2"/>
        <v>4.8499999999999996</v>
      </c>
      <c r="F33" s="236">
        <f>SUM($O$26:$P$26)+$Q$26*(Imports_Fossil!L$31/Imports_Fossil!$D$31)</f>
        <v>4.1959971466765573</v>
      </c>
      <c r="G33" s="236">
        <f>SUM($O$26:$P$26)+$Q$26*(Imports_Fossil!M$31/Imports_Fossil!$D$31)</f>
        <v>5.1596541174136927</v>
      </c>
      <c r="H33" s="236">
        <f>SUM($O$26:$P$26)+$Q$26*(Imports_Fossil!N$31/Imports_Fossil!$D$31)</f>
        <v>5.5665315050582613</v>
      </c>
      <c r="I33" s="236">
        <f>SUM($O$26:$P$26)+$Q$26*(Imports_Fossil!O$31/Imports_Fossil!$D$31)</f>
        <v>6.0342803129016236</v>
      </c>
      <c r="J33" s="517"/>
      <c r="L33" s="178"/>
    </row>
    <row r="34" spans="2:22">
      <c r="B34" s="178"/>
      <c r="C34" s="39"/>
      <c r="D34" s="39"/>
      <c r="E34" s="119"/>
      <c r="F34" s="178"/>
      <c r="G34" s="178"/>
      <c r="H34" s="178"/>
      <c r="I34" s="178"/>
      <c r="J34" s="178"/>
      <c r="K34" s="178"/>
      <c r="L34" s="178"/>
    </row>
    <row r="35" spans="2:22">
      <c r="F35" s="44"/>
      <c r="G35" s="44"/>
      <c r="H35" s="45"/>
      <c r="I35" s="45"/>
      <c r="J35" s="240"/>
    </row>
    <row r="36" spans="2:22" ht="18.75">
      <c r="B36" s="4" t="s">
        <v>105</v>
      </c>
      <c r="C36" s="5"/>
      <c r="D36" s="18" t="s">
        <v>99</v>
      </c>
      <c r="H36" s="44"/>
      <c r="I36" s="44"/>
      <c r="J36" s="45"/>
      <c r="K36" s="45"/>
      <c r="L36" s="240"/>
      <c r="Q36"/>
      <c r="R36"/>
      <c r="S36"/>
      <c r="T36"/>
      <c r="U36"/>
      <c r="V36"/>
    </row>
    <row r="37" spans="2:22">
      <c r="B37" s="22" t="s">
        <v>2</v>
      </c>
      <c r="C37" s="22" t="s">
        <v>3</v>
      </c>
      <c r="D37" s="22" t="s">
        <v>40</v>
      </c>
      <c r="E37" s="43">
        <v>2018</v>
      </c>
      <c r="F37" s="43">
        <v>2020</v>
      </c>
      <c r="G37" s="43">
        <v>2025</v>
      </c>
      <c r="H37" s="43">
        <v>2030</v>
      </c>
      <c r="I37" s="43">
        <v>2035</v>
      </c>
      <c r="J37" s="43">
        <v>2040</v>
      </c>
      <c r="K37" s="43">
        <v>2045</v>
      </c>
      <c r="L37" s="43">
        <v>2050</v>
      </c>
      <c r="M37" s="333">
        <v>0</v>
      </c>
      <c r="N37" s="180" t="s">
        <v>71</v>
      </c>
      <c r="O37" s="43"/>
      <c r="Q37"/>
      <c r="R37"/>
      <c r="S37"/>
      <c r="T37"/>
      <c r="U37"/>
      <c r="V37"/>
    </row>
    <row r="38" spans="2:22" ht="15.75" thickBot="1">
      <c r="B38" s="10" t="s">
        <v>61</v>
      </c>
      <c r="C38" s="10" t="s">
        <v>49</v>
      </c>
      <c r="D38" s="10" t="s">
        <v>50</v>
      </c>
      <c r="E38" s="10" t="s">
        <v>10</v>
      </c>
      <c r="F38" s="10" t="s">
        <v>10</v>
      </c>
      <c r="G38" s="10" t="s">
        <v>10</v>
      </c>
      <c r="H38" s="10" t="s">
        <v>10</v>
      </c>
      <c r="I38" s="10" t="s">
        <v>10</v>
      </c>
      <c r="J38" s="10" t="s">
        <v>10</v>
      </c>
      <c r="K38" s="10" t="s">
        <v>10</v>
      </c>
      <c r="L38" s="10" t="s">
        <v>10</v>
      </c>
      <c r="M38" s="10" t="s">
        <v>491</v>
      </c>
      <c r="N38" s="10"/>
      <c r="O38" s="10"/>
      <c r="Q38"/>
      <c r="R38"/>
      <c r="S38"/>
      <c r="T38"/>
      <c r="U38"/>
      <c r="V38"/>
    </row>
    <row r="39" spans="2:22">
      <c r="B39" s="120" t="str">
        <f>Imports_Bio!B5</f>
        <v>IMPBIOETH1G_S1</v>
      </c>
      <c r="C39" s="120" t="str">
        <f>Imports_Bio!C5</f>
        <v>Import of Ethanol 1st generation  - Step 1</v>
      </c>
      <c r="D39" s="121" t="str">
        <f>Commodities!$C$30</f>
        <v>BIOETH1G</v>
      </c>
      <c r="E39" s="264">
        <f>'EB2018'!AJ3*Conversions!$B$2</f>
        <v>0.95668374631852515</v>
      </c>
      <c r="F39" s="130">
        <f>E39</f>
        <v>0.95668374631852515</v>
      </c>
      <c r="G39" s="130">
        <f t="shared" ref="G39:L39" si="10">F39</f>
        <v>0.95668374631852515</v>
      </c>
      <c r="H39" s="130">
        <f t="shared" si="10"/>
        <v>0.95668374631852515</v>
      </c>
      <c r="I39" s="130">
        <f t="shared" si="10"/>
        <v>0.95668374631852515</v>
      </c>
      <c r="J39" s="130">
        <f t="shared" si="10"/>
        <v>0.95668374631852515</v>
      </c>
      <c r="K39" s="130">
        <f t="shared" si="10"/>
        <v>0.95668374631852515</v>
      </c>
      <c r="L39" s="130">
        <f t="shared" si="10"/>
        <v>0.95668374631852515</v>
      </c>
      <c r="M39" s="334">
        <v>5</v>
      </c>
      <c r="N39" s="143" t="s">
        <v>508</v>
      </c>
      <c r="O39" s="130"/>
      <c r="Q39"/>
      <c r="R39"/>
      <c r="S39"/>
      <c r="T39"/>
      <c r="U39"/>
      <c r="V39"/>
    </row>
    <row r="40" spans="2:22">
      <c r="B40" s="38" t="str">
        <f>Imports_Bio!B6</f>
        <v>IMPBIOETH1G_S2</v>
      </c>
      <c r="C40" s="38" t="str">
        <f>Imports_Bio!C6</f>
        <v>Import of Ethanol 1st generation  - Step 2</v>
      </c>
      <c r="D40" s="40" t="str">
        <f>Commodities!$C$30</f>
        <v>BIOETH1G</v>
      </c>
      <c r="E40" s="266">
        <v>0</v>
      </c>
      <c r="F40" s="127">
        <f>F39*2</f>
        <v>1.9133674926370503</v>
      </c>
      <c r="G40" s="127">
        <f t="shared" ref="G40:L41" si="11">G39*2</f>
        <v>1.9133674926370503</v>
      </c>
      <c r="H40" s="127">
        <f t="shared" si="11"/>
        <v>1.9133674926370503</v>
      </c>
      <c r="I40" s="127">
        <f t="shared" si="11"/>
        <v>1.9133674926370503</v>
      </c>
      <c r="J40" s="127">
        <f t="shared" si="11"/>
        <v>1.9133674926370503</v>
      </c>
      <c r="K40" s="127">
        <f t="shared" si="11"/>
        <v>1.9133674926370503</v>
      </c>
      <c r="L40" s="127">
        <f t="shared" si="11"/>
        <v>1.9133674926370503</v>
      </c>
      <c r="M40" s="335">
        <v>5</v>
      </c>
      <c r="N40" s="144" t="s">
        <v>265</v>
      </c>
      <c r="O40" s="127"/>
      <c r="Q40"/>
      <c r="R40"/>
      <c r="S40"/>
      <c r="T40"/>
      <c r="U40"/>
      <c r="V40"/>
    </row>
    <row r="41" spans="2:22">
      <c r="B41" s="38" t="str">
        <f>Imports_Bio!B7</f>
        <v>IMPBIOETH1G_S3</v>
      </c>
      <c r="C41" s="38" t="str">
        <f>Imports_Bio!C7</f>
        <v>Import of Ethanol 1st generation  - Step 3</v>
      </c>
      <c r="D41" s="40" t="str">
        <f>Commodities!$C$30</f>
        <v>BIOETH1G</v>
      </c>
      <c r="E41" s="266">
        <v>0</v>
      </c>
      <c r="F41" s="127">
        <f>F40*2</f>
        <v>3.8267349852741006</v>
      </c>
      <c r="G41" s="127">
        <f t="shared" si="11"/>
        <v>3.8267349852741006</v>
      </c>
      <c r="H41" s="127">
        <f t="shared" si="11"/>
        <v>3.8267349852741006</v>
      </c>
      <c r="I41" s="127">
        <f t="shared" si="11"/>
        <v>3.8267349852741006</v>
      </c>
      <c r="J41" s="127">
        <f t="shared" si="11"/>
        <v>3.8267349852741006</v>
      </c>
      <c r="K41" s="127">
        <f t="shared" si="11"/>
        <v>3.8267349852741006</v>
      </c>
      <c r="L41" s="127">
        <f t="shared" si="11"/>
        <v>3.8267349852741006</v>
      </c>
      <c r="M41" s="335">
        <v>5</v>
      </c>
      <c r="N41" s="144" t="s">
        <v>266</v>
      </c>
      <c r="O41" s="127"/>
      <c r="Q41"/>
      <c r="R41"/>
      <c r="S41"/>
      <c r="T41"/>
      <c r="U41"/>
      <c r="V41"/>
    </row>
    <row r="42" spans="2:22">
      <c r="B42" s="122" t="str">
        <f>"*"&amp;Imports_Bio!B8</f>
        <v>*IMPBIOETH1G_S4</v>
      </c>
      <c r="C42" s="122" t="str">
        <f>Imports_Bio!C8</f>
        <v>Import of Ethanol 1st generation  - Step 4</v>
      </c>
      <c r="D42" s="116" t="str">
        <f>Commodities!$C$30</f>
        <v>BIOETH1G</v>
      </c>
      <c r="E42" s="268">
        <v>0</v>
      </c>
      <c r="F42" s="128">
        <v>27.064417978971818</v>
      </c>
      <c r="G42" s="128">
        <v>27.064417978971818</v>
      </c>
      <c r="H42" s="128">
        <v>27.064417978971818</v>
      </c>
      <c r="I42" s="128">
        <v>27.064417978971818</v>
      </c>
      <c r="J42" s="128">
        <v>27.064417978971818</v>
      </c>
      <c r="K42" s="128">
        <v>27.064417978971818</v>
      </c>
      <c r="L42" s="128">
        <v>27.064417978971818</v>
      </c>
      <c r="M42" s="336">
        <v>5</v>
      </c>
      <c r="N42" s="145" t="s">
        <v>267</v>
      </c>
      <c r="O42" s="128"/>
      <c r="Q42"/>
      <c r="R42"/>
      <c r="S42"/>
      <c r="T42"/>
      <c r="U42"/>
      <c r="V42"/>
    </row>
    <row r="43" spans="2:22" ht="15.75" thickBot="1">
      <c r="B43" s="123" t="s">
        <v>100</v>
      </c>
      <c r="C43" s="123"/>
      <c r="D43" s="124"/>
      <c r="E43" s="131"/>
      <c r="F43" s="131">
        <f>G43</f>
        <v>59.810866344000004</v>
      </c>
      <c r="G43" s="131">
        <f>H43</f>
        <v>59.810866344000004</v>
      </c>
      <c r="H43" s="131">
        <f>'SEAI-AEA_BioData'!G54*Conversions!$B$2/1000</f>
        <v>59.810866344000004</v>
      </c>
      <c r="I43" s="131">
        <f>H43</f>
        <v>59.810866344000004</v>
      </c>
      <c r="J43" s="131">
        <f t="shared" ref="J43:L43" si="12">I43</f>
        <v>59.810866344000004</v>
      </c>
      <c r="K43" s="131">
        <f t="shared" si="12"/>
        <v>59.810866344000004</v>
      </c>
      <c r="L43" s="131">
        <f t="shared" si="12"/>
        <v>59.810866344000004</v>
      </c>
      <c r="M43" s="337"/>
      <c r="N43" s="146" t="s">
        <v>103</v>
      </c>
      <c r="O43" s="131"/>
      <c r="Q43"/>
      <c r="R43"/>
      <c r="S43"/>
      <c r="T43"/>
      <c r="U43"/>
      <c r="V43"/>
    </row>
    <row r="44" spans="2:22">
      <c r="B44" s="120" t="str">
        <f>Imports_Bio!B9</f>
        <v>IMPBIODST1G_S1</v>
      </c>
      <c r="C44" s="120" t="str">
        <f>Imports_Bio!C9</f>
        <v>Import of Biodiesel 1st generation  - Step 1</v>
      </c>
      <c r="D44" s="121" t="str">
        <f>Commodities!$C$32</f>
        <v>BIODST1G</v>
      </c>
      <c r="E44" s="264">
        <f>'EB2018'!AI3*Conversions!$B$2</f>
        <v>4.3613769615262452</v>
      </c>
      <c r="F44" s="130">
        <f>E44</f>
        <v>4.3613769615262452</v>
      </c>
      <c r="G44" s="130">
        <f t="shared" ref="G44:L44" si="13">F44</f>
        <v>4.3613769615262452</v>
      </c>
      <c r="H44" s="130">
        <f t="shared" si="13"/>
        <v>4.3613769615262452</v>
      </c>
      <c r="I44" s="130">
        <f t="shared" si="13"/>
        <v>4.3613769615262452</v>
      </c>
      <c r="J44" s="130">
        <f t="shared" si="13"/>
        <v>4.3613769615262452</v>
      </c>
      <c r="K44" s="130">
        <f t="shared" si="13"/>
        <v>4.3613769615262452</v>
      </c>
      <c r="L44" s="130">
        <f t="shared" si="13"/>
        <v>4.3613769615262452</v>
      </c>
      <c r="M44" s="334">
        <v>5</v>
      </c>
      <c r="N44" s="143" t="s">
        <v>508</v>
      </c>
      <c r="O44" s="130"/>
      <c r="Q44"/>
      <c r="R44"/>
      <c r="S44"/>
      <c r="T44"/>
      <c r="U44"/>
      <c r="V44"/>
    </row>
    <row r="45" spans="2:22">
      <c r="B45" s="38" t="str">
        <f>Imports_Bio!B10</f>
        <v>IMPBIODST1G_S2</v>
      </c>
      <c r="C45" s="38" t="str">
        <f>Imports_Bio!C10</f>
        <v>Import of Biodiesel 1st generation  - Step 2</v>
      </c>
      <c r="D45" s="40" t="str">
        <f>Commodities!$C$32</f>
        <v>BIODST1G</v>
      </c>
      <c r="E45" s="266">
        <v>0</v>
      </c>
      <c r="F45" s="127">
        <f>F44*2</f>
        <v>8.7227539230524904</v>
      </c>
      <c r="G45" s="127">
        <f t="shared" ref="G45:L46" si="14">G44*2</f>
        <v>8.7227539230524904</v>
      </c>
      <c r="H45" s="127">
        <f t="shared" si="14"/>
        <v>8.7227539230524904</v>
      </c>
      <c r="I45" s="127">
        <f t="shared" si="14"/>
        <v>8.7227539230524904</v>
      </c>
      <c r="J45" s="127">
        <f t="shared" si="14"/>
        <v>8.7227539230524904</v>
      </c>
      <c r="K45" s="127">
        <f t="shared" si="14"/>
        <v>8.7227539230524904</v>
      </c>
      <c r="L45" s="127">
        <f t="shared" si="14"/>
        <v>8.7227539230524904</v>
      </c>
      <c r="M45" s="335">
        <v>5</v>
      </c>
      <c r="N45" s="144" t="s">
        <v>265</v>
      </c>
      <c r="O45" s="127"/>
      <c r="Q45" s="47"/>
    </row>
    <row r="46" spans="2:22">
      <c r="B46" s="38" t="str">
        <f>Imports_Bio!B11</f>
        <v>IMPBIODST1G_S3</v>
      </c>
      <c r="C46" s="38" t="str">
        <f>Imports_Bio!C11</f>
        <v>Import of Biodiesel 1st generation  - Step 3</v>
      </c>
      <c r="D46" s="40" t="str">
        <f>Commodities!$C$32</f>
        <v>BIODST1G</v>
      </c>
      <c r="E46" s="266">
        <v>0</v>
      </c>
      <c r="F46" s="127">
        <f>F45*2</f>
        <v>17.445507846104981</v>
      </c>
      <c r="G46" s="127">
        <f t="shared" si="14"/>
        <v>17.445507846104981</v>
      </c>
      <c r="H46" s="127">
        <f t="shared" si="14"/>
        <v>17.445507846104981</v>
      </c>
      <c r="I46" s="127">
        <f t="shared" si="14"/>
        <v>17.445507846104981</v>
      </c>
      <c r="J46" s="127">
        <f t="shared" si="14"/>
        <v>17.445507846104981</v>
      </c>
      <c r="K46" s="127">
        <f t="shared" si="14"/>
        <v>17.445507846104981</v>
      </c>
      <c r="L46" s="127">
        <f t="shared" si="14"/>
        <v>17.445507846104981</v>
      </c>
      <c r="M46" s="335">
        <v>5</v>
      </c>
      <c r="N46" s="144" t="s">
        <v>266</v>
      </c>
      <c r="O46" s="127"/>
      <c r="Q46" s="47"/>
    </row>
    <row r="47" spans="2:22">
      <c r="B47" s="122" t="str">
        <f>"*"&amp;Imports_Bio!B12</f>
        <v>*IMPBIODST1G_S4</v>
      </c>
      <c r="C47" s="122" t="str">
        <f>Imports_Bio!C12</f>
        <v>Import of Biodiesel 1st generation  - Step 4</v>
      </c>
      <c r="D47" s="116" t="str">
        <f>Commodities!$C$32</f>
        <v>BIODST1G</v>
      </c>
      <c r="E47" s="268">
        <v>0</v>
      </c>
      <c r="F47" s="128">
        <f>F48-SUM(F44:F46)</f>
        <v>72.228951163880168</v>
      </c>
      <c r="G47" s="128">
        <f t="shared" ref="G47:L47" si="15">G48-SUM(G44:G46)</f>
        <v>72.228951163880168</v>
      </c>
      <c r="H47" s="128">
        <f t="shared" si="15"/>
        <v>72.228951163880168</v>
      </c>
      <c r="I47" s="128">
        <f t="shared" si="15"/>
        <v>72.228951163880168</v>
      </c>
      <c r="J47" s="128">
        <f t="shared" si="15"/>
        <v>72.228951163880168</v>
      </c>
      <c r="K47" s="128">
        <f t="shared" si="15"/>
        <v>72.228951163880168</v>
      </c>
      <c r="L47" s="128">
        <f t="shared" si="15"/>
        <v>72.228951163880168</v>
      </c>
      <c r="M47" s="336">
        <v>5</v>
      </c>
      <c r="N47" s="145" t="s">
        <v>267</v>
      </c>
      <c r="O47" s="128"/>
      <c r="Q47" s="47"/>
    </row>
    <row r="48" spans="2:22" ht="15.75" thickBot="1">
      <c r="B48" s="123" t="s">
        <v>100</v>
      </c>
      <c r="C48" s="123"/>
      <c r="D48" s="125"/>
      <c r="E48" s="131"/>
      <c r="F48" s="131">
        <f>G48</f>
        <v>102.75858989456388</v>
      </c>
      <c r="G48" s="131">
        <f>H48</f>
        <v>102.75858989456388</v>
      </c>
      <c r="H48" s="131">
        <f>2727.05194883825*Conversions!$B$2*0.9</f>
        <v>102.75858989456388</v>
      </c>
      <c r="I48" s="131">
        <f>H48</f>
        <v>102.75858989456388</v>
      </c>
      <c r="J48" s="131">
        <f t="shared" ref="J48:L48" si="16">I48</f>
        <v>102.75858989456388</v>
      </c>
      <c r="K48" s="131">
        <f t="shared" si="16"/>
        <v>102.75858989456388</v>
      </c>
      <c r="L48" s="131">
        <f t="shared" si="16"/>
        <v>102.75858989456388</v>
      </c>
      <c r="M48" s="337"/>
      <c r="N48" s="146" t="s">
        <v>264</v>
      </c>
      <c r="O48" s="131"/>
      <c r="Q48" s="47"/>
    </row>
    <row r="49" spans="2:17">
      <c r="B49" s="120" t="str">
        <f>Imports_Bio!B13</f>
        <v>IMPBIOWPE_S1</v>
      </c>
      <c r="C49" s="120" t="str">
        <f>Imports_Bio!C13</f>
        <v>Import of Wood Pellets  - Step 1</v>
      </c>
      <c r="D49" s="39" t="str">
        <f>Commodities!$C$41</f>
        <v>BIOWPE</v>
      </c>
      <c r="E49" s="264">
        <f>'EB2018'!AE3*Conversions!$B$2*Imports_Bio!$Q$49</f>
        <v>0.67902889168989577</v>
      </c>
      <c r="F49" s="130">
        <f>MAX(E49:E49)</f>
        <v>0.67902889168989577</v>
      </c>
      <c r="G49" s="130">
        <f>F49</f>
        <v>0.67902889168989577</v>
      </c>
      <c r="H49" s="130">
        <f t="shared" ref="H49:L49" si="17">G49</f>
        <v>0.67902889168989577</v>
      </c>
      <c r="I49" s="130">
        <f t="shared" si="17"/>
        <v>0.67902889168989577</v>
      </c>
      <c r="J49" s="130">
        <f t="shared" si="17"/>
        <v>0.67902889168989577</v>
      </c>
      <c r="K49" s="130">
        <f t="shared" si="17"/>
        <v>0.67902889168989577</v>
      </c>
      <c r="L49" s="130">
        <f t="shared" si="17"/>
        <v>0.67902889168989577</v>
      </c>
      <c r="M49" s="334">
        <v>5</v>
      </c>
      <c r="N49" s="143" t="s">
        <v>268</v>
      </c>
      <c r="O49" s="130"/>
      <c r="Q49" s="265">
        <v>0.7</v>
      </c>
    </row>
    <row r="50" spans="2:17">
      <c r="B50" s="38" t="str">
        <f>Imports_Bio!B14</f>
        <v>IMPBIOWPE_S2</v>
      </c>
      <c r="C50" s="38" t="str">
        <f>Imports_Bio!C14</f>
        <v>Import of Wood Pellets  - Step 2</v>
      </c>
      <c r="D50" s="39" t="str">
        <f>Commodities!$C$41</f>
        <v>BIOWPE</v>
      </c>
      <c r="E50" s="266">
        <v>0</v>
      </c>
      <c r="F50" s="127">
        <f>F49*2</f>
        <v>1.3580577833797915</v>
      </c>
      <c r="G50" s="127">
        <f t="shared" ref="G50:L51" si="18">G49*2</f>
        <v>1.3580577833797915</v>
      </c>
      <c r="H50" s="127">
        <f t="shared" si="18"/>
        <v>1.3580577833797915</v>
      </c>
      <c r="I50" s="127">
        <f t="shared" si="18"/>
        <v>1.3580577833797915</v>
      </c>
      <c r="J50" s="127">
        <f t="shared" si="18"/>
        <v>1.3580577833797915</v>
      </c>
      <c r="K50" s="127">
        <f t="shared" si="18"/>
        <v>1.3580577833797915</v>
      </c>
      <c r="L50" s="127">
        <f t="shared" si="18"/>
        <v>1.3580577833797915</v>
      </c>
      <c r="M50" s="335">
        <v>5</v>
      </c>
      <c r="N50" s="144" t="s">
        <v>265</v>
      </c>
      <c r="O50" s="127"/>
      <c r="Q50" s="47"/>
    </row>
    <row r="51" spans="2:17">
      <c r="B51" s="38" t="str">
        <f>Imports_Bio!B15</f>
        <v>IMPBIOWPE_S3</v>
      </c>
      <c r="C51" s="38" t="str">
        <f>Imports_Bio!C15</f>
        <v>Import of Wood Pellets  - Step 3</v>
      </c>
      <c r="D51" s="39" t="str">
        <f>Commodities!$C$41</f>
        <v>BIOWPE</v>
      </c>
      <c r="E51" s="266">
        <v>0</v>
      </c>
      <c r="F51" s="127">
        <f>F50*2</f>
        <v>2.7161155667595831</v>
      </c>
      <c r="G51" s="127">
        <f t="shared" si="18"/>
        <v>2.7161155667595831</v>
      </c>
      <c r="H51" s="127">
        <f t="shared" si="18"/>
        <v>2.7161155667595831</v>
      </c>
      <c r="I51" s="127">
        <f t="shared" si="18"/>
        <v>2.7161155667595831</v>
      </c>
      <c r="J51" s="127">
        <f t="shared" si="18"/>
        <v>2.7161155667595831</v>
      </c>
      <c r="K51" s="127">
        <f t="shared" si="18"/>
        <v>2.7161155667595831</v>
      </c>
      <c r="L51" s="127">
        <f t="shared" si="18"/>
        <v>2.7161155667595831</v>
      </c>
      <c r="M51" s="335">
        <v>5</v>
      </c>
      <c r="N51" s="144" t="s">
        <v>266</v>
      </c>
      <c r="O51" s="127"/>
      <c r="Q51" s="47"/>
    </row>
    <row r="52" spans="2:17">
      <c r="B52" s="122" t="str">
        <f>"*"&amp;Imports_Bio!B16</f>
        <v>*IMPBIOWPE_S4</v>
      </c>
      <c r="C52" s="122" t="str">
        <f>Imports_Bio!C16</f>
        <v>Import of Wood Pellets  - Step 4</v>
      </c>
      <c r="D52" s="116" t="str">
        <f>Commodities!$C$41</f>
        <v>BIOWPE</v>
      </c>
      <c r="E52" s="268">
        <v>0</v>
      </c>
      <c r="F52" s="128">
        <f>F53-SUM(F49:F51)</f>
        <v>105.39325776217073</v>
      </c>
      <c r="G52" s="128">
        <f t="shared" ref="G52:L52" si="19">G53-SUM(G49:G51)</f>
        <v>105.39325776217073</v>
      </c>
      <c r="H52" s="128">
        <f t="shared" si="19"/>
        <v>105.39325776217073</v>
      </c>
      <c r="I52" s="128">
        <f t="shared" si="19"/>
        <v>105.39325776217073</v>
      </c>
      <c r="J52" s="128">
        <f t="shared" si="19"/>
        <v>105.39325776217073</v>
      </c>
      <c r="K52" s="128">
        <f t="shared" si="19"/>
        <v>105.39325776217073</v>
      </c>
      <c r="L52" s="128">
        <f t="shared" si="19"/>
        <v>105.39325776217073</v>
      </c>
      <c r="M52" s="336">
        <v>5</v>
      </c>
      <c r="N52" s="145" t="s">
        <v>267</v>
      </c>
      <c r="O52" s="128"/>
      <c r="Q52" s="47"/>
    </row>
    <row r="53" spans="2:17" ht="15.75" thickBot="1">
      <c r="B53" s="123" t="s">
        <v>100</v>
      </c>
      <c r="C53" s="123"/>
      <c r="D53" s="124"/>
      <c r="E53" s="131"/>
      <c r="F53" s="131">
        <f>G53</f>
        <v>110.14646000400001</v>
      </c>
      <c r="G53" s="131">
        <f>H53</f>
        <v>110.14646000400001</v>
      </c>
      <c r="H53" s="131">
        <f>'SEAI-AEA_BioData'!G52*Conversions!$B$2/1000</f>
        <v>110.14646000400001</v>
      </c>
      <c r="I53" s="131">
        <f>H53</f>
        <v>110.14646000400001</v>
      </c>
      <c r="J53" s="131">
        <f t="shared" ref="J53:L53" si="20">I53</f>
        <v>110.14646000400001</v>
      </c>
      <c r="K53" s="131">
        <f t="shared" si="20"/>
        <v>110.14646000400001</v>
      </c>
      <c r="L53" s="131">
        <f t="shared" si="20"/>
        <v>110.14646000400001</v>
      </c>
      <c r="M53" s="337"/>
      <c r="N53" s="146" t="s">
        <v>103</v>
      </c>
      <c r="O53" s="131"/>
      <c r="Q53" s="47"/>
    </row>
    <row r="54" spans="2:17">
      <c r="B54" s="120" t="str">
        <f>Imports_Bio!B17</f>
        <v>IMPBIOWCH_S1</v>
      </c>
      <c r="C54" s="120" t="str">
        <f>Imports_Bio!C17</f>
        <v>Import of Wood Chip  - Step 1</v>
      </c>
      <c r="D54" s="121" t="str">
        <f>Commodities!$C$42</f>
        <v>BIOWCH</v>
      </c>
      <c r="E54" s="264">
        <f>'EB2018'!AE3*Conversions!$B$2*Imports_Bio!$Q$54</f>
        <v>0.29101238215281255</v>
      </c>
      <c r="F54" s="130">
        <f>MAX(E54:E54)</f>
        <v>0.29101238215281255</v>
      </c>
      <c r="G54" s="130">
        <f>F54</f>
        <v>0.29101238215281255</v>
      </c>
      <c r="H54" s="130">
        <f t="shared" ref="H54:L54" si="21">G54</f>
        <v>0.29101238215281255</v>
      </c>
      <c r="I54" s="130">
        <f t="shared" si="21"/>
        <v>0.29101238215281255</v>
      </c>
      <c r="J54" s="130">
        <f t="shared" si="21"/>
        <v>0.29101238215281255</v>
      </c>
      <c r="K54" s="130">
        <f t="shared" si="21"/>
        <v>0.29101238215281255</v>
      </c>
      <c r="L54" s="130">
        <f t="shared" si="21"/>
        <v>0.29101238215281255</v>
      </c>
      <c r="M54" s="334">
        <v>5</v>
      </c>
      <c r="N54" s="143" t="s">
        <v>268</v>
      </c>
      <c r="O54" s="130"/>
      <c r="Q54" s="263">
        <f>1-Q49</f>
        <v>0.30000000000000004</v>
      </c>
    </row>
    <row r="55" spans="2:17">
      <c r="B55" s="38" t="str">
        <f>Imports_Bio!B18</f>
        <v>IMPBIOWCH_S2</v>
      </c>
      <c r="C55" s="38" t="str">
        <f>Imports_Bio!C18</f>
        <v>Import of Wood Chip  - Step 2</v>
      </c>
      <c r="D55" s="40" t="str">
        <f>Commodities!$C$42</f>
        <v>BIOWCH</v>
      </c>
      <c r="E55" s="266">
        <v>0</v>
      </c>
      <c r="F55" s="127">
        <f>F54*2</f>
        <v>0.58202476430562511</v>
      </c>
      <c r="G55" s="127">
        <f t="shared" ref="G55:L56" si="22">G54*2</f>
        <v>0.58202476430562511</v>
      </c>
      <c r="H55" s="127">
        <f t="shared" si="22"/>
        <v>0.58202476430562511</v>
      </c>
      <c r="I55" s="127">
        <f t="shared" si="22"/>
        <v>0.58202476430562511</v>
      </c>
      <c r="J55" s="127">
        <f t="shared" si="22"/>
        <v>0.58202476430562511</v>
      </c>
      <c r="K55" s="127">
        <f t="shared" si="22"/>
        <v>0.58202476430562511</v>
      </c>
      <c r="L55" s="127">
        <f t="shared" si="22"/>
        <v>0.58202476430562511</v>
      </c>
      <c r="M55" s="335">
        <v>5</v>
      </c>
      <c r="N55" s="144" t="s">
        <v>265</v>
      </c>
      <c r="O55" s="127"/>
      <c r="Q55" s="47"/>
    </row>
    <row r="56" spans="2:17">
      <c r="B56" s="38" t="str">
        <f>Imports_Bio!B19</f>
        <v>IMPBIOWCH_S3</v>
      </c>
      <c r="C56" s="38" t="str">
        <f>Imports_Bio!C19</f>
        <v>Import of Wood Chip  - Step 3</v>
      </c>
      <c r="D56" s="40" t="str">
        <f>Commodities!$C$42</f>
        <v>BIOWCH</v>
      </c>
      <c r="E56" s="266">
        <v>0</v>
      </c>
      <c r="F56" s="127">
        <f>F55*2</f>
        <v>1.1640495286112502</v>
      </c>
      <c r="G56" s="127">
        <f t="shared" si="22"/>
        <v>1.1640495286112502</v>
      </c>
      <c r="H56" s="127">
        <f t="shared" si="22"/>
        <v>1.1640495286112502</v>
      </c>
      <c r="I56" s="127">
        <f t="shared" si="22"/>
        <v>1.1640495286112502</v>
      </c>
      <c r="J56" s="127">
        <f t="shared" si="22"/>
        <v>1.1640495286112502</v>
      </c>
      <c r="K56" s="127">
        <f t="shared" si="22"/>
        <v>1.1640495286112502</v>
      </c>
      <c r="L56" s="127">
        <f t="shared" si="22"/>
        <v>1.1640495286112502</v>
      </c>
      <c r="M56" s="335">
        <v>5</v>
      </c>
      <c r="N56" s="144" t="s">
        <v>266</v>
      </c>
      <c r="O56" s="127"/>
      <c r="Q56" s="47"/>
    </row>
    <row r="57" spans="2:17">
      <c r="B57" s="122" t="str">
        <f>"*"&amp;Imports_Bio!B20</f>
        <v>*IMPBIOWCH_S4</v>
      </c>
      <c r="C57" s="122" t="str">
        <f>Imports_Bio!C20</f>
        <v>Import of Wood Chip  - Step 4</v>
      </c>
      <c r="D57" s="116" t="str">
        <f>Commodities!$C$42</f>
        <v>BIOWCH</v>
      </c>
      <c r="E57" s="268">
        <v>0</v>
      </c>
      <c r="F57" s="128">
        <f>F58-SUM(F54:F56)</f>
        <v>34.678386036930313</v>
      </c>
      <c r="G57" s="128">
        <f t="shared" ref="G57:L57" si="23">G58-SUM(G54:G56)</f>
        <v>34.678386036930313</v>
      </c>
      <c r="H57" s="128">
        <f t="shared" si="23"/>
        <v>34.678386036930313</v>
      </c>
      <c r="I57" s="128">
        <f t="shared" si="23"/>
        <v>34.678386036930313</v>
      </c>
      <c r="J57" s="128">
        <f t="shared" si="23"/>
        <v>34.678386036930313</v>
      </c>
      <c r="K57" s="128">
        <f t="shared" si="23"/>
        <v>34.678386036930313</v>
      </c>
      <c r="L57" s="128">
        <f t="shared" si="23"/>
        <v>34.678386036930313</v>
      </c>
      <c r="M57" s="336">
        <v>5</v>
      </c>
      <c r="N57" s="145" t="s">
        <v>267</v>
      </c>
      <c r="O57" s="128"/>
      <c r="Q57" s="47"/>
    </row>
    <row r="58" spans="2:17" ht="15.75" thickBot="1">
      <c r="B58" s="125" t="s">
        <v>100</v>
      </c>
      <c r="C58" s="125"/>
      <c r="D58" s="126"/>
      <c r="E58" s="132"/>
      <c r="F58" s="132">
        <f>G58</f>
        <v>36.715472712</v>
      </c>
      <c r="G58" s="132">
        <f>H58</f>
        <v>36.715472712</v>
      </c>
      <c r="H58" s="132">
        <f>'SEAI-AEA_BioData'!G50*Conversions!$B$2/1000</f>
        <v>36.715472712</v>
      </c>
      <c r="I58" s="132">
        <f>H58</f>
        <v>36.715472712</v>
      </c>
      <c r="J58" s="132">
        <f>I58</f>
        <v>36.715472712</v>
      </c>
      <c r="K58" s="132">
        <f>J58</f>
        <v>36.715472712</v>
      </c>
      <c r="L58" s="132">
        <f>K58</f>
        <v>36.715472712</v>
      </c>
      <c r="M58" s="338"/>
      <c r="N58" s="147" t="s">
        <v>103</v>
      </c>
      <c r="O58" s="132"/>
      <c r="Q58" s="47"/>
    </row>
  </sheetData>
  <mergeCells count="1">
    <mergeCell ref="J26:J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2:N24"/>
  <sheetViews>
    <sheetView zoomScaleNormal="100" workbookViewId="0">
      <selection activeCell="E28" sqref="E28"/>
    </sheetView>
  </sheetViews>
  <sheetFormatPr defaultColWidth="9.140625" defaultRowHeight="15"/>
  <cols>
    <col min="1" max="1" width="9.140625" style="198"/>
    <col min="2" max="2" width="16.42578125" style="198" customWidth="1"/>
    <col min="3" max="3" width="32" style="198" bestFit="1" customWidth="1"/>
    <col min="4" max="4" width="10.85546875" style="198" bestFit="1" customWidth="1"/>
    <col min="5" max="7" width="11" style="198" customWidth="1"/>
    <col min="8" max="8" width="15.5703125" style="198" customWidth="1"/>
    <col min="9" max="9" width="20.7109375" style="198" customWidth="1"/>
    <col min="10" max="10" width="14.85546875" style="198" customWidth="1"/>
    <col min="11" max="11" width="11" style="273" customWidth="1"/>
    <col min="12" max="12" width="11" style="198" customWidth="1"/>
    <col min="13" max="15" width="9.140625" style="198"/>
    <col min="16" max="16" width="12.7109375" style="198" bestFit="1" customWidth="1"/>
    <col min="17" max="17" width="29.85546875" style="198" bestFit="1" customWidth="1"/>
    <col min="18" max="16384" width="9.140625" style="198"/>
  </cols>
  <sheetData>
    <row r="2" spans="2:14" ht="18.75">
      <c r="B2" s="16" t="s">
        <v>52</v>
      </c>
      <c r="C2" s="17"/>
      <c r="D2" s="18" t="s">
        <v>39</v>
      </c>
      <c r="F2" s="19"/>
      <c r="G2" s="19"/>
      <c r="H2" s="19"/>
      <c r="I2" s="19"/>
      <c r="J2" s="19"/>
      <c r="K2" s="19"/>
      <c r="L2" s="19"/>
      <c r="M2" s="19"/>
      <c r="N2" s="20"/>
    </row>
    <row r="3" spans="2:14">
      <c r="B3" s="21" t="s">
        <v>2</v>
      </c>
      <c r="C3" s="21" t="s">
        <v>3</v>
      </c>
      <c r="D3" s="22" t="s">
        <v>40</v>
      </c>
      <c r="E3" s="23" t="s">
        <v>53</v>
      </c>
      <c r="F3" s="24" t="s">
        <v>326</v>
      </c>
      <c r="G3" s="24" t="s">
        <v>47</v>
      </c>
      <c r="H3" s="24" t="s">
        <v>489</v>
      </c>
      <c r="I3" s="24" t="s">
        <v>251</v>
      </c>
      <c r="J3" s="24" t="s">
        <v>252</v>
      </c>
      <c r="K3" s="20"/>
    </row>
    <row r="4" spans="2:14" ht="15.75" thickBot="1">
      <c r="B4" s="13" t="s">
        <v>48</v>
      </c>
      <c r="C4" s="13" t="s">
        <v>49</v>
      </c>
      <c r="D4" s="10"/>
      <c r="E4" s="10" t="s">
        <v>10</v>
      </c>
      <c r="F4" s="10" t="s">
        <v>56</v>
      </c>
      <c r="G4" s="10" t="s">
        <v>56</v>
      </c>
      <c r="H4" s="10"/>
      <c r="I4" s="10" t="s">
        <v>10</v>
      </c>
      <c r="J4" s="10"/>
      <c r="K4" s="25"/>
    </row>
    <row r="5" spans="2:14">
      <c r="B5" s="19" t="str">
        <f>Processes!C41</f>
        <v>MINGASNAT_S1</v>
      </c>
      <c r="C5" s="19" t="str">
        <f>Processes!D41</f>
        <v>Domestic Potential of Natural Gas  - Step 1</v>
      </c>
      <c r="D5" s="29" t="str">
        <f>Commodities!$C$21</f>
        <v>GASNAT</v>
      </c>
      <c r="E5" s="134">
        <v>742.12800479999999</v>
      </c>
      <c r="F5" s="135">
        <v>0.90792311671470816</v>
      </c>
      <c r="G5" s="135">
        <v>1.192910095016825</v>
      </c>
      <c r="H5" s="250">
        <f>'EB2018'!AA2*Conversions!B2</f>
        <v>115.21735253047301</v>
      </c>
      <c r="I5" s="135">
        <f>MAX(H5:H5)*3</f>
        <v>345.65205759141901</v>
      </c>
      <c r="J5" s="134">
        <v>5</v>
      </c>
      <c r="K5" s="19"/>
    </row>
    <row r="6" spans="2:14">
      <c r="B6" s="19" t="str">
        <f>Processes!C42</f>
        <v>MINGASNAT_S2</v>
      </c>
      <c r="C6" s="19" t="str">
        <f>Processes!D42</f>
        <v>Domestic Potential of Natural Gas  - Step 2</v>
      </c>
      <c r="D6" s="217" t="str">
        <f>Commodities!$C$21</f>
        <v>GASNAT</v>
      </c>
      <c r="E6" s="134">
        <v>88.744650140343495</v>
      </c>
      <c r="F6" s="135">
        <v>1.8</v>
      </c>
      <c r="G6" s="135">
        <v>1.9434992461159508</v>
      </c>
      <c r="H6" s="134">
        <v>0</v>
      </c>
      <c r="I6" s="134"/>
      <c r="J6" s="134">
        <v>5</v>
      </c>
      <c r="K6" s="19"/>
    </row>
    <row r="7" spans="2:14">
      <c r="B7" s="19" t="str">
        <f>Processes!C43</f>
        <v>MINPEAT_S1</v>
      </c>
      <c r="C7" s="19" t="str">
        <f>Processes!D43</f>
        <v>Domestic Potential of Peat  - Step 1</v>
      </c>
      <c r="D7" s="29" t="str">
        <f>Commodities!$C$10</f>
        <v>PEAT</v>
      </c>
      <c r="E7" s="134">
        <v>1960</v>
      </c>
      <c r="F7" s="135">
        <v>0.99399999999999999</v>
      </c>
      <c r="G7" s="135">
        <v>1.2</v>
      </c>
      <c r="H7" s="250">
        <f>'EB2018'!H2*Conversions!B2</f>
        <v>34.161120643357741</v>
      </c>
      <c r="I7" s="135">
        <f>MAX(H7:H7)</f>
        <v>34.161120643357741</v>
      </c>
      <c r="J7" s="134">
        <v>5</v>
      </c>
      <c r="K7" s="19"/>
    </row>
    <row r="8" spans="2:14">
      <c r="B8" s="137" t="str">
        <f>Processes!C44</f>
        <v>MINPEAT_S2</v>
      </c>
      <c r="C8" s="137" t="str">
        <f>Processes!D44</f>
        <v>Domestic Potential of Peat  - Step 2</v>
      </c>
      <c r="D8" s="217" t="str">
        <f>Commodities!$C$10</f>
        <v>PEAT</v>
      </c>
      <c r="E8" s="139">
        <v>2400</v>
      </c>
      <c r="F8" s="139">
        <v>0.99399999999999999</v>
      </c>
      <c r="G8" s="139">
        <v>1.2</v>
      </c>
      <c r="H8" s="139">
        <v>0</v>
      </c>
      <c r="I8" s="139"/>
      <c r="J8" s="139">
        <v>5</v>
      </c>
      <c r="K8" s="32"/>
    </row>
    <row r="9" spans="2:14">
      <c r="B9" s="57" t="s">
        <v>71</v>
      </c>
      <c r="C9" s="57"/>
      <c r="D9" s="57"/>
      <c r="E9" s="518" t="s">
        <v>273</v>
      </c>
      <c r="F9" s="518"/>
      <c r="G9" s="518"/>
      <c r="H9" s="330" t="s">
        <v>272</v>
      </c>
      <c r="I9" s="229" t="s">
        <v>271</v>
      </c>
      <c r="J9" s="57"/>
      <c r="K9" s="19"/>
    </row>
    <row r="10" spans="2:14">
      <c r="B10" s="19"/>
      <c r="C10" s="19"/>
      <c r="D10" s="19"/>
      <c r="F10" s="251"/>
      <c r="G10" s="19"/>
      <c r="H10" s="19"/>
      <c r="I10" s="19"/>
      <c r="J10" s="19"/>
      <c r="K10" s="19"/>
      <c r="L10" s="19"/>
      <c r="M10" s="19"/>
      <c r="N10" s="19"/>
    </row>
    <row r="11" spans="2:14">
      <c r="B11" s="25"/>
      <c r="C11" s="25"/>
      <c r="D11" s="33"/>
      <c r="E11" s="19"/>
      <c r="G11" s="19"/>
      <c r="H11" s="19"/>
      <c r="I11" s="19"/>
      <c r="J11" s="19"/>
      <c r="K11" s="19"/>
      <c r="L11" s="19"/>
      <c r="M11" s="19"/>
      <c r="N11" s="19"/>
    </row>
    <row r="12" spans="2:14">
      <c r="B12" s="19"/>
      <c r="C12" s="19"/>
      <c r="D12" s="34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2:14" ht="18.75">
      <c r="B13" s="16" t="s">
        <v>57</v>
      </c>
      <c r="C13" s="17"/>
      <c r="D13" s="18" t="s">
        <v>60</v>
      </c>
      <c r="E13" s="19"/>
      <c r="F13" s="19"/>
      <c r="G13" s="19"/>
      <c r="H13" s="19"/>
      <c r="I13" s="19"/>
      <c r="J13" s="19"/>
      <c r="K13" s="19"/>
      <c r="L13" s="19"/>
      <c r="M13" s="35"/>
      <c r="N13" s="19"/>
    </row>
    <row r="14" spans="2:14" ht="25.5">
      <c r="B14" s="21" t="s">
        <v>2</v>
      </c>
      <c r="C14" s="21" t="s">
        <v>3</v>
      </c>
      <c r="D14" s="22" t="s">
        <v>40</v>
      </c>
      <c r="E14" s="23" t="s">
        <v>41</v>
      </c>
      <c r="F14" s="24" t="s">
        <v>54</v>
      </c>
      <c r="G14" s="24" t="s">
        <v>55</v>
      </c>
      <c r="H14" s="19"/>
      <c r="I14" s="19"/>
      <c r="J14" s="19"/>
      <c r="K14" s="19"/>
      <c r="L14" s="19"/>
      <c r="M14" s="35"/>
      <c r="N14" s="200"/>
    </row>
    <row r="15" spans="2:14" ht="15.75" thickBot="1">
      <c r="B15" s="10" t="s">
        <v>48</v>
      </c>
      <c r="C15" s="10" t="s">
        <v>49</v>
      </c>
      <c r="D15" s="10"/>
      <c r="E15" s="10" t="s">
        <v>56</v>
      </c>
      <c r="F15" s="10" t="s">
        <v>10</v>
      </c>
      <c r="G15" s="10" t="s">
        <v>10</v>
      </c>
      <c r="H15" s="19"/>
      <c r="I15" s="19"/>
      <c r="J15" s="19"/>
      <c r="K15" s="19"/>
      <c r="L15" s="19"/>
      <c r="M15" s="35"/>
      <c r="N15" s="201"/>
    </row>
    <row r="16" spans="2:14">
      <c r="B16" s="19" t="str">
        <f>Processes!C45</f>
        <v>MINRENHYD</v>
      </c>
      <c r="C16" s="19" t="str">
        <f>Processes!D45</f>
        <v xml:space="preserve">Domestic Potential of Hydro </v>
      </c>
      <c r="D16" s="29" t="str">
        <f>Commodities!C24</f>
        <v>RENHYD</v>
      </c>
      <c r="E16" s="36"/>
      <c r="F16" s="30"/>
      <c r="G16" s="30"/>
      <c r="H16" s="30"/>
      <c r="I16" s="30"/>
      <c r="L16" s="30"/>
      <c r="M16" s="35"/>
      <c r="N16" s="202"/>
    </row>
    <row r="17" spans="2:14">
      <c r="B17" s="19" t="str">
        <f>Processes!C46</f>
        <v>MINRENWIN</v>
      </c>
      <c r="C17" s="19" t="str">
        <f>Processes!D46</f>
        <v xml:space="preserve">Domestic Potential of Wind </v>
      </c>
      <c r="D17" s="29" t="str">
        <f>Commodities!C25</f>
        <v>RENWIN</v>
      </c>
      <c r="E17" s="36"/>
      <c r="F17" s="30"/>
      <c r="G17" s="30"/>
      <c r="H17" s="30"/>
      <c r="I17" s="30"/>
      <c r="L17" s="30"/>
      <c r="M17" s="204"/>
      <c r="N17" s="203"/>
    </row>
    <row r="18" spans="2:14">
      <c r="B18" s="19" t="str">
        <f>Processes!C47</f>
        <v>MINRENSOL</v>
      </c>
      <c r="C18" s="19" t="str">
        <f>Processes!D47</f>
        <v xml:space="preserve">Domestic Potential of Solar </v>
      </c>
      <c r="D18" s="29" t="str">
        <f>Commodities!C26</f>
        <v>RENSOL</v>
      </c>
      <c r="E18" s="36"/>
      <c r="F18" s="30"/>
      <c r="G18" s="30"/>
      <c r="H18" s="31"/>
      <c r="I18" s="31"/>
      <c r="L18" s="31"/>
      <c r="M18" s="204"/>
      <c r="N18" s="204"/>
    </row>
    <row r="19" spans="2:14">
      <c r="B19" s="19" t="str">
        <f>Processes!C48</f>
        <v>MINMSWAS</v>
      </c>
      <c r="C19" s="19" t="str">
        <f>Processes!D48</f>
        <v xml:space="preserve">Domestic Potential of Municipal Solid Waste </v>
      </c>
      <c r="D19" s="29" t="str">
        <f>Commodities!C27</f>
        <v>MSWAS</v>
      </c>
      <c r="E19" s="19"/>
      <c r="F19" s="19"/>
      <c r="G19" s="19"/>
      <c r="H19" s="19"/>
      <c r="I19" s="19"/>
      <c r="L19" s="19"/>
      <c r="M19" s="204"/>
      <c r="N19" s="204"/>
    </row>
    <row r="20" spans="2:14">
      <c r="B20" s="19" t="str">
        <f>Processes!C49</f>
        <v>MINRENOCE</v>
      </c>
      <c r="C20" s="19" t="str">
        <f>Processes!D49</f>
        <v xml:space="preserve">Domestic Potential of Ocean </v>
      </c>
      <c r="D20" s="29" t="str">
        <f>Commodities!C28</f>
        <v>RENOCE</v>
      </c>
      <c r="E20" s="19"/>
      <c r="F20" s="19"/>
      <c r="G20" s="19"/>
      <c r="H20" s="19"/>
      <c r="I20" s="19"/>
      <c r="L20" s="19"/>
      <c r="M20" s="204"/>
      <c r="N20" s="204"/>
    </row>
    <row r="21" spans="2:14">
      <c r="B21" s="137" t="str">
        <f>Processes!C50</f>
        <v>MINRENGEO</v>
      </c>
      <c r="C21" s="137" t="str">
        <f>Processes!D50</f>
        <v xml:space="preserve">Domestic Potential of Geothermal </v>
      </c>
      <c r="D21" s="138" t="str">
        <f>Commodities!C29</f>
        <v>RENGEO</v>
      </c>
      <c r="E21" s="137"/>
      <c r="F21" s="137"/>
      <c r="G21" s="137"/>
      <c r="H21" s="19"/>
      <c r="I21" s="19"/>
      <c r="L21" s="19"/>
      <c r="M21" s="204"/>
      <c r="N21" s="204"/>
    </row>
    <row r="22" spans="2:14">
      <c r="B22" s="25" t="str">
        <f>Processes!C82</f>
        <v>MINCYC</v>
      </c>
      <c r="C22" s="25" t="str">
        <f>Processes!D82</f>
        <v>Domestic Potential of Cycling</v>
      </c>
      <c r="D22" s="25" t="str">
        <f>Commodities!C50</f>
        <v>CYC</v>
      </c>
      <c r="E22" s="25"/>
      <c r="F22" s="25"/>
      <c r="G22" s="25"/>
      <c r="H22" s="25"/>
      <c r="I22" s="25"/>
      <c r="J22" s="25"/>
      <c r="K22" s="25"/>
      <c r="L22" s="37"/>
      <c r="M22" s="204"/>
      <c r="N22" s="204"/>
    </row>
    <row r="23" spans="2:14">
      <c r="B23" s="25" t="str">
        <f>Processes!C83</f>
        <v>MINWLK</v>
      </c>
      <c r="C23" s="25" t="str">
        <f>Processes!D83</f>
        <v>Domestic Potential of Walking</v>
      </c>
      <c r="D23" s="25" t="str">
        <f>Commodities!C51</f>
        <v>WLK</v>
      </c>
      <c r="N23" s="204"/>
    </row>
    <row r="24" spans="2:14">
      <c r="B24" s="25" t="str">
        <f>Processes!C84</f>
        <v>MINAMBHET</v>
      </c>
      <c r="C24" s="25" t="str">
        <f>Processes!D84</f>
        <v>Domestic Potential of Ambient Heat</v>
      </c>
      <c r="D24" s="25" t="str">
        <f>Commodities!C52</f>
        <v>AMBHET</v>
      </c>
      <c r="E24" s="273"/>
      <c r="F24" s="273"/>
      <c r="G24" s="273"/>
    </row>
  </sheetData>
  <mergeCells count="1">
    <mergeCell ref="E9:G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B2:Q42"/>
  <sheetViews>
    <sheetView workbookViewId="0">
      <selection activeCell="I20" sqref="I20"/>
    </sheetView>
  </sheetViews>
  <sheetFormatPr defaultColWidth="9.140625" defaultRowHeight="12.75"/>
  <cols>
    <col min="1" max="1" width="9.140625" style="39"/>
    <col min="2" max="2" width="17.42578125" style="39" customWidth="1"/>
    <col min="3" max="3" width="40.7109375" style="39" bestFit="1" customWidth="1"/>
    <col min="4" max="4" width="15.85546875" style="39" bestFit="1" customWidth="1"/>
    <col min="5" max="5" width="11.140625" style="39" customWidth="1"/>
    <col min="6" max="8" width="9.140625" style="39"/>
    <col min="9" max="9" width="14.140625" style="39" bestFit="1" customWidth="1"/>
    <col min="10" max="10" width="39.5703125" style="39" bestFit="1" customWidth="1"/>
    <col min="11" max="16384" width="9.140625" style="39"/>
  </cols>
  <sheetData>
    <row r="2" spans="2:17" ht="18.75">
      <c r="B2" s="4" t="s">
        <v>166</v>
      </c>
      <c r="C2" s="4"/>
      <c r="D2" s="18" t="s">
        <v>60</v>
      </c>
      <c r="E2" s="194"/>
      <c r="F2" s="194"/>
    </row>
    <row r="3" spans="2:17">
      <c r="B3" s="22" t="s">
        <v>2</v>
      </c>
      <c r="C3" s="22" t="s">
        <v>3</v>
      </c>
      <c r="D3" s="22" t="s">
        <v>40</v>
      </c>
      <c r="E3" s="43" t="s">
        <v>326</v>
      </c>
      <c r="F3" s="180" t="s">
        <v>71</v>
      </c>
    </row>
    <row r="4" spans="2:17" ht="13.5" thickBot="1">
      <c r="B4" s="10" t="s">
        <v>61</v>
      </c>
      <c r="C4" s="13" t="s">
        <v>49</v>
      </c>
      <c r="D4" s="13" t="s">
        <v>50</v>
      </c>
      <c r="E4" s="10" t="s">
        <v>51</v>
      </c>
      <c r="F4" s="10"/>
    </row>
    <row r="5" spans="2:17" ht="15">
      <c r="B5" s="38" t="str">
        <f>Processes!C51</f>
        <v>MINBIOWOO1_S1</v>
      </c>
      <c r="C5" s="39" t="str">
        <f>Processes!D51</f>
        <v>Domestic Potential of Sawmill residues - Step 1</v>
      </c>
      <c r="D5" s="39" t="str">
        <f>Commodities!$C$38</f>
        <v>BIOWOO1</v>
      </c>
      <c r="E5" s="182">
        <v>10</v>
      </c>
      <c r="F5" s="519" t="s">
        <v>177</v>
      </c>
      <c r="Q5" s="275"/>
    </row>
    <row r="6" spans="2:17" ht="15">
      <c r="B6" s="38" t="str">
        <f>Processes!C54</f>
        <v>MINBIOWOO2_S1</v>
      </c>
      <c r="C6" s="39" t="str">
        <f>Processes!D54</f>
        <v>Domestic Potential of Post-Consumer Recycled Wood - Step 1</v>
      </c>
      <c r="D6" s="39" t="str">
        <f>Commodities!$C$39</f>
        <v>BIOWOO2</v>
      </c>
      <c r="E6" s="182">
        <v>10</v>
      </c>
      <c r="F6" s="520"/>
      <c r="Q6" s="275"/>
    </row>
    <row r="7" spans="2:17" ht="15">
      <c r="B7" s="38" t="str">
        <f>Processes!C60</f>
        <v>MINBIOMSW1_S1</v>
      </c>
      <c r="C7" s="39" t="str">
        <f>Processes!D60</f>
        <v>Domestic Potential of Biodegradable Municipal Solid Waste potential - Solid  - Step 1</v>
      </c>
      <c r="D7" s="39" t="str">
        <f>Commodities!$C$43</f>
        <v>BIOMSW1</v>
      </c>
      <c r="E7" s="182">
        <v>10</v>
      </c>
      <c r="F7" s="520"/>
      <c r="Q7" s="275"/>
    </row>
    <row r="8" spans="2:17" ht="15">
      <c r="B8" s="38" t="str">
        <f>Processes!C66</f>
        <v>MINBIOTLW_S1</v>
      </c>
      <c r="C8" s="39" t="str">
        <f>Processes!D66</f>
        <v>Domestic Potential of Tallow  - Step 1</v>
      </c>
      <c r="D8" s="39" t="str">
        <f>Commodities!$C$45</f>
        <v>BIOTLW</v>
      </c>
      <c r="E8" s="182">
        <v>10</v>
      </c>
      <c r="F8" s="520"/>
      <c r="Q8" s="275"/>
    </row>
    <row r="9" spans="2:17" ht="15">
      <c r="B9" s="38" t="str">
        <f>Processes!C69</f>
        <v>MINBIORVO_S1</v>
      </c>
      <c r="C9" s="39" t="str">
        <f>Processes!D69</f>
        <v>Domestic Potential of Recovered Vegetable Oil  - Step 1</v>
      </c>
      <c r="D9" s="39" t="str">
        <f>Commodities!$C$46</f>
        <v>BIORVO</v>
      </c>
      <c r="E9" s="182">
        <v>10</v>
      </c>
      <c r="F9" s="520"/>
      <c r="Q9" s="275"/>
    </row>
    <row r="10" spans="2:17" ht="15">
      <c r="B10" s="38" t="str">
        <f>Processes!C57</f>
        <v>MINBIOWOO3_S1</v>
      </c>
      <c r="C10" s="39" t="str">
        <f>Processes!D57</f>
        <v>Domestic Potential of Straw - Step 1</v>
      </c>
      <c r="D10" s="39" t="str">
        <f>Commodities!$C$40</f>
        <v>BIOWOO3</v>
      </c>
      <c r="E10" s="182">
        <v>10</v>
      </c>
      <c r="F10" s="520"/>
      <c r="Q10" s="275"/>
    </row>
    <row r="11" spans="2:17" ht="15">
      <c r="B11" s="38" t="str">
        <f>Processes!C73</f>
        <v>MINBIOCATW_S1</v>
      </c>
      <c r="C11" s="39" t="str">
        <f>Processes!D73</f>
        <v>Domestic Potential of Cattle Waste  - Step 1</v>
      </c>
      <c r="D11" s="39" t="str">
        <f>Commodities!$C$47</f>
        <v>BIOCATW</v>
      </c>
      <c r="E11" s="182">
        <v>10</v>
      </c>
      <c r="F11" s="520"/>
      <c r="Q11" s="275"/>
    </row>
    <row r="12" spans="2:17" ht="15">
      <c r="B12" s="38" t="str">
        <f>Processes!C76</f>
        <v>MINBIOPIGW_S1</v>
      </c>
      <c r="C12" s="39" t="str">
        <f>Processes!D76</f>
        <v>Domestic Potential of Pig Waste  - Step 1</v>
      </c>
      <c r="D12" s="39" t="str">
        <f>Commodities!$C$48</f>
        <v>BIOPIGW</v>
      </c>
      <c r="E12" s="182">
        <v>10</v>
      </c>
      <c r="F12" s="520"/>
      <c r="Q12" s="275"/>
    </row>
    <row r="13" spans="2:17" ht="15">
      <c r="B13" s="38" t="str">
        <f>Processes!C63</f>
        <v>MINBIOMSW2_S1</v>
      </c>
      <c r="C13" s="39" t="str">
        <f>Processes!D63</f>
        <v>Domestic Potential of Biodegradable Municipal Solid Waste  - Step 1</v>
      </c>
      <c r="D13" s="39" t="str">
        <f>Commodities!$C$44</f>
        <v>BIOMSW2</v>
      </c>
      <c r="E13" s="182">
        <v>10</v>
      </c>
      <c r="F13" s="520"/>
      <c r="Q13" s="275"/>
    </row>
    <row r="14" spans="2:17" ht="15">
      <c r="B14" s="122" t="str">
        <f>Processes!C79</f>
        <v>MINBIOINDF_S1</v>
      </c>
      <c r="C14" s="116" t="str">
        <f>Processes!D79</f>
        <v>Domestic Potential of Industrial Food Waste  - Step 1</v>
      </c>
      <c r="D14" s="116" t="str">
        <f>Commodities!$C$49</f>
        <v>BIOINDF</v>
      </c>
      <c r="E14" s="128">
        <v>10</v>
      </c>
      <c r="F14" s="520"/>
      <c r="Q14" s="275"/>
    </row>
    <row r="15" spans="2:17" ht="15">
      <c r="B15" s="38" t="str">
        <f>Processes!C52</f>
        <v>MINBIOWOO1_S2</v>
      </c>
      <c r="C15" s="39" t="str">
        <f>Processes!D52</f>
        <v>Domestic Potential of Sawmill residues - Step 2</v>
      </c>
      <c r="D15" s="39" t="str">
        <f>Commodities!$C$38</f>
        <v>BIOWOO1</v>
      </c>
      <c r="E15" s="182">
        <v>10</v>
      </c>
      <c r="F15" s="520"/>
      <c r="Q15" s="275"/>
    </row>
    <row r="16" spans="2:17" ht="15">
      <c r="B16" s="38" t="str">
        <f>Processes!C55</f>
        <v>MINBIOWOO2_S2</v>
      </c>
      <c r="C16" s="39" t="str">
        <f>Processes!D55</f>
        <v>Domestic Potential of Post-Consumer Recycled Wood - Step 2</v>
      </c>
      <c r="D16" s="39" t="str">
        <f>Commodities!$C$39</f>
        <v>BIOWOO2</v>
      </c>
      <c r="E16" s="182">
        <v>10</v>
      </c>
      <c r="F16" s="520"/>
      <c r="Q16" s="275"/>
    </row>
    <row r="17" spans="2:17" ht="15">
      <c r="B17" s="38" t="str">
        <f>Processes!C61</f>
        <v>MINBIOMSW1_S2</v>
      </c>
      <c r="C17" s="39" t="str">
        <f>Processes!D61</f>
        <v>Domestic Potential of Biodegradable Municipal Solid Waste potential - Solid  - Step 2</v>
      </c>
      <c r="D17" s="39" t="str">
        <f>Commodities!$C$43</f>
        <v>BIOMSW1</v>
      </c>
      <c r="E17" s="182">
        <v>10</v>
      </c>
      <c r="F17" s="520"/>
      <c r="Q17" s="275"/>
    </row>
    <row r="18" spans="2:17" ht="15">
      <c r="B18" s="38" t="str">
        <f>Processes!C67</f>
        <v>MINBIOTLW_S2</v>
      </c>
      <c r="C18" s="39" t="str">
        <f>Processes!D67</f>
        <v>Domestic Potential of Tallow  - Step 2</v>
      </c>
      <c r="D18" s="39" t="str">
        <f>Commodities!$C$45</f>
        <v>BIOTLW</v>
      </c>
      <c r="E18" s="182">
        <v>10</v>
      </c>
      <c r="F18" s="520"/>
      <c r="Q18" s="275"/>
    </row>
    <row r="19" spans="2:17" ht="15">
      <c r="B19" s="38" t="str">
        <f>Processes!C70</f>
        <v>MINBIORVO_S2</v>
      </c>
      <c r="C19" s="39" t="str">
        <f>Processes!D70</f>
        <v>Domestic Potential of Recovered Vegetable Oil  - Step 2</v>
      </c>
      <c r="D19" s="39" t="str">
        <f>Commodities!$C$46</f>
        <v>BIORVO</v>
      </c>
      <c r="E19" s="182">
        <v>10</v>
      </c>
      <c r="F19" s="520"/>
      <c r="Q19" s="275"/>
    </row>
    <row r="20" spans="2:17" ht="15">
      <c r="B20" s="38" t="str">
        <f>Processes!C58</f>
        <v>MINBIOWOO3_S2</v>
      </c>
      <c r="C20" s="39" t="str">
        <f>Processes!D58</f>
        <v>Domestic Potential of Straw - Step 2</v>
      </c>
      <c r="D20" s="39" t="str">
        <f>Commodities!$C$40</f>
        <v>BIOWOO3</v>
      </c>
      <c r="E20" s="182">
        <v>10</v>
      </c>
      <c r="F20" s="520"/>
      <c r="Q20" s="275"/>
    </row>
    <row r="21" spans="2:17">
      <c r="B21" s="38" t="str">
        <f>Processes!C74</f>
        <v>MINBIOCATW_S2</v>
      </c>
      <c r="C21" s="39" t="str">
        <f>Processes!D74</f>
        <v>Domestic Potential of Cattle Waste  - Step 2</v>
      </c>
      <c r="D21" s="39" t="str">
        <f>Commodities!$C$47</f>
        <v>BIOCATW</v>
      </c>
      <c r="E21" s="182">
        <v>10</v>
      </c>
      <c r="F21" s="520"/>
    </row>
    <row r="22" spans="2:17">
      <c r="B22" s="38" t="str">
        <f>Processes!C77</f>
        <v>MINBIOPIGW_S2</v>
      </c>
      <c r="C22" s="39" t="str">
        <f>Processes!D77</f>
        <v>Domestic Potential of Pig Waste  - Step 2</v>
      </c>
      <c r="D22" s="39" t="str">
        <f>Commodities!$C$48</f>
        <v>BIOPIGW</v>
      </c>
      <c r="E22" s="182">
        <v>10</v>
      </c>
      <c r="F22" s="520"/>
    </row>
    <row r="23" spans="2:17">
      <c r="B23" s="38" t="str">
        <f>Processes!C64</f>
        <v>MINBIOMSW2_S2</v>
      </c>
      <c r="C23" s="39" t="str">
        <f>Processes!D64</f>
        <v>Domestic Potential of Biodegradable Municipal Solid Waste  - Step 2</v>
      </c>
      <c r="D23" s="39" t="str">
        <f>Commodities!$C$44</f>
        <v>BIOMSW2</v>
      </c>
      <c r="E23" s="182">
        <v>10</v>
      </c>
      <c r="F23" s="520"/>
    </row>
    <row r="24" spans="2:17">
      <c r="B24" s="122" t="str">
        <f>Processes!C80</f>
        <v>MINBIOINDF_S2</v>
      </c>
      <c r="C24" s="116" t="str">
        <f>Processes!D80</f>
        <v>Domestic Potential of Industrial Food Waste  - Step 2</v>
      </c>
      <c r="D24" s="116" t="str">
        <f>Commodities!$C$49</f>
        <v>BIOINDF</v>
      </c>
      <c r="E24" s="128">
        <v>10</v>
      </c>
      <c r="F24" s="520"/>
    </row>
    <row r="25" spans="2:17">
      <c r="B25" s="38" t="str">
        <f>Processes!C53</f>
        <v>MINBIOWOO1_S3</v>
      </c>
      <c r="C25" s="39" t="str">
        <f>Processes!D53</f>
        <v>Domestic Potential of Sawmill residues - Step 3</v>
      </c>
      <c r="D25" s="39" t="str">
        <f>Commodities!$C$38</f>
        <v>BIOWOO1</v>
      </c>
      <c r="E25" s="182">
        <v>10</v>
      </c>
      <c r="F25" s="520"/>
    </row>
    <row r="26" spans="2:17">
      <c r="B26" s="38" t="str">
        <f>Processes!C56</f>
        <v>MINBIOWOO2_S3</v>
      </c>
      <c r="C26" s="39" t="str">
        <f>Processes!D56</f>
        <v>Domestic Potential of Post-Consumer Recycled Wood - Step 3</v>
      </c>
      <c r="D26" s="39" t="str">
        <f>Commodities!$C$39</f>
        <v>BIOWOO2</v>
      </c>
      <c r="E26" s="182">
        <v>10</v>
      </c>
      <c r="F26" s="520"/>
    </row>
    <row r="27" spans="2:17">
      <c r="B27" s="38" t="str">
        <f>Processes!C62</f>
        <v>MINBIOMSW1_S3</v>
      </c>
      <c r="C27" s="39" t="str">
        <f>Processes!D62</f>
        <v>Domestic Potential of Biodegradable Municipal Solid Waste potential - Solid  - Step 3</v>
      </c>
      <c r="D27" s="39" t="str">
        <f>Commodities!$C$43</f>
        <v>BIOMSW1</v>
      </c>
      <c r="E27" s="182">
        <v>10</v>
      </c>
      <c r="F27" s="520"/>
    </row>
    <row r="28" spans="2:17">
      <c r="B28" s="38" t="str">
        <f>Processes!C68</f>
        <v>MINBIOTLW_S3</v>
      </c>
      <c r="C28" s="39" t="str">
        <f>Processes!D68</f>
        <v>Domestic Potential of Tallow  - Step 3</v>
      </c>
      <c r="D28" s="39" t="str">
        <f>Commodities!$C$45</f>
        <v>BIOTLW</v>
      </c>
      <c r="E28" s="182">
        <v>10</v>
      </c>
      <c r="F28" s="520"/>
    </row>
    <row r="29" spans="2:17">
      <c r="B29" s="38" t="str">
        <f>Processes!C71</f>
        <v>MINBIORVO_S3</v>
      </c>
      <c r="C29" s="39" t="str">
        <f>Processes!D71</f>
        <v>Domestic Potential of Recovered Vegetable Oil  - Step 3</v>
      </c>
      <c r="D29" s="39" t="str">
        <f>Commodities!$C$46</f>
        <v>BIORVO</v>
      </c>
      <c r="E29" s="182">
        <v>10</v>
      </c>
      <c r="F29" s="520"/>
    </row>
    <row r="30" spans="2:17">
      <c r="B30" s="38" t="str">
        <f>Processes!C59</f>
        <v>MINBIOWOO3_S3</v>
      </c>
      <c r="C30" s="39" t="str">
        <f>Processes!D59</f>
        <v>Domestic Potential of Straw - Step 3</v>
      </c>
      <c r="D30" s="39" t="str">
        <f>Commodities!$C$40</f>
        <v>BIOWOO3</v>
      </c>
      <c r="E30" s="182">
        <v>10</v>
      </c>
      <c r="F30" s="520"/>
    </row>
    <row r="31" spans="2:17">
      <c r="B31" s="38" t="str">
        <f>Processes!C75</f>
        <v>MINBIOCATW_S3</v>
      </c>
      <c r="C31" s="39" t="str">
        <f>Processes!D75</f>
        <v>Domestic Potential of Cattle Waste  - Step 3</v>
      </c>
      <c r="D31" s="39" t="str">
        <f>Commodities!$C$47</f>
        <v>BIOCATW</v>
      </c>
      <c r="E31" s="182">
        <v>10</v>
      </c>
      <c r="F31" s="520"/>
    </row>
    <row r="32" spans="2:17">
      <c r="B32" s="38" t="str">
        <f>Processes!C78</f>
        <v>MINBIOPIGW_S3</v>
      </c>
      <c r="C32" s="39" t="str">
        <f>Processes!D78</f>
        <v>Domestic Potential of Pig Waste  - Step 3</v>
      </c>
      <c r="D32" s="39" t="str">
        <f>Commodities!$C$48</f>
        <v>BIOPIGW</v>
      </c>
      <c r="E32" s="182">
        <v>10</v>
      </c>
      <c r="F32" s="520"/>
    </row>
    <row r="33" spans="2:6">
      <c r="B33" s="38" t="str">
        <f>Processes!C65</f>
        <v>MINBIOMSW2_S3</v>
      </c>
      <c r="C33" s="39" t="str">
        <f>Processes!D65</f>
        <v>Domestic Potential of Biodegradable Municipal Solid Waste  - Step 3</v>
      </c>
      <c r="D33" s="39" t="str">
        <f>Commodities!$C$44</f>
        <v>BIOMSW2</v>
      </c>
      <c r="E33" s="182">
        <v>10</v>
      </c>
      <c r="F33" s="520"/>
    </row>
    <row r="34" spans="2:6">
      <c r="B34" s="122" t="str">
        <f>Processes!C81</f>
        <v>MINBIOINDF_S3</v>
      </c>
      <c r="C34" s="116" t="str">
        <f>Processes!D81</f>
        <v>Domestic Potential of Industrial Food Waste  - Step 3</v>
      </c>
      <c r="D34" s="116" t="str">
        <f>Commodities!$C$49</f>
        <v>BIOINDF</v>
      </c>
      <c r="E34" s="128">
        <v>10</v>
      </c>
      <c r="F34" s="521"/>
    </row>
    <row r="35" spans="2:6">
      <c r="B35" s="38"/>
      <c r="C35" s="40"/>
      <c r="D35" s="40"/>
      <c r="E35" s="127"/>
      <c r="F35" s="327"/>
    </row>
    <row r="36" spans="2:6">
      <c r="B36" s="38"/>
      <c r="C36" s="40"/>
      <c r="D36" s="40"/>
      <c r="E36" s="127"/>
      <c r="F36" s="327"/>
    </row>
    <row r="37" spans="2:6" ht="15">
      <c r="B37"/>
      <c r="C37"/>
      <c r="D37" s="293"/>
      <c r="E37" s="18" t="s">
        <v>60</v>
      </c>
      <c r="F37" s="194"/>
    </row>
    <row r="38" spans="2:6">
      <c r="B38" s="22" t="s">
        <v>2</v>
      </c>
      <c r="C38" s="22" t="s">
        <v>3</v>
      </c>
      <c r="D38" s="328" t="s">
        <v>69</v>
      </c>
      <c r="E38" s="22" t="s">
        <v>40</v>
      </c>
      <c r="F38" s="43" t="s">
        <v>150</v>
      </c>
    </row>
    <row r="39" spans="2:6" ht="26.25" thickBot="1">
      <c r="B39" s="10" t="s">
        <v>61</v>
      </c>
      <c r="C39" s="13" t="s">
        <v>49</v>
      </c>
      <c r="D39" s="13" t="s">
        <v>477</v>
      </c>
      <c r="E39" s="13" t="s">
        <v>50</v>
      </c>
      <c r="F39" s="10"/>
    </row>
    <row r="40" spans="2:6">
      <c r="B40" s="38" t="str">
        <f>Processes!C87</f>
        <v>BDNBIOWOO</v>
      </c>
      <c r="C40" s="38" t="str">
        <f>Processes!D87</f>
        <v xml:space="preserve">Blending of Biomass - generic </v>
      </c>
      <c r="D40" s="38" t="str">
        <f>Commodities!C38</f>
        <v>BIOWOO1</v>
      </c>
      <c r="E40" s="39" t="str">
        <f>Commodities!$C$37</f>
        <v>BIOWOO</v>
      </c>
      <c r="F40" s="39">
        <v>1</v>
      </c>
    </row>
    <row r="41" spans="2:6">
      <c r="D41" s="38" t="str">
        <f>Commodities!C39</f>
        <v>BIOWOO2</v>
      </c>
    </row>
    <row r="42" spans="2:6">
      <c r="D42" s="38" t="str">
        <f>Commodities!C40</f>
        <v>BIOWOO3</v>
      </c>
    </row>
  </sheetData>
  <mergeCells count="1">
    <mergeCell ref="F5:F3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B1:AC35"/>
  <sheetViews>
    <sheetView topLeftCell="A2" workbookViewId="0">
      <selection activeCell="K5" sqref="K5"/>
    </sheetView>
  </sheetViews>
  <sheetFormatPr defaultColWidth="9.140625" defaultRowHeight="15"/>
  <cols>
    <col min="1" max="1" width="9.140625" style="238"/>
    <col min="2" max="2" width="13.5703125" style="238" customWidth="1"/>
    <col min="3" max="3" width="17" style="238" bestFit="1" customWidth="1"/>
    <col min="4" max="4" width="17.42578125" style="238" bestFit="1" customWidth="1"/>
    <col min="5" max="5" width="9.140625" style="238"/>
    <col min="6" max="19" width="9.42578125" style="47" customWidth="1"/>
    <col min="20" max="22" width="9.42578125" style="238" customWidth="1"/>
    <col min="23" max="23" width="28.5703125" style="238" bestFit="1" customWidth="1"/>
    <col min="24" max="24" width="9.140625" style="238"/>
    <col min="25" max="25" width="13.5703125" style="238" bestFit="1" customWidth="1"/>
    <col min="26" max="26" width="17" style="238" bestFit="1" customWidth="1"/>
    <col min="27" max="16384" width="9.140625" style="238"/>
  </cols>
  <sheetData>
    <row r="1" spans="2:25">
      <c r="Q1" s="238"/>
      <c r="R1" s="238"/>
      <c r="S1" s="238"/>
    </row>
    <row r="2" spans="2:25" ht="18.75">
      <c r="B2" s="209" t="s">
        <v>180</v>
      </c>
      <c r="C2" s="210"/>
      <c r="D2" s="211"/>
      <c r="E2" s="6" t="s">
        <v>39</v>
      </c>
      <c r="F2" s="221"/>
      <c r="G2" s="222"/>
      <c r="H2" s="222"/>
      <c r="I2" s="222"/>
      <c r="J2" s="222"/>
      <c r="K2" s="222"/>
      <c r="L2" s="222"/>
      <c r="M2" s="222"/>
      <c r="N2" s="223"/>
      <c r="O2" s="223"/>
      <c r="P2" s="223"/>
      <c r="Q2" s="224"/>
      <c r="R2" s="225"/>
      <c r="S2" s="238"/>
    </row>
    <row r="3" spans="2:25" ht="25.5">
      <c r="B3" s="207" t="s">
        <v>2</v>
      </c>
      <c r="C3" s="207" t="s">
        <v>3</v>
      </c>
      <c r="D3" s="207" t="s">
        <v>69</v>
      </c>
      <c r="E3" s="207" t="s">
        <v>40</v>
      </c>
      <c r="F3" s="206" t="s">
        <v>487</v>
      </c>
      <c r="G3" s="206" t="s">
        <v>269</v>
      </c>
      <c r="H3" s="206" t="s">
        <v>490</v>
      </c>
      <c r="I3" s="206" t="s">
        <v>488</v>
      </c>
      <c r="J3" s="205" t="s">
        <v>489</v>
      </c>
      <c r="K3" s="205" t="s">
        <v>251</v>
      </c>
      <c r="L3" s="205" t="s">
        <v>252</v>
      </c>
      <c r="M3" s="205" t="s">
        <v>181</v>
      </c>
      <c r="N3" s="205" t="s">
        <v>182</v>
      </c>
      <c r="O3" s="205" t="s">
        <v>328</v>
      </c>
      <c r="P3" s="208" t="s">
        <v>71</v>
      </c>
      <c r="Q3" s="238"/>
      <c r="R3" s="238"/>
      <c r="S3" s="238"/>
    </row>
    <row r="4" spans="2:25" ht="14.25" customHeight="1" thickBot="1">
      <c r="B4" s="13" t="s">
        <v>183</v>
      </c>
      <c r="C4" s="13"/>
      <c r="D4" s="13"/>
      <c r="E4" s="13"/>
      <c r="F4" s="252" t="s">
        <v>256</v>
      </c>
      <c r="G4" s="10"/>
      <c r="H4" s="10"/>
      <c r="I4" s="10"/>
      <c r="J4" s="10"/>
      <c r="K4" s="10"/>
      <c r="L4" s="10"/>
      <c r="M4" s="10" t="s">
        <v>184</v>
      </c>
      <c r="N4" s="10" t="s">
        <v>185</v>
      </c>
      <c r="O4" s="10" t="s">
        <v>56</v>
      </c>
      <c r="P4" s="13"/>
      <c r="Q4" s="238"/>
      <c r="R4" s="238"/>
      <c r="S4" s="238"/>
    </row>
    <row r="5" spans="2:25">
      <c r="B5" s="213" t="str">
        <f>Processes!C88</f>
        <v>SREFOILCRD_Whitegate</v>
      </c>
      <c r="C5" s="213" t="str">
        <f>Processes!D88</f>
        <v>Refinery of Crude Oil  - Whitegate</v>
      </c>
      <c r="D5" s="214" t="str">
        <f>Commodities!C11</f>
        <v>OILCRD</v>
      </c>
      <c r="E5" s="39"/>
      <c r="F5" s="195"/>
      <c r="G5" s="195"/>
      <c r="H5" s="195"/>
      <c r="I5" s="259">
        <f>(SUM('EB2018'!O20:Z20)-SUM('EB2018'!O25:Z25))/'EB2018'!M14</f>
        <v>0.9923342574100722</v>
      </c>
      <c r="J5" s="260">
        <f>('EB2018'!L14)*Conversions!$B$2</f>
        <v>131.08836734189899</v>
      </c>
      <c r="K5" s="254">
        <f>MAX(J5:J5)</f>
        <v>131.08836734189899</v>
      </c>
      <c r="L5" s="254">
        <v>5</v>
      </c>
      <c r="M5" s="195">
        <v>50</v>
      </c>
      <c r="N5" s="39"/>
      <c r="O5" s="39"/>
      <c r="P5" s="256" t="s">
        <v>258</v>
      </c>
      <c r="Q5" s="238"/>
      <c r="R5" s="238"/>
      <c r="S5" s="238"/>
    </row>
    <row r="6" spans="2:25">
      <c r="B6" s="214"/>
      <c r="C6" s="215"/>
      <c r="D6" s="214"/>
      <c r="E6" s="214" t="str">
        <f>Commodities!C12</f>
        <v>OILRFG</v>
      </c>
      <c r="F6" s="502">
        <f>ROUNDUP(D24*$C$22,4)</f>
        <v>0</v>
      </c>
      <c r="G6" s="253">
        <f>MAX(F6)*1.1</f>
        <v>0</v>
      </c>
      <c r="H6" s="332">
        <v>5</v>
      </c>
      <c r="I6" s="195"/>
      <c r="J6" s="195"/>
      <c r="K6" s="195"/>
      <c r="L6" s="195"/>
      <c r="M6" s="195"/>
      <c r="N6" s="39"/>
      <c r="O6" s="254"/>
      <c r="P6" s="214" t="s">
        <v>207</v>
      </c>
      <c r="Q6" s="238"/>
      <c r="R6" s="238"/>
      <c r="S6" s="238"/>
    </row>
    <row r="7" spans="2:25">
      <c r="B7" s="216"/>
      <c r="C7" s="212"/>
      <c r="D7" s="217"/>
      <c r="E7" s="214" t="s">
        <v>30</v>
      </c>
      <c r="F7" s="502">
        <f t="shared" ref="F7:F17" si="0">ROUNDUP(D25*$C$22,4)</f>
        <v>0.2084</v>
      </c>
      <c r="G7" s="253">
        <f>MAX(F7)*1.1</f>
        <v>0.22924000000000003</v>
      </c>
      <c r="H7" s="332">
        <v>5</v>
      </c>
      <c r="I7" s="195"/>
      <c r="J7" s="195"/>
      <c r="K7" s="195"/>
      <c r="L7" s="195"/>
      <c r="M7" s="195"/>
      <c r="N7" s="39"/>
      <c r="O7" s="255">
        <v>1.7</v>
      </c>
      <c r="P7" s="214" t="s">
        <v>208</v>
      </c>
      <c r="Q7" s="238"/>
      <c r="R7" s="238"/>
      <c r="S7" s="238"/>
    </row>
    <row r="8" spans="2:25">
      <c r="B8" s="216"/>
      <c r="C8" s="218"/>
      <c r="D8" s="217"/>
      <c r="E8" s="214" t="str">
        <f>Commodities!C13</f>
        <v>OILKER</v>
      </c>
      <c r="F8" s="502">
        <f t="shared" si="0"/>
        <v>7.3800000000000004E-2</v>
      </c>
      <c r="G8" s="253">
        <f>MAX(F8)*1.1</f>
        <v>8.1180000000000016E-2</v>
      </c>
      <c r="H8" s="332">
        <v>5</v>
      </c>
      <c r="I8" s="195"/>
      <c r="J8" s="195"/>
      <c r="K8" s="195"/>
      <c r="L8" s="195"/>
      <c r="M8" s="195"/>
      <c r="N8" s="39"/>
      <c r="O8" s="255">
        <v>1.7</v>
      </c>
      <c r="P8" s="214" t="s">
        <v>209</v>
      </c>
      <c r="Q8" s="238"/>
      <c r="R8" s="238"/>
      <c r="S8" s="238"/>
    </row>
    <row r="9" spans="2:25">
      <c r="B9" s="219" t="s">
        <v>255</v>
      </c>
      <c r="C9" s="218"/>
      <c r="D9" s="217"/>
      <c r="E9" s="214" t="s">
        <v>255</v>
      </c>
      <c r="F9" s="502">
        <f t="shared" si="0"/>
        <v>0</v>
      </c>
      <c r="G9" s="253"/>
      <c r="H9" s="332">
        <v>5</v>
      </c>
      <c r="I9" s="195"/>
      <c r="J9" s="195"/>
      <c r="K9" s="195"/>
      <c r="L9" s="195"/>
      <c r="M9" s="195"/>
      <c r="N9" s="39"/>
      <c r="O9" s="255"/>
      <c r="P9" s="214" t="s">
        <v>210</v>
      </c>
      <c r="Q9" s="238"/>
      <c r="R9" s="238"/>
      <c r="S9" s="238"/>
    </row>
    <row r="10" spans="2:25">
      <c r="B10" s="216"/>
      <c r="C10" s="218"/>
      <c r="D10" s="217"/>
      <c r="E10" s="214" t="str">
        <f>Commodities!C14</f>
        <v>OILHFO</v>
      </c>
      <c r="F10" s="502">
        <f t="shared" si="0"/>
        <v>0.31269999999999998</v>
      </c>
      <c r="G10" s="253">
        <f>MAX(F10)*1.1</f>
        <v>0.34397</v>
      </c>
      <c r="H10" s="332">
        <v>5</v>
      </c>
      <c r="I10" s="195"/>
      <c r="J10" s="195"/>
      <c r="K10" s="195"/>
      <c r="L10" s="195"/>
      <c r="M10" s="195"/>
      <c r="N10" s="39"/>
      <c r="O10" s="255">
        <v>0.83603571428571199</v>
      </c>
      <c r="P10" s="214" t="s">
        <v>211</v>
      </c>
      <c r="Q10" s="238"/>
      <c r="R10" s="238"/>
      <c r="S10" s="238"/>
    </row>
    <row r="11" spans="2:25">
      <c r="B11" s="219"/>
      <c r="C11" s="218"/>
      <c r="D11" s="217"/>
      <c r="E11" s="214" t="str">
        <f>Commodities!C16</f>
        <v>OILLPG</v>
      </c>
      <c r="F11" s="502">
        <f t="shared" si="0"/>
        <v>2.1100000000000001E-2</v>
      </c>
      <c r="G11" s="253"/>
      <c r="H11" s="332">
        <v>5</v>
      </c>
      <c r="I11" s="226"/>
      <c r="J11" s="226"/>
      <c r="K11" s="226"/>
      <c r="L11" s="228"/>
      <c r="M11" s="228"/>
      <c r="N11" s="39"/>
      <c r="O11" s="255">
        <v>1.3357142857142801</v>
      </c>
      <c r="P11" s="214" t="s">
        <v>212</v>
      </c>
      <c r="Q11" s="238"/>
      <c r="R11" s="238"/>
      <c r="S11" s="238"/>
    </row>
    <row r="12" spans="2:25">
      <c r="B12" s="219"/>
      <c r="C12" s="218"/>
      <c r="D12" s="217"/>
      <c r="E12" s="214" t="str">
        <f>Commodities!C15</f>
        <v>OILDST</v>
      </c>
      <c r="F12" s="502">
        <f t="shared" si="0"/>
        <v>0.37219999999999998</v>
      </c>
      <c r="G12" s="253">
        <f>MAX(F12)*1.1</f>
        <v>0.40942000000000001</v>
      </c>
      <c r="H12" s="332">
        <v>5</v>
      </c>
      <c r="I12" s="226"/>
      <c r="J12" s="226"/>
      <c r="K12" s="226"/>
      <c r="L12" s="228"/>
      <c r="M12" s="228"/>
      <c r="N12" s="39"/>
      <c r="O12" s="255">
        <v>1.5785714285714201</v>
      </c>
      <c r="P12" s="214" t="s">
        <v>213</v>
      </c>
      <c r="Q12" s="238"/>
      <c r="R12" s="238"/>
      <c r="S12" s="238"/>
    </row>
    <row r="13" spans="2:25">
      <c r="B13" s="219"/>
      <c r="C13" s="218"/>
      <c r="D13" s="217"/>
      <c r="E13" s="214" t="str">
        <f>Commodities!C18</f>
        <v>OILCOK</v>
      </c>
      <c r="F13" s="502">
        <f t="shared" si="0"/>
        <v>0</v>
      </c>
      <c r="G13" s="253"/>
      <c r="H13" s="332">
        <v>5</v>
      </c>
      <c r="I13" s="226"/>
      <c r="J13" s="226"/>
      <c r="K13" s="226"/>
      <c r="L13" s="228"/>
      <c r="M13" s="226"/>
      <c r="N13" s="39"/>
      <c r="O13" s="255"/>
      <c r="P13" s="214" t="s">
        <v>214</v>
      </c>
      <c r="Q13" s="238"/>
      <c r="R13" s="238"/>
      <c r="S13" s="238"/>
    </row>
    <row r="14" spans="2:25">
      <c r="B14" s="219"/>
      <c r="C14" s="218"/>
      <c r="D14" s="217"/>
      <c r="E14" s="214" t="str">
        <f>Commodities!C19</f>
        <v>OILNAP</v>
      </c>
      <c r="F14" s="502">
        <f t="shared" si="0"/>
        <v>1.2E-2</v>
      </c>
      <c r="G14" s="253"/>
      <c r="H14" s="332">
        <v>5</v>
      </c>
      <c r="I14" s="226"/>
      <c r="J14" s="226"/>
      <c r="K14" s="226"/>
      <c r="L14" s="228"/>
      <c r="M14" s="226"/>
      <c r="N14" s="39"/>
      <c r="O14" s="255">
        <v>1.21428571428571</v>
      </c>
      <c r="P14" s="214" t="s">
        <v>215</v>
      </c>
      <c r="Q14" s="238"/>
      <c r="R14" s="238"/>
      <c r="S14" s="238"/>
    </row>
    <row r="15" spans="2:25">
      <c r="B15" s="219" t="s">
        <v>255</v>
      </c>
      <c r="C15" s="218"/>
      <c r="D15" s="217"/>
      <c r="E15" s="214" t="s">
        <v>255</v>
      </c>
      <c r="F15" s="502">
        <f t="shared" si="0"/>
        <v>0</v>
      </c>
      <c r="G15" s="253"/>
      <c r="H15" s="332">
        <v>5</v>
      </c>
      <c r="I15" s="226"/>
      <c r="J15" s="226"/>
      <c r="K15" s="226"/>
      <c r="L15" s="228"/>
      <c r="M15" s="226"/>
      <c r="N15" s="39"/>
      <c r="O15" s="255"/>
      <c r="P15" s="214" t="s">
        <v>216</v>
      </c>
      <c r="Q15" s="238"/>
      <c r="R15" s="238"/>
      <c r="S15" s="238"/>
    </row>
    <row r="16" spans="2:25">
      <c r="B16" s="219" t="s">
        <v>255</v>
      </c>
      <c r="C16" s="39"/>
      <c r="D16" s="39"/>
      <c r="E16" s="214" t="s">
        <v>255</v>
      </c>
      <c r="F16" s="502">
        <f t="shared" si="0"/>
        <v>0</v>
      </c>
      <c r="G16" s="253"/>
      <c r="H16" s="332">
        <v>5</v>
      </c>
      <c r="I16" s="39"/>
      <c r="J16" s="39"/>
      <c r="K16" s="39"/>
      <c r="L16" s="39"/>
      <c r="M16" s="39"/>
      <c r="N16" s="39"/>
      <c r="O16" s="255"/>
      <c r="P16" s="214" t="s">
        <v>217</v>
      </c>
      <c r="Q16" s="238"/>
      <c r="R16" s="238"/>
      <c r="S16" s="238"/>
      <c r="W16" s="220"/>
      <c r="X16" s="220"/>
      <c r="Y16" s="220"/>
    </row>
    <row r="17" spans="2:29">
      <c r="B17" s="219" t="s">
        <v>255</v>
      </c>
      <c r="C17" s="39"/>
      <c r="D17" s="39"/>
      <c r="E17" s="214" t="s">
        <v>255</v>
      </c>
      <c r="F17" s="502">
        <f t="shared" si="0"/>
        <v>0</v>
      </c>
      <c r="G17" s="253"/>
      <c r="H17" s="332">
        <v>5</v>
      </c>
      <c r="I17" s="195"/>
      <c r="J17" s="227"/>
      <c r="K17" s="39"/>
      <c r="L17" s="39"/>
      <c r="M17" s="195"/>
      <c r="N17" s="195"/>
      <c r="O17" s="255"/>
      <c r="P17" s="214" t="s">
        <v>218</v>
      </c>
      <c r="Q17" s="238"/>
      <c r="R17" s="238"/>
      <c r="S17" s="238"/>
      <c r="W17" s="220"/>
      <c r="X17" s="220"/>
    </row>
    <row r="18" spans="2:29">
      <c r="M18" s="173"/>
      <c r="N18" s="173"/>
      <c r="O18" s="173"/>
      <c r="P18" s="173"/>
      <c r="Q18" s="238"/>
      <c r="R18" s="274"/>
      <c r="T18" s="47"/>
      <c r="AB18" s="220"/>
      <c r="AC18" s="220"/>
    </row>
    <row r="22" spans="2:29">
      <c r="B22" s="238" t="s">
        <v>510</v>
      </c>
      <c r="C22" s="500">
        <f>1/SUM(D24:D35)</f>
        <v>0.99828981063720079</v>
      </c>
    </row>
    <row r="24" spans="2:29">
      <c r="B24" s="214" t="str">
        <f>Commodities!C12</f>
        <v>OILRFG</v>
      </c>
      <c r="C24" s="259">
        <f>('EB2018'!O$20-'EB2018'!O$25)/(SUM('EB2018'!$O$20:$Z$20)-SUM('EB2018'!$O$25:$Z$25))</f>
        <v>-1.7131191208968866E-3</v>
      </c>
      <c r="D24" s="501">
        <f>IF(C24&lt;0,0,C24)</f>
        <v>0</v>
      </c>
    </row>
    <row r="25" spans="2:29">
      <c r="B25" s="214" t="s">
        <v>30</v>
      </c>
      <c r="C25" s="259">
        <f>('EB2018'!P$20-'EB2018'!P$25)/(SUM('EB2018'!$O$20:$Z$20)-SUM('EB2018'!$O$25:$Z$25))</f>
        <v>0.20874581836826736</v>
      </c>
      <c r="D25" s="501">
        <f t="shared" ref="D25:D35" si="1">IF(C25&lt;0,0,C25)</f>
        <v>0.20874581836826736</v>
      </c>
    </row>
    <row r="26" spans="2:29">
      <c r="B26" s="214" t="str">
        <f>Commodities!C13</f>
        <v>OILKER</v>
      </c>
      <c r="C26" s="259">
        <f>('EB2018'!Q$20-'EB2018'!Q$25)/(SUM('EB2018'!$O$20:$Z$20)-SUM('EB2018'!$O$25:$Z$25))</f>
        <v>7.3904025265425846E-2</v>
      </c>
      <c r="D26" s="501">
        <f t="shared" si="1"/>
        <v>7.3904025265425846E-2</v>
      </c>
    </row>
    <row r="27" spans="2:29">
      <c r="B27" s="214" t="s">
        <v>255</v>
      </c>
      <c r="C27" s="259">
        <f>('EB2018'!R$20-'EB2018'!R$25)/(SUM('EB2018'!$O$20:$Z$20)-SUM('EB2018'!$O$25:$Z$25))</f>
        <v>0</v>
      </c>
      <c r="D27" s="501">
        <f t="shared" si="1"/>
        <v>0</v>
      </c>
    </row>
    <row r="28" spans="2:29">
      <c r="B28" s="214" t="str">
        <f>Commodities!C14</f>
        <v>OILHFO</v>
      </c>
      <c r="C28" s="259">
        <f>('EB2018'!S$20-'EB2018'!S$25)/(SUM('EB2018'!$O$20:$Z$20)-SUM('EB2018'!$O$25:$Z$25))</f>
        <v>0.31316597681323771</v>
      </c>
      <c r="D28" s="501">
        <f t="shared" si="1"/>
        <v>0.31316597681323771</v>
      </c>
    </row>
    <row r="29" spans="2:29">
      <c r="B29" s="214" t="str">
        <f>Commodities!C16</f>
        <v>OILLPG</v>
      </c>
      <c r="C29" s="259">
        <f>('EB2018'!T$20-'EB2018'!T$25)/(SUM('EB2018'!$O$20:$Z$20)-SUM('EB2018'!$O$25:$Z$25))</f>
        <v>2.1115616096741348E-2</v>
      </c>
      <c r="D29" s="501">
        <f t="shared" si="1"/>
        <v>2.1115616096741348E-2</v>
      </c>
    </row>
    <row r="30" spans="2:29">
      <c r="B30" s="214" t="str">
        <f>Commodities!C15</f>
        <v>OILDST</v>
      </c>
      <c r="C30" s="259">
        <f>('EB2018'!U$20-'EB2018'!U$25)/(SUM('EB2018'!$O$20:$Z$20)-SUM('EB2018'!$O$25:$Z$25))</f>
        <v>0.37280233462444617</v>
      </c>
      <c r="D30" s="501">
        <f t="shared" si="1"/>
        <v>0.37280233462444617</v>
      </c>
    </row>
    <row r="31" spans="2:29">
      <c r="B31" s="214" t="str">
        <f>Commodities!C18</f>
        <v>OILCOK</v>
      </c>
      <c r="C31" s="259">
        <f>('EB2018'!V$20-'EB2018'!V$25)/(SUM('EB2018'!$O$20:$Z$20)-SUM('EB2018'!$O$25:$Z$25))</f>
        <v>0</v>
      </c>
      <c r="D31" s="501">
        <f t="shared" si="1"/>
        <v>0</v>
      </c>
    </row>
    <row r="32" spans="2:29">
      <c r="B32" s="214" t="str">
        <f>Commodities!C19</f>
        <v>OILNAP</v>
      </c>
      <c r="C32" s="259">
        <f>('EB2018'!W$20-'EB2018'!W$25)/(SUM('EB2018'!$O$20:$Z$20)-SUM('EB2018'!$O$25:$Z$25))</f>
        <v>1.1979347952778552E-2</v>
      </c>
      <c r="D32" s="501">
        <f t="shared" si="1"/>
        <v>1.1979347952778552E-2</v>
      </c>
    </row>
    <row r="33" spans="2:4">
      <c r="B33" s="214" t="s">
        <v>255</v>
      </c>
      <c r="C33" s="259">
        <f>('EB2018'!X$20-'EB2018'!X$25)/(SUM('EB2018'!$O$20:$Z$20)-SUM('EB2018'!$O$25:$Z$25))</f>
        <v>0</v>
      </c>
      <c r="D33" s="501">
        <f t="shared" si="1"/>
        <v>0</v>
      </c>
    </row>
    <row r="34" spans="2:4">
      <c r="B34" s="214" t="s">
        <v>255</v>
      </c>
      <c r="C34" s="259">
        <f>('EB2018'!Y$20-'EB2018'!Y$25)/(SUM('EB2018'!$O$20:$Z$20)-SUM('EB2018'!$O$25:$Z$25))</f>
        <v>0</v>
      </c>
      <c r="D34" s="501">
        <f t="shared" si="1"/>
        <v>0</v>
      </c>
    </row>
    <row r="35" spans="2:4">
      <c r="B35" s="214" t="s">
        <v>255</v>
      </c>
      <c r="C35" s="259">
        <f>('EB2018'!Z$20-'EB2018'!Z$25)/(SUM('EB2018'!$O$20:$Z$20)-SUM('EB2018'!$O$25:$Z$25))</f>
        <v>0</v>
      </c>
      <c r="D35" s="501">
        <f t="shared" si="1"/>
        <v>0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F399E6-2CA4-4BC3-AE7C-3570BA9F00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EBC224-6025-40B6-954C-A60FF473B4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32A5943-069C-47E6-B7B1-1C4E8CC11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CONVENTIONS</vt:lpstr>
      <vt:lpstr>Commodities</vt:lpstr>
      <vt:lpstr>Processes</vt:lpstr>
      <vt:lpstr>SUP_FuelTech</vt:lpstr>
      <vt:lpstr>Imports_Fossil</vt:lpstr>
      <vt:lpstr>Imports_Bio</vt:lpstr>
      <vt:lpstr>Domestic</vt:lpstr>
      <vt:lpstr>Domestic_Bio</vt:lpstr>
      <vt:lpstr>Refinery</vt:lpstr>
      <vt:lpstr>Interconnector</vt:lpstr>
      <vt:lpstr>Emi</vt:lpstr>
      <vt:lpstr>SEAI-AEA_BioData</vt:lpstr>
      <vt:lpstr>EB2018</vt:lpstr>
      <vt:lpstr>Conversions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2016-02-04T10:21:59Z</dcterms:created>
  <dcterms:modified xsi:type="dcterms:W3CDTF">2021-02-10T14:43:01Z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592600405216217</vt:r8>
  </property>
</Properties>
</file>