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017E8587-D8D2-479E-B68F-8B5B57673F64}" xr6:coauthVersionLast="46" xr6:coauthVersionMax="46" xr10:uidLastSave="{00000000-0000-0000-0000-000000000000}"/>
  <bookViews>
    <workbookView xWindow="-120" yWindow="-120" windowWidth="29040" windowHeight="15840" activeTab="2" xr2:uid="{61E3DBC4-3D48-40CE-BDD5-C17192DCDA09}"/>
  </bookViews>
  <sheets>
    <sheet name="Cover" sheetId="34" r:id="rId1"/>
    <sheet name="Intro" sheetId="35" r:id="rId2"/>
    <sheet name="RSD_Retrofit" sheetId="57" r:id="rId3"/>
    <sheet name="Data" sheetId="58" r:id="rId4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58" l="1"/>
  <c r="G18" i="58"/>
  <c r="F18" i="58"/>
  <c r="F21" i="58"/>
  <c r="F20" i="58"/>
  <c r="F19" i="58"/>
  <c r="H24" i="58" l="1"/>
  <c r="H25" i="58"/>
  <c r="H23" i="58"/>
  <c r="G24" i="58"/>
  <c r="G25" i="58"/>
  <c r="G23" i="58"/>
  <c r="F24" i="58"/>
  <c r="F25" i="58"/>
  <c r="F23" i="58"/>
  <c r="E14" i="58"/>
  <c r="F14" i="58"/>
  <c r="D14" i="58"/>
  <c r="G20" i="58"/>
  <c r="H20" i="58"/>
  <c r="G19" i="58"/>
  <c r="H19" i="58"/>
  <c r="O12" i="57" l="1"/>
  <c r="O11" i="57"/>
  <c r="O10" i="57"/>
  <c r="O9" i="57"/>
  <c r="O8" i="57"/>
  <c r="O7" i="57"/>
  <c r="T8" i="57" l="1"/>
  <c r="T12" i="57"/>
  <c r="T11" i="57"/>
  <c r="T10" i="57"/>
  <c r="T9" i="57"/>
  <c r="T7" i="57"/>
  <c r="W53" i="58"/>
  <c r="W60" i="58" s="1"/>
  <c r="X53" i="58"/>
  <c r="X60" i="58" s="1"/>
  <c r="V53" i="58"/>
  <c r="W48" i="58"/>
  <c r="X48" i="58"/>
  <c r="V48" i="58"/>
  <c r="W44" i="58"/>
  <c r="X44" i="58"/>
  <c r="V44" i="58"/>
  <c r="W41" i="58"/>
  <c r="X41" i="58"/>
  <c r="V41" i="58"/>
  <c r="V38" i="58"/>
  <c r="T60" i="58"/>
  <c r="U60" i="58"/>
  <c r="S60" i="58"/>
  <c r="S59" i="58"/>
  <c r="T53" i="58"/>
  <c r="U53" i="58"/>
  <c r="S53" i="58"/>
  <c r="S48" i="58"/>
  <c r="T48" i="58"/>
  <c r="U48" i="58"/>
  <c r="T44" i="58"/>
  <c r="U44" i="58"/>
  <c r="S44" i="58"/>
  <c r="T41" i="58"/>
  <c r="U41" i="58"/>
  <c r="S41" i="58"/>
  <c r="S38" i="58"/>
  <c r="W38" i="58"/>
  <c r="X38" i="58"/>
  <c r="V37" i="58"/>
  <c r="T38" i="58"/>
  <c r="U38" i="58"/>
  <c r="S37" i="58"/>
  <c r="S57" i="58"/>
  <c r="W59" i="58"/>
  <c r="X59" i="58"/>
  <c r="W57" i="58"/>
  <c r="X57" i="58"/>
  <c r="W51" i="58"/>
  <c r="X51" i="58"/>
  <c r="W46" i="58"/>
  <c r="X46" i="58"/>
  <c r="W42" i="58"/>
  <c r="X42" i="58"/>
  <c r="W39" i="58"/>
  <c r="X39" i="58"/>
  <c r="X37" i="58"/>
  <c r="W37" i="58"/>
  <c r="O39" i="58"/>
  <c r="M39" i="58"/>
  <c r="O37" i="58"/>
  <c r="V60" i="58" l="1"/>
  <c r="U7" i="57"/>
  <c r="R39" i="58"/>
  <c r="R38" i="58"/>
  <c r="R37" i="58"/>
  <c r="Q39" i="58"/>
  <c r="Q38" i="58"/>
  <c r="Q37" i="58"/>
  <c r="R42" i="58"/>
  <c r="R41" i="58"/>
  <c r="R40" i="58"/>
  <c r="Q42" i="58"/>
  <c r="Q41" i="58"/>
  <c r="Q40" i="58"/>
  <c r="Q46" i="58"/>
  <c r="Q45" i="58"/>
  <c r="Q44" i="58"/>
  <c r="Q43" i="58"/>
  <c r="R46" i="58"/>
  <c r="R45" i="58"/>
  <c r="R44" i="58"/>
  <c r="R43" i="58"/>
  <c r="Q47" i="58"/>
  <c r="R51" i="58"/>
  <c r="R50" i="58"/>
  <c r="R49" i="58"/>
  <c r="R48" i="58"/>
  <c r="R47" i="58"/>
  <c r="Q51" i="58"/>
  <c r="Q50" i="58"/>
  <c r="Q49" i="58"/>
  <c r="Q48" i="58"/>
  <c r="R57" i="58"/>
  <c r="R56" i="58"/>
  <c r="R55" i="58"/>
  <c r="R54" i="58"/>
  <c r="R53" i="58"/>
  <c r="R52" i="58"/>
  <c r="Q55" i="58"/>
  <c r="Q54" i="58"/>
  <c r="Q53" i="58"/>
  <c r="Q52" i="58"/>
  <c r="Q56" i="58"/>
  <c r="Q57" i="58"/>
  <c r="P56" i="58"/>
  <c r="AB6" i="58"/>
  <c r="AB7" i="58"/>
  <c r="AB8" i="58"/>
  <c r="AB9" i="58"/>
  <c r="AB10" i="58"/>
  <c r="AB11" i="58"/>
  <c r="AB12" i="58"/>
  <c r="P45" i="58" s="1"/>
  <c r="AB13" i="58"/>
  <c r="AB14" i="58"/>
  <c r="P50" i="58" s="1"/>
  <c r="AB15" i="58"/>
  <c r="AB16" i="58"/>
  <c r="AB17" i="58"/>
  <c r="AB18" i="58"/>
  <c r="P57" i="58" s="1"/>
  <c r="V57" i="58" s="1"/>
  <c r="AB19" i="58"/>
  <c r="AB5" i="58"/>
  <c r="P38" i="58" s="1"/>
  <c r="O57" i="58"/>
  <c r="U57" i="58" s="1"/>
  <c r="N57" i="58"/>
  <c r="T57" i="58" s="1"/>
  <c r="P42" i="58" l="1"/>
  <c r="V42" i="58" s="1"/>
  <c r="P39" i="58"/>
  <c r="V39" i="58" s="1"/>
  <c r="P51" i="58"/>
  <c r="V51" i="58" s="1"/>
  <c r="P46" i="58"/>
  <c r="V46" i="58" s="1"/>
  <c r="P37" i="58"/>
  <c r="P55" i="58"/>
  <c r="P44" i="58"/>
  <c r="P54" i="58"/>
  <c r="P43" i="58"/>
  <c r="P53" i="58"/>
  <c r="P49" i="58"/>
  <c r="P52" i="58"/>
  <c r="P48" i="58"/>
  <c r="V59" i="58"/>
  <c r="P47" i="58"/>
  <c r="P41" i="58"/>
  <c r="P40" i="58"/>
  <c r="M57" i="58" l="1"/>
  <c r="U5" i="58"/>
  <c r="U6" i="58"/>
  <c r="U7" i="58"/>
  <c r="U8" i="58"/>
  <c r="U9" i="58"/>
  <c r="U10" i="58"/>
  <c r="U11" i="58"/>
  <c r="U12" i="58"/>
  <c r="U4" i="58"/>
  <c r="J49" i="58"/>
  <c r="Q20" i="58" l="1"/>
  <c r="R20" i="58"/>
  <c r="U18" i="58"/>
  <c r="R23" i="58"/>
  <c r="S22" i="58"/>
  <c r="P21" i="58"/>
  <c r="U20" i="58"/>
  <c r="U19" i="58"/>
  <c r="R22" i="58"/>
  <c r="S21" i="58"/>
  <c r="P23" i="58"/>
  <c r="S20" i="58"/>
  <c r="T21" i="58"/>
  <c r="P19" i="58"/>
  <c r="R18" i="58"/>
  <c r="P18" i="58"/>
  <c r="Q18" i="58"/>
  <c r="P25" i="58"/>
  <c r="Q24" i="58"/>
  <c r="S19" i="58"/>
  <c r="V18" i="58"/>
  <c r="P24" i="58"/>
  <c r="Q23" i="58"/>
  <c r="R21" i="58"/>
  <c r="T18" i="58"/>
  <c r="V19" i="58"/>
  <c r="Q22" i="58"/>
  <c r="W18" i="58"/>
  <c r="P22" i="58"/>
  <c r="Q21" i="58"/>
  <c r="R19" i="58"/>
  <c r="T20" i="58"/>
  <c r="S18" i="58"/>
  <c r="T19" i="58"/>
  <c r="P20" i="58"/>
  <c r="Q19" i="58"/>
  <c r="H45" i="58"/>
  <c r="J55" i="58"/>
  <c r="G31" i="58" l="1"/>
  <c r="G32" i="58"/>
  <c r="G33" i="58"/>
  <c r="G34" i="58"/>
  <c r="G35" i="58"/>
  <c r="G36" i="58"/>
  <c r="G37" i="58"/>
  <c r="G38" i="58"/>
  <c r="G39" i="58"/>
  <c r="G40" i="58"/>
  <c r="N37" i="58" l="1"/>
  <c r="T37" i="58" s="1"/>
  <c r="U37" i="58"/>
  <c r="M37" i="58"/>
  <c r="O35" i="58"/>
  <c r="N35" i="58"/>
  <c r="M35" i="58"/>
  <c r="O34" i="58"/>
  <c r="N34" i="58"/>
  <c r="M34" i="58"/>
  <c r="N36" i="58"/>
  <c r="O36" i="58"/>
  <c r="M36" i="58"/>
  <c r="O33" i="58"/>
  <c r="N33" i="58"/>
  <c r="M33" i="58"/>
  <c r="N38" i="58"/>
  <c r="O38" i="58"/>
  <c r="M38" i="58"/>
  <c r="N40" i="58"/>
  <c r="O40" i="58"/>
  <c r="M40" i="58"/>
  <c r="N32" i="58"/>
  <c r="O32" i="58"/>
  <c r="M32" i="58"/>
  <c r="N39" i="58"/>
  <c r="T39" i="58" s="1"/>
  <c r="U39" i="58"/>
  <c r="S39" i="58"/>
  <c r="O31" i="58"/>
  <c r="N31" i="58"/>
  <c r="M31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G54" i="58"/>
  <c r="G55" i="58"/>
  <c r="G56" i="58"/>
  <c r="O49" i="58" l="1"/>
  <c r="N49" i="58"/>
  <c r="M49" i="58"/>
  <c r="O41" i="58"/>
  <c r="N41" i="58"/>
  <c r="M41" i="58"/>
  <c r="O50" i="58"/>
  <c r="N50" i="58"/>
  <c r="M50" i="58"/>
  <c r="N56" i="58"/>
  <c r="O56" i="58"/>
  <c r="M56" i="58"/>
  <c r="N47" i="58"/>
  <c r="O47" i="58"/>
  <c r="M47" i="58"/>
  <c r="N55" i="58"/>
  <c r="O55" i="58"/>
  <c r="M55" i="58"/>
  <c r="N54" i="58"/>
  <c r="O54" i="58"/>
  <c r="M54" i="58"/>
  <c r="N46" i="58"/>
  <c r="T46" i="58" s="1"/>
  <c r="O46" i="58"/>
  <c r="U46" i="58" s="1"/>
  <c r="M46" i="58"/>
  <c r="S46" i="58" s="1"/>
  <c r="N42" i="58"/>
  <c r="T42" i="58" s="1"/>
  <c r="T59" i="58" s="1"/>
  <c r="O42" i="58"/>
  <c r="U42" i="58" s="1"/>
  <c r="U59" i="58" s="1"/>
  <c r="M42" i="58"/>
  <c r="S42" i="58" s="1"/>
  <c r="O45" i="58"/>
  <c r="N45" i="58"/>
  <c r="M45" i="58"/>
  <c r="N48" i="58"/>
  <c r="O48" i="58"/>
  <c r="M48" i="58"/>
  <c r="O53" i="58"/>
  <c r="N53" i="58"/>
  <c r="M53" i="58"/>
  <c r="O52" i="58"/>
  <c r="N52" i="58"/>
  <c r="M52" i="58"/>
  <c r="O44" i="58"/>
  <c r="N44" i="58"/>
  <c r="M44" i="58"/>
  <c r="O51" i="58"/>
  <c r="U51" i="58" s="1"/>
  <c r="N51" i="58"/>
  <c r="T51" i="58" s="1"/>
  <c r="M51" i="58"/>
  <c r="S51" i="58" s="1"/>
  <c r="O43" i="58"/>
  <c r="N43" i="58"/>
  <c r="M43" i="58"/>
  <c r="U12" i="57"/>
  <c r="N12" i="57" s="1"/>
  <c r="U11" i="57"/>
  <c r="N11" i="57" s="1"/>
  <c r="U10" i="57"/>
  <c r="N10" i="57" s="1"/>
  <c r="U9" i="57"/>
  <c r="N9" i="57" s="1"/>
  <c r="U8" i="57"/>
  <c r="N8" i="57" s="1"/>
  <c r="N7" i="57"/>
  <c r="K12" i="57" l="1"/>
  <c r="K11" i="57"/>
  <c r="K10" i="57"/>
  <c r="K9" i="57"/>
  <c r="K8" i="57"/>
  <c r="K7" i="57"/>
  <c r="C12" i="57"/>
  <c r="B12" i="57"/>
  <c r="J12" i="57" s="1"/>
  <c r="C11" i="57"/>
  <c r="B11" i="57"/>
  <c r="J11" i="57" s="1"/>
  <c r="C10" i="57"/>
  <c r="B10" i="57"/>
  <c r="J10" i="57" s="1"/>
  <c r="C9" i="57"/>
  <c r="B9" i="57"/>
  <c r="J9" i="57" s="1"/>
  <c r="C8" i="57"/>
  <c r="B8" i="57"/>
  <c r="J8" i="57" s="1"/>
  <c r="C7" i="57"/>
  <c r="B7" i="57"/>
  <c r="J7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5" authorId="0" shapeId="0" xr:uid="{0C9666FB-34CF-4809-B682-F7B52A796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BY template
</t>
        </r>
      </text>
    </comment>
  </commentList>
</comments>
</file>

<file path=xl/sharedStrings.xml><?xml version="1.0" encoding="utf-8"?>
<sst xmlns="http://schemas.openxmlformats.org/spreadsheetml/2006/main" count="367" uniqueCount="224">
  <si>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</si>
  <si>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</si>
  <si>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</si>
  <si>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</si>
  <si>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</si>
  <si>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</si>
  <si>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</si>
  <si>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</si>
  <si>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</si>
  <si>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</si>
  <si>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</si>
  <si>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</si>
  <si>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</si>
  <si>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</si>
  <si>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</si>
  <si>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</si>
  <si>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</si>
  <si>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</si>
  <si>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</si>
  <si>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</si>
  <si>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</si>
  <si>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</si>
  <si>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</si>
  <si>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</si>
  <si>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</si>
  <si>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</si>
  <si>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</si>
  <si>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</si>
  <si>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</si>
  <si>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</si>
  <si>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Comm-OUT</t>
  </si>
  <si>
    <t>Life</t>
  </si>
  <si>
    <t>Sets</t>
  </si>
  <si>
    <t>Tact</t>
  </si>
  <si>
    <t>Tcap</t>
  </si>
  <si>
    <t>PrimaryCG</t>
  </si>
  <si>
    <t>PRE</t>
  </si>
  <si>
    <t>Technology Description</t>
  </si>
  <si>
    <t>%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</si>
  <si>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</si>
  <si>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</si>
  <si>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</si>
  <si>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</si>
  <si>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</si>
  <si>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</si>
  <si>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</si>
  <si>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</si>
  <si>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</si>
  <si>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</si>
  <si>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</si>
  <si>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</si>
  <si>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</si>
  <si>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</si>
  <si>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</si>
  <si>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</si>
  <si>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</si>
  <si>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</si>
  <si>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</si>
  <si>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</si>
  <si>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</si>
  <si>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</si>
  <si>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</si>
  <si>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</si>
  <si>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</si>
  <si>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</si>
  <si>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</si>
  <si>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</si>
  <si>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</si>
  <si>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</si>
  <si>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</si>
  <si>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</si>
  <si>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</si>
  <si>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START</t>
  </si>
  <si>
    <t>Vintage</t>
  </si>
  <si>
    <t>*Process Set Membership</t>
  </si>
  <si>
    <t>Technology Name</t>
  </si>
  <si>
    <t>Activity Unit</t>
  </si>
  <si>
    <t>Capacity Unit</t>
  </si>
  <si>
    <t>Vintage Tracking</t>
  </si>
  <si>
    <t>Cap2Act</t>
  </si>
  <si>
    <t>Technical life</t>
  </si>
  <si>
    <t>000units</t>
  </si>
  <si>
    <t>SubRes Residential buildings</t>
  </si>
  <si>
    <t>Retrofit Technologies</t>
  </si>
  <si>
    <t>Tslvl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</si>
  <si>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</si>
  <si>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</si>
  <si>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</si>
  <si>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</si>
  <si>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</si>
  <si>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</si>
  <si>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</si>
  <si>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</si>
  <si>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</si>
  <si>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</si>
  <si>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</si>
  <si>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</si>
  <si>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</si>
  <si>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</si>
  <si>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</si>
  <si>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</si>
  <si>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</si>
  <si>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</si>
  <si>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</si>
  <si>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</si>
  <si>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</si>
  <si>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</si>
  <si>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</si>
  <si>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</si>
  <si>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</si>
  <si>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</si>
  <si>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</si>
  <si>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</si>
  <si>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</si>
  <si>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</si>
  <si>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</si>
  <si>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</si>
  <si>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</si>
  <si>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</si>
  <si>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</si>
  <si>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</si>
  <si>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</si>
  <si>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</si>
  <si>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</si>
  <si>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</si>
  <si>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</si>
  <si>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</si>
  <si>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PJ/000dwelling</t>
  </si>
  <si>
    <t>*Technology name</t>
  </si>
  <si>
    <t>Timeslice Operational Level</t>
  </si>
  <si>
    <t>Operational Commodity Group</t>
  </si>
  <si>
    <t>Dwelling type</t>
  </si>
  <si>
    <t>Apt</t>
  </si>
  <si>
    <t>Att</t>
  </si>
  <si>
    <t>Det</t>
  </si>
  <si>
    <t>Shallow</t>
  </si>
  <si>
    <t>Deep</t>
  </si>
  <si>
    <t>Retrofit type</t>
  </si>
  <si>
    <t>INVCOST</t>
  </si>
  <si>
    <t>Pre-measure requirement</t>
  </si>
  <si>
    <t>Expected savings</t>
  </si>
  <si>
    <t>k€/dwelling</t>
  </si>
  <si>
    <t>000dwelling to PJ</t>
  </si>
  <si>
    <t>Key inputs</t>
  </si>
  <si>
    <t>A1</t>
  </si>
  <si>
    <t>A</t>
  </si>
  <si>
    <t>A2</t>
  </si>
  <si>
    <t>A3</t>
  </si>
  <si>
    <t>B1</t>
  </si>
  <si>
    <t>B2</t>
  </si>
  <si>
    <t>B3</t>
  </si>
  <si>
    <t>C1</t>
  </si>
  <si>
    <t>C</t>
  </si>
  <si>
    <t>C2</t>
  </si>
  <si>
    <t>C3</t>
  </si>
  <si>
    <t>D1</t>
  </si>
  <si>
    <t>D</t>
  </si>
  <si>
    <t>D2</t>
  </si>
  <si>
    <t>E1</t>
  </si>
  <si>
    <t>E</t>
  </si>
  <si>
    <t>E2</t>
  </si>
  <si>
    <t>F</t>
  </si>
  <si>
    <t>G</t>
  </si>
  <si>
    <t>B to NZEB</t>
  </si>
  <si>
    <t>C to NZEB</t>
  </si>
  <si>
    <t>D to NZEB</t>
  </si>
  <si>
    <t>E to NZEB</t>
  </si>
  <si>
    <t>F to NZEB</t>
  </si>
  <si>
    <t>G to NZEB</t>
  </si>
  <si>
    <t>B to A</t>
  </si>
  <si>
    <t>C to A</t>
  </si>
  <si>
    <t>C to B</t>
  </si>
  <si>
    <t>D to A</t>
  </si>
  <si>
    <t>D to B</t>
  </si>
  <si>
    <t>D to C</t>
  </si>
  <si>
    <t>E to A</t>
  </si>
  <si>
    <t>E to B</t>
  </si>
  <si>
    <t>E to C</t>
  </si>
  <si>
    <t>E to D</t>
  </si>
  <si>
    <t>F to A</t>
  </si>
  <si>
    <t>F to B</t>
  </si>
  <si>
    <t>F to C</t>
  </si>
  <si>
    <t>F to D</t>
  </si>
  <si>
    <t>F to E</t>
  </si>
  <si>
    <t>G to A</t>
  </si>
  <si>
    <t>G to B</t>
  </si>
  <si>
    <t>G to C</t>
  </si>
  <si>
    <t>G to D</t>
  </si>
  <si>
    <t>G to E</t>
  </si>
  <si>
    <t>Usman Ali, 2020 - A data-driven approach to optimize urban scale energy retrofit decisions for residential buildings</t>
  </si>
  <si>
    <t>Final Dwelling Stock Table</t>
  </si>
  <si>
    <t>Apartment</t>
  </si>
  <si>
    <t>Attached</t>
  </si>
  <si>
    <t>Detached</t>
  </si>
  <si>
    <t xml:space="preserve">Adjusted </t>
  </si>
  <si>
    <t>Sum</t>
  </si>
  <si>
    <t>CSO Adjusted based upon Age/BER Index</t>
  </si>
  <si>
    <t>Total</t>
  </si>
  <si>
    <t>€ (Windows)</t>
  </si>
  <si>
    <t>€ ( Fabric)</t>
  </si>
  <si>
    <t>€ (Total)</t>
  </si>
  <si>
    <t>ArDEM Space Heat Adjustment</t>
  </si>
  <si>
    <t xml:space="preserve">Space Heating Correction Factor </t>
  </si>
  <si>
    <t>SHALLOW</t>
  </si>
  <si>
    <t>DEEP</t>
  </si>
  <si>
    <t>Table 2: Indicative annual running costs for different properties and BERs</t>
  </si>
  <si>
    <t>Adapted from SEAI’s ‘A guide to Building Energy Rating for Homeowners’, available at http://www.seai.ie/Your_Building/BER/Your_Guide_to_Building_Energy_ Rating.pdf.</t>
  </si>
  <si>
    <t>Costs based on typical occupancy and heating the entire dwelling to a comfortable level. Costs are based on fuel and electricity factors from February 2014.</t>
  </si>
  <si>
    <t>https://episcope.eu/fileadmin/tabula/public/docs/brochure/IE_TABULA_TypologyBrochure_EnergyAction.pdf</t>
  </si>
  <si>
    <t>Shallow retrofit focuses on the installation of cost effective measures and can enable 10-30% CO 2 emissions reduction, while deep retrofit addresses the whole house and can enable up to 80% CO 2 emissions reduction</t>
  </si>
  <si>
    <t>G to F</t>
  </si>
  <si>
    <t>Shallow Retrofit &gt;= 10% Improvement</t>
  </si>
  <si>
    <t>Average (kWh/m2/yr)</t>
  </si>
  <si>
    <t>Average</t>
  </si>
  <si>
    <t>Deep Retrofit &gt; 35% Energy Improvement &lt; 85%</t>
  </si>
  <si>
    <t>Running Costs</t>
  </si>
  <si>
    <t>Assumed Cost</t>
  </si>
  <si>
    <t>Assumed Saving (%)</t>
  </si>
  <si>
    <t>Weighted Average Assumed Saving (%)</t>
  </si>
  <si>
    <t>http://www.esru.strath.ac.uk/EandE/Web_sites/16-17/Retrofit/uploads/1/0/5/7/105723345/phpp_sap_and_sbem_comparison_study.pdf</t>
  </si>
  <si>
    <t>No Retrofit Required for Heat Pump</t>
  </si>
  <si>
    <t>Shallow Retrofit Required for Heat Pump</t>
  </si>
  <si>
    <t>Deep Retrofit Required for Heat Pump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</si>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</sst>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&quot;€&quot;* #,##0.00_-;\-&quot;€&quot;* #,##0.00_-;_-&quot;€&quot;* &quot;-&quot;??_-;_-@_-"/>
    <numFmt numFmtId="165" formatCode="0.0"/>
    <numFmt numFmtId="166" formatCode="\Te\x\t"/>
    <numFmt numFmtId="167" formatCode="_(* #,##0.00_);_(* \(#,##0.00\);_(* &quot;-&quot;??_);_(@_)"/>
    <numFmt numFmtId="168" formatCode="#,##0.000"/>
    <numFmt numFmtId="169" formatCode="0.00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6"/>
      <name val="Cambria"/>
      <family val="1"/>
    </font>
    <font>
      <sz val="7"/>
      <name val="Times New Roman"/>
      <family val="1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8"/>
      <name val="Georgia"/>
      <family val="1"/>
    </font>
    <font>
      <sz val="5.5"/>
      <name val="Georgia"/>
      <family val="1"/>
    </font>
    <font>
      <sz val="10"/>
      <name val="Arial"/>
      <family val="2"/>
    </font>
    <font>
      <sz val="10"/>
      <name val="Cambria"/>
      <family val="1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8" fillId="0" borderId="0" applyNumberForma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19" fillId="0" borderId="0"/>
    <xf numFmtId="0" fontId="3" fillId="0" borderId="0"/>
    <xf numFmtId="0" fontId="20" fillId="0" borderId="0"/>
    <xf numFmtId="0" fontId="4" fillId="0" borderId="0"/>
    <xf numFmtId="0" fontId="4" fillId="0" borderId="0"/>
    <xf numFmtId="0" fontId="21" fillId="11" borderId="0" applyNumberFormat="0" applyBorder="0" applyAlignment="0" applyProtection="0"/>
    <xf numFmtId="167" fontId="4" fillId="0" borderId="0" applyFont="0" applyFill="0" applyBorder="0" applyAlignment="0" applyProtection="0"/>
    <xf numFmtId="0" fontId="19" fillId="0" borderId="0"/>
    <xf numFmtId="0" fontId="21" fillId="0" borderId="0"/>
    <xf numFmtId="9" fontId="45" fillId="0" borderId="0" applyFont="0" applyFill="0" applyBorder="0" applyAlignment="0" applyProtection="0"/>
  </cellStyleXfs>
  <cellXfs count="189">
    <xf numFmtId="0" fontId="0" fillId="0" borderId="0" xfId="0"/>
    <xf numFmtId="0" fontId="17" fillId="3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22" fillId="12" borderId="17" xfId="0" applyFont="1" applyFill="1" applyBorder="1" applyAlignment="1">
      <alignment horizontal="left" vertical="center"/>
    </xf>
    <xf numFmtId="0" fontId="4" fillId="0" borderId="0" xfId="0" applyFont="1"/>
    <xf numFmtId="0" fontId="2" fillId="3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7" fillId="0" borderId="0" xfId="0" applyFont="1"/>
    <xf numFmtId="0" fontId="2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0" fillId="0" borderId="21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30" fillId="0" borderId="23" xfId="0" applyFont="1" applyBorder="1" applyAlignment="1">
      <alignment vertical="center"/>
    </xf>
    <xf numFmtId="0" fontId="29" fillId="5" borderId="12" xfId="0" applyFont="1" applyFill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17" fontId="27" fillId="0" borderId="25" xfId="0" applyNumberFormat="1" applyFont="1" applyBorder="1"/>
    <xf numFmtId="0" fontId="27" fillId="0" borderId="26" xfId="0" applyFont="1" applyBorder="1"/>
    <xf numFmtId="0" fontId="29" fillId="6" borderId="13" xfId="0" applyFont="1" applyFill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7" fillId="0" borderId="1" xfId="0" applyNumberFormat="1" applyFont="1" applyBorder="1"/>
    <xf numFmtId="0" fontId="27" fillId="0" borderId="28" xfId="0" applyFont="1" applyBorder="1"/>
    <xf numFmtId="165" fontId="4" fillId="7" borderId="13" xfId="0" applyNumberFormat="1" applyFont="1" applyFill="1" applyBorder="1" applyAlignment="1">
      <alignment vertical="center"/>
    </xf>
    <xf numFmtId="0" fontId="31" fillId="8" borderId="13" xfId="0" applyFont="1" applyFill="1" applyBorder="1" applyAlignment="1">
      <alignment vertical="center"/>
    </xf>
    <xf numFmtId="17" fontId="27" fillId="0" borderId="1" xfId="0" applyNumberFormat="1" applyFont="1" applyBorder="1"/>
    <xf numFmtId="0" fontId="31" fillId="9" borderId="13" xfId="0" applyFont="1" applyFill="1" applyBorder="1" applyAlignment="1">
      <alignment vertical="center"/>
    </xf>
    <xf numFmtId="0" fontId="4" fillId="2" borderId="13" xfId="0" applyFont="1" applyFill="1" applyBorder="1"/>
    <xf numFmtId="0" fontId="27" fillId="10" borderId="7" xfId="0" applyFont="1" applyFill="1" applyBorder="1"/>
    <xf numFmtId="0" fontId="23" fillId="0" borderId="16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17" fontId="27" fillId="0" borderId="30" xfId="0" applyNumberFormat="1" applyFont="1" applyBorder="1"/>
    <xf numFmtId="0" fontId="27" fillId="0" borderId="31" xfId="0" applyFont="1" applyBorder="1"/>
    <xf numFmtId="0" fontId="30" fillId="0" borderId="34" xfId="0" applyFont="1" applyBorder="1" applyAlignment="1">
      <alignment vertical="center"/>
    </xf>
    <xf numFmtId="0" fontId="30" fillId="0" borderId="35" xfId="0" applyFont="1" applyBorder="1" applyAlignment="1">
      <alignment vertical="center"/>
    </xf>
    <xf numFmtId="0" fontId="30" fillId="0" borderId="36" xfId="0" applyFont="1" applyBorder="1" applyAlignment="1">
      <alignment vertical="center"/>
    </xf>
    <xf numFmtId="0" fontId="30" fillId="0" borderId="37" xfId="0" applyFont="1" applyBorder="1" applyAlignment="1">
      <alignment vertical="center"/>
    </xf>
    <xf numFmtId="0" fontId="34" fillId="0" borderId="5" xfId="0" applyFont="1" applyBorder="1"/>
    <xf numFmtId="0" fontId="27" fillId="0" borderId="11" xfId="0" quotePrefix="1" applyFont="1" applyBorder="1"/>
    <xf numFmtId="0" fontId="34" fillId="0" borderId="27" xfId="0" applyFont="1" applyBorder="1"/>
    <xf numFmtId="0" fontId="27" fillId="0" borderId="1" xfId="0" quotePrefix="1" applyFont="1" applyBorder="1"/>
    <xf numFmtId="0" fontId="27" fillId="0" borderId="28" xfId="0" applyFont="1" applyBorder="1" applyAlignment="1">
      <alignment horizontal="right"/>
    </xf>
    <xf numFmtId="0" fontId="34" fillId="0" borderId="4" xfId="0" applyFont="1" applyBorder="1"/>
    <xf numFmtId="0" fontId="27" fillId="0" borderId="6" xfId="0" applyFont="1" applyBorder="1"/>
    <xf numFmtId="0" fontId="27" fillId="0" borderId="1" xfId="0" applyFont="1" applyBorder="1"/>
    <xf numFmtId="0" fontId="27" fillId="0" borderId="1" xfId="0" applyFont="1" applyBorder="1" applyAlignment="1">
      <alignment horizontal="right"/>
    </xf>
    <xf numFmtId="0" fontId="34" fillId="0" borderId="10" xfId="0" applyFont="1" applyBorder="1"/>
    <xf numFmtId="0" fontId="27" fillId="0" borderId="9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17" fontId="27" fillId="0" borderId="1" xfId="0" applyNumberFormat="1" applyFont="1" applyBorder="1" applyAlignment="1">
      <alignment horizontal="right"/>
    </xf>
    <xf numFmtId="0" fontId="18" fillId="0" borderId="1" xfId="1" applyBorder="1" applyAlignment="1">
      <alignment horizontal="left"/>
    </xf>
    <xf numFmtId="0" fontId="34" fillId="0" borderId="29" xfId="0" applyFont="1" applyBorder="1"/>
    <xf numFmtId="0" fontId="18" fillId="0" borderId="30" xfId="1" applyBorder="1" applyAlignment="1">
      <alignment horizontal="left"/>
    </xf>
    <xf numFmtId="17" fontId="27" fillId="0" borderId="30" xfId="0" applyNumberFormat="1" applyFont="1" applyBorder="1" applyAlignment="1">
      <alignment horizontal="right"/>
    </xf>
    <xf numFmtId="0" fontId="30" fillId="0" borderId="5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4" fillId="0" borderId="1" xfId="0" applyFont="1" applyBorder="1"/>
    <xf numFmtId="17" fontId="27" fillId="0" borderId="1" xfId="0" quotePrefix="1" applyNumberFormat="1" applyFont="1" applyBorder="1"/>
    <xf numFmtId="15" fontId="27" fillId="0" borderId="1" xfId="0" applyNumberFormat="1" applyFont="1" applyBorder="1" applyAlignment="1">
      <alignment horizontal="left"/>
    </xf>
    <xf numFmtId="0" fontId="34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17" fontId="27" fillId="0" borderId="0" xfId="0" applyNumberFormat="1" applyFont="1" applyAlignment="1">
      <alignment horizontal="right"/>
    </xf>
    <xf numFmtId="0" fontId="35" fillId="0" borderId="0" xfId="9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3" fillId="13" borderId="3" xfId="0" applyFont="1" applyFill="1" applyBorder="1" applyAlignment="1">
      <alignment horizontal="left" vertical="center" wrapText="1"/>
    </xf>
    <xf numFmtId="166" fontId="13" fillId="13" borderId="3" xfId="9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indent="1"/>
    </xf>
    <xf numFmtId="0" fontId="38" fillId="0" borderId="0" xfId="0" applyFont="1" applyAlignment="1">
      <alignment horizontal="left" vertical="center" indent="4"/>
    </xf>
    <xf numFmtId="0" fontId="0" fillId="2" borderId="0" xfId="0" applyFill="1"/>
    <xf numFmtId="0" fontId="5" fillId="6" borderId="40" xfId="0" applyFont="1" applyFill="1" applyBorder="1" applyAlignment="1">
      <alignment vertical="center"/>
    </xf>
    <xf numFmtId="0" fontId="5" fillId="6" borderId="32" xfId="0" applyFont="1" applyFill="1" applyBorder="1" applyAlignment="1">
      <alignment vertical="center"/>
    </xf>
    <xf numFmtId="0" fontId="5" fillId="6" borderId="37" xfId="0" applyFont="1" applyFill="1" applyBorder="1" applyAlignment="1">
      <alignment vertical="center"/>
    </xf>
    <xf numFmtId="1" fontId="5" fillId="17" borderId="24" xfId="0" applyNumberFormat="1" applyFont="1" applyFill="1" applyBorder="1" applyAlignment="1">
      <alignment horizontal="right" vertical="center"/>
    </xf>
    <xf numFmtId="168" fontId="1" fillId="17" borderId="25" xfId="0" applyNumberFormat="1" applyFont="1" applyFill="1" applyBorder="1" applyAlignment="1">
      <alignment vertical="center"/>
    </xf>
    <xf numFmtId="3" fontId="1" fillId="17" borderId="25" xfId="0" applyNumberFormat="1" applyFont="1" applyFill="1" applyBorder="1" applyAlignment="1">
      <alignment vertical="center"/>
    </xf>
    <xf numFmtId="3" fontId="1" fillId="17" borderId="26" xfId="0" applyNumberFormat="1" applyFont="1" applyFill="1" applyBorder="1" applyAlignment="1">
      <alignment vertical="center"/>
    </xf>
    <xf numFmtId="3" fontId="5" fillId="17" borderId="26" xfId="0" applyNumberFormat="1" applyFont="1" applyFill="1" applyBorder="1" applyAlignment="1">
      <alignment vertical="center"/>
    </xf>
    <xf numFmtId="1" fontId="5" fillId="18" borderId="27" xfId="0" quotePrefix="1" applyNumberFormat="1" applyFont="1" applyFill="1" applyBorder="1" applyAlignment="1">
      <alignment horizontal="right" vertical="top"/>
    </xf>
    <xf numFmtId="168" fontId="1" fillId="18" borderId="1" xfId="0" quotePrefix="1" applyNumberFormat="1" applyFont="1" applyFill="1" applyBorder="1" applyAlignment="1">
      <alignment horizontal="right" vertical="top"/>
    </xf>
    <xf numFmtId="3" fontId="1" fillId="18" borderId="1" xfId="0" quotePrefix="1" applyNumberFormat="1" applyFont="1" applyFill="1" applyBorder="1" applyAlignment="1">
      <alignment horizontal="right" vertical="top"/>
    </xf>
    <xf numFmtId="3" fontId="1" fillId="18" borderId="28" xfId="0" quotePrefix="1" applyNumberFormat="1" applyFont="1" applyFill="1" applyBorder="1" applyAlignment="1">
      <alignment horizontal="right" vertical="top"/>
    </xf>
    <xf numFmtId="3" fontId="5" fillId="18" borderId="28" xfId="0" quotePrefix="1" applyNumberFormat="1" applyFont="1" applyFill="1" applyBorder="1" applyAlignment="1">
      <alignment horizontal="right" vertical="top"/>
    </xf>
    <xf numFmtId="1" fontId="5" fillId="17" borderId="27" xfId="0" applyNumberFormat="1" applyFont="1" applyFill="1" applyBorder="1" applyAlignment="1">
      <alignment horizontal="right" vertical="center"/>
    </xf>
    <xf numFmtId="168" fontId="1" fillId="17" borderId="1" xfId="0" applyNumberFormat="1" applyFont="1" applyFill="1" applyBorder="1" applyAlignment="1">
      <alignment vertical="center"/>
    </xf>
    <xf numFmtId="3" fontId="1" fillId="17" borderId="1" xfId="0" applyNumberFormat="1" applyFont="1" applyFill="1" applyBorder="1" applyAlignment="1">
      <alignment vertical="center"/>
    </xf>
    <xf numFmtId="3" fontId="1" fillId="17" borderId="28" xfId="0" applyNumberFormat="1" applyFont="1" applyFill="1" applyBorder="1" applyAlignment="1">
      <alignment vertical="center"/>
    </xf>
    <xf numFmtId="3" fontId="5" fillId="17" borderId="28" xfId="0" applyNumberFormat="1" applyFont="1" applyFill="1" applyBorder="1" applyAlignment="1">
      <alignment vertical="center"/>
    </xf>
    <xf numFmtId="0" fontId="1" fillId="0" borderId="0" xfId="0" applyFont="1"/>
    <xf numFmtId="1" fontId="5" fillId="17" borderId="29" xfId="0" applyNumberFormat="1" applyFont="1" applyFill="1" applyBorder="1" applyAlignment="1">
      <alignment horizontal="right" vertical="center"/>
    </xf>
    <xf numFmtId="168" fontId="1" fillId="17" borderId="30" xfId="0" applyNumberFormat="1" applyFont="1" applyFill="1" applyBorder="1" applyAlignment="1">
      <alignment vertical="center"/>
    </xf>
    <xf numFmtId="3" fontId="1" fillId="17" borderId="30" xfId="0" applyNumberFormat="1" applyFont="1" applyFill="1" applyBorder="1" applyAlignment="1">
      <alignment vertical="center"/>
    </xf>
    <xf numFmtId="3" fontId="1" fillId="17" borderId="31" xfId="0" applyNumberFormat="1" applyFont="1" applyFill="1" applyBorder="1" applyAlignment="1">
      <alignment vertical="center"/>
    </xf>
    <xf numFmtId="1" fontId="5" fillId="17" borderId="41" xfId="0" applyNumberFormat="1" applyFont="1" applyFill="1" applyBorder="1" applyAlignment="1">
      <alignment horizontal="right" vertical="center"/>
    </xf>
    <xf numFmtId="3" fontId="1" fillId="17" borderId="5" xfId="0" applyNumberFormat="1" applyFont="1" applyFill="1" applyBorder="1" applyAlignment="1">
      <alignment vertical="center"/>
    </xf>
    <xf numFmtId="168" fontId="22" fillId="19" borderId="42" xfId="0" applyNumberFormat="1" applyFont="1" applyFill="1" applyBorder="1" applyAlignment="1">
      <alignment vertical="center"/>
    </xf>
    <xf numFmtId="1" fontId="5" fillId="18" borderId="21" xfId="0" quotePrefix="1" applyNumberFormat="1" applyFont="1" applyFill="1" applyBorder="1" applyAlignment="1">
      <alignment horizontal="right" vertical="top"/>
    </xf>
    <xf numFmtId="3" fontId="22" fillId="19" borderId="23" xfId="0" applyNumberFormat="1" applyFont="1" applyFill="1" applyBorder="1" applyAlignment="1">
      <alignment vertical="center"/>
    </xf>
    <xf numFmtId="0" fontId="42" fillId="2" borderId="0" xfId="0" applyFont="1" applyFill="1"/>
    <xf numFmtId="0" fontId="42" fillId="20" borderId="0" xfId="0" applyFont="1" applyFill="1"/>
    <xf numFmtId="0" fontId="0" fillId="20" borderId="0" xfId="0" applyFill="1"/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4"/>
    </xf>
    <xf numFmtId="0" fontId="38" fillId="0" borderId="0" xfId="0" applyFont="1"/>
    <xf numFmtId="0" fontId="38" fillId="0" borderId="43" xfId="0" applyFont="1" applyBorder="1" applyAlignment="1">
      <alignment horizontal="left" vertical="center" wrapText="1"/>
    </xf>
    <xf numFmtId="0" fontId="38" fillId="0" borderId="44" xfId="0" applyFont="1" applyBorder="1" applyAlignment="1">
      <alignment horizontal="center" vertical="center" wrapText="1"/>
    </xf>
    <xf numFmtId="0" fontId="38" fillId="0" borderId="44" xfId="0" applyFont="1" applyBorder="1" applyAlignment="1">
      <alignment horizontal="left" vertical="center" wrapText="1" indent="1"/>
    </xf>
    <xf numFmtId="0" fontId="38" fillId="0" borderId="45" xfId="0" applyFont="1" applyBorder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left" vertical="center" wrapText="1" indent="1"/>
    </xf>
    <xf numFmtId="3" fontId="38" fillId="0" borderId="0" xfId="0" applyNumberFormat="1" applyFont="1" applyAlignment="1">
      <alignment horizontal="center" vertical="center" wrapText="1"/>
    </xf>
    <xf numFmtId="3" fontId="38" fillId="0" borderId="0" xfId="0" applyNumberFormat="1" applyFont="1" applyAlignment="1">
      <alignment horizontal="left" vertical="center" wrapText="1" indent="1"/>
    </xf>
    <xf numFmtId="0" fontId="38" fillId="0" borderId="46" xfId="0" applyFont="1" applyBorder="1" applyAlignment="1">
      <alignment horizontal="left" vertical="center" wrapText="1"/>
    </xf>
    <xf numFmtId="3" fontId="38" fillId="0" borderId="47" xfId="0" applyNumberFormat="1" applyFont="1" applyBorder="1" applyAlignment="1">
      <alignment horizontal="center" vertical="center" wrapText="1"/>
    </xf>
    <xf numFmtId="3" fontId="38" fillId="0" borderId="47" xfId="0" applyNumberFormat="1" applyFont="1" applyBorder="1" applyAlignment="1">
      <alignment horizontal="left" vertical="center" wrapText="1" indent="1"/>
    </xf>
    <xf numFmtId="0" fontId="18" fillId="0" borderId="0" xfId="1" applyAlignment="1">
      <alignment horizontal="left" vertical="center" indent="8"/>
    </xf>
    <xf numFmtId="0" fontId="44" fillId="0" borderId="0" xfId="0" applyFont="1" applyAlignment="1">
      <alignment horizontal="left" vertical="center" indent="8"/>
    </xf>
    <xf numFmtId="0" fontId="39" fillId="21" borderId="0" xfId="0" applyFont="1" applyFill="1" applyBorder="1" applyAlignment="1">
      <alignment horizontal="center" vertical="center"/>
    </xf>
    <xf numFmtId="0" fontId="41" fillId="21" borderId="0" xfId="0" applyFont="1" applyFill="1" applyBorder="1" applyAlignment="1">
      <alignment horizontal="center" vertical="center"/>
    </xf>
    <xf numFmtId="0" fontId="18" fillId="0" borderId="0" xfId="1"/>
    <xf numFmtId="0" fontId="0" fillId="0" borderId="0" xfId="0" applyAlignment="1">
      <alignment wrapText="1"/>
    </xf>
    <xf numFmtId="3" fontId="0" fillId="0" borderId="0" xfId="0" applyNumberFormat="1"/>
    <xf numFmtId="164" fontId="4" fillId="20" borderId="0" xfId="0" applyNumberFormat="1" applyFont="1" applyFill="1"/>
    <xf numFmtId="164" fontId="4" fillId="0" borderId="0" xfId="0" applyNumberFormat="1" applyFont="1"/>
    <xf numFmtId="164" fontId="4" fillId="2" borderId="0" xfId="0" applyNumberFormat="1" applyFont="1" applyFill="1"/>
    <xf numFmtId="164" fontId="46" fillId="2" borderId="0" xfId="0" applyNumberFormat="1" applyFont="1" applyFill="1" applyAlignment="1">
      <alignment horizontal="left" vertical="center" indent="1"/>
    </xf>
    <xf numFmtId="10" fontId="41" fillId="21" borderId="0" xfId="0" applyNumberFormat="1" applyFont="1" applyFill="1" applyBorder="1" applyAlignment="1">
      <alignment horizontal="center" vertical="center"/>
    </xf>
    <xf numFmtId="10" fontId="4" fillId="20" borderId="0" xfId="0" applyNumberFormat="1" applyFont="1" applyFill="1"/>
    <xf numFmtId="10" fontId="4" fillId="0" borderId="0" xfId="0" applyNumberFormat="1" applyFont="1"/>
    <xf numFmtId="9" fontId="4" fillId="2" borderId="0" xfId="0" applyNumberFormat="1" applyFont="1" applyFill="1"/>
    <xf numFmtId="9" fontId="4" fillId="20" borderId="0" xfId="0" applyNumberFormat="1" applyFont="1" applyFill="1"/>
    <xf numFmtId="9" fontId="4" fillId="0" borderId="0" xfId="0" applyNumberFormat="1" applyFont="1"/>
    <xf numFmtId="9" fontId="42" fillId="2" borderId="0" xfId="0" applyNumberFormat="1" applyFont="1" applyFill="1"/>
    <xf numFmtId="164" fontId="42" fillId="2" borderId="0" xfId="0" applyNumberFormat="1" applyFont="1" applyFill="1"/>
    <xf numFmtId="164" fontId="42" fillId="20" borderId="0" xfId="0" applyNumberFormat="1" applyFont="1" applyFill="1"/>
    <xf numFmtId="9" fontId="42" fillId="20" borderId="0" xfId="14" applyFont="1" applyFill="1"/>
    <xf numFmtId="0" fontId="13" fillId="13" borderId="0" xfId="0" applyFont="1" applyFill="1" applyBorder="1" applyAlignment="1">
      <alignment horizontal="left" vertical="center" wrapText="1"/>
    </xf>
    <xf numFmtId="2" fontId="9" fillId="15" borderId="49" xfId="0" applyNumberFormat="1" applyFont="1" applyFill="1" applyBorder="1" applyAlignment="1">
      <alignment horizontal="left" vertical="center"/>
    </xf>
    <xf numFmtId="2" fontId="9" fillId="15" borderId="3" xfId="0" applyNumberFormat="1" applyFont="1" applyFill="1" applyBorder="1" applyAlignment="1">
      <alignment horizontal="left" vertical="center"/>
    </xf>
    <xf numFmtId="9" fontId="9" fillId="15" borderId="49" xfId="14" applyFont="1" applyFill="1" applyBorder="1" applyAlignment="1">
      <alignment horizontal="left" vertical="center"/>
    </xf>
    <xf numFmtId="9" fontId="9" fillId="15" borderId="3" xfId="14" applyFont="1" applyFill="1" applyBorder="1" applyAlignment="1">
      <alignment horizontal="left" vertical="center"/>
    </xf>
    <xf numFmtId="169" fontId="0" fillId="0" borderId="0" xfId="14" applyNumberFormat="1" applyFont="1" applyAlignment="1">
      <alignment horizontal="left" indent="1"/>
    </xf>
    <xf numFmtId="0" fontId="13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165" fontId="28" fillId="14" borderId="20" xfId="0" applyNumberFormat="1" applyFont="1" applyFill="1" applyBorder="1" applyAlignment="1">
      <alignment horizontal="center" vertical="center"/>
    </xf>
    <xf numFmtId="165" fontId="28" fillId="14" borderId="18" xfId="0" applyNumberFormat="1" applyFont="1" applyFill="1" applyBorder="1" applyAlignment="1">
      <alignment horizontal="center" vertical="center"/>
    </xf>
    <xf numFmtId="165" fontId="28" fillId="14" borderId="8" xfId="0" applyNumberFormat="1" applyFont="1" applyFill="1" applyBorder="1" applyAlignment="1">
      <alignment horizontal="center" vertical="center"/>
    </xf>
    <xf numFmtId="0" fontId="33" fillId="5" borderId="32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33" xfId="0" applyFont="1" applyFill="1" applyBorder="1" applyAlignment="1">
      <alignment horizontal="center" vertical="center"/>
    </xf>
    <xf numFmtId="165" fontId="28" fillId="7" borderId="32" xfId="0" applyNumberFormat="1" applyFont="1" applyFill="1" applyBorder="1" applyAlignment="1">
      <alignment horizontal="center" vertical="center"/>
    </xf>
    <xf numFmtId="165" fontId="28" fillId="7" borderId="3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41" fillId="23" borderId="48" xfId="0" applyFont="1" applyFill="1" applyBorder="1" applyAlignment="1">
      <alignment horizontal="center" vertical="center"/>
    </xf>
    <xf numFmtId="0" fontId="41" fillId="23" borderId="0" xfId="0" applyFont="1" applyFill="1" applyBorder="1" applyAlignment="1">
      <alignment horizontal="center" vertical="center"/>
    </xf>
    <xf numFmtId="0" fontId="40" fillId="16" borderId="39" xfId="0" applyFont="1" applyFill="1" applyBorder="1" applyAlignment="1">
      <alignment horizontal="center" vertical="center"/>
    </xf>
    <xf numFmtId="0" fontId="22" fillId="16" borderId="20" xfId="0" applyFont="1" applyFill="1" applyBorder="1" applyAlignment="1">
      <alignment horizontal="center" vertical="center"/>
    </xf>
    <xf numFmtId="0" fontId="22" fillId="16" borderId="18" xfId="0" applyFont="1" applyFill="1" applyBorder="1" applyAlignment="1">
      <alignment horizontal="center" vertical="center"/>
    </xf>
    <xf numFmtId="0" fontId="22" fillId="16" borderId="8" xfId="0" applyFont="1" applyFill="1" applyBorder="1" applyAlignment="1">
      <alignment horizontal="center" vertical="center"/>
    </xf>
    <xf numFmtId="0" fontId="41" fillId="22" borderId="20" xfId="0" applyFont="1" applyFill="1" applyBorder="1" applyAlignment="1">
      <alignment horizontal="center" vertical="center" wrapText="1"/>
    </xf>
    <xf numFmtId="0" fontId="41" fillId="22" borderId="18" xfId="0" applyFont="1" applyFill="1" applyBorder="1" applyAlignment="1">
      <alignment horizontal="center" vertical="center" wrapText="1"/>
    </xf>
    <xf numFmtId="0" fontId="41" fillId="22" borderId="8" xfId="0" applyFont="1" applyFill="1" applyBorder="1" applyAlignment="1">
      <alignment horizontal="center" vertical="center" wrapText="1"/>
    </xf>
  </cellXfs>
  <cellStyles count="15">
    <cellStyle name="20% - Colore 2" xfId="10" xr:uid="{3E3DAF22-4D86-48A9-B6EE-8D230C1E993C}"/>
    <cellStyle name="Comma 2" xfId="11" xr:uid="{0ABA8B51-FCCD-40DB-958F-AE78849A8FFE}"/>
    <cellStyle name="Hyperlink" xfId="1" builtinId="8"/>
    <cellStyle name="Normal" xfId="0" builtinId="0"/>
    <cellStyle name="Normal 10" xfId="4" xr:uid="{E1BCE1F9-C32B-49FB-A63B-D516C5E840D2}"/>
    <cellStyle name="Normal 10 2" xfId="9" xr:uid="{403CABF5-5076-4EF0-B1C7-90DFA4621072}"/>
    <cellStyle name="Normal 13" xfId="3" xr:uid="{7795B802-A17D-4590-A427-E52A73DAE426}"/>
    <cellStyle name="Normal 15" xfId="6" xr:uid="{ECC42FCF-829B-4185-889D-06A7EB4A5E0F}"/>
    <cellStyle name="Normal 2" xfId="2" xr:uid="{81BCDB32-370A-45D4-8768-8E71CE87AC81}"/>
    <cellStyle name="Normal 3 2" xfId="7" xr:uid="{5199F4FA-30A6-4F2B-B914-9F4ECA1F08E9}"/>
    <cellStyle name="Normal 3 2 2" xfId="5" xr:uid="{AB77C6EE-5FAA-4EA6-92D0-2986F2803EAB}"/>
    <cellStyle name="Normal 4" xfId="12" xr:uid="{C3AFA141-A2C0-4D00-BCC8-D2E525C207DA}"/>
    <cellStyle name="Normal 4 2" xfId="8" xr:uid="{87BDABB2-3FF4-448F-8C91-A21FFDA39A5E}"/>
    <cellStyle name="Normal 4 2 3 4" xfId="13" xr:uid="{49AF852B-ED69-4B51-AAC6-D5AE0788B9D3}"/>
    <cellStyle name="Percent" xfId="14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21</xdr:row>
      <xdr:rowOff>76200</xdr:rowOff>
    </xdr:from>
    <xdr:to>
      <xdr:col>6</xdr:col>
      <xdr:colOff>447675</xdr:colOff>
      <xdr:row>23</xdr:row>
      <xdr:rowOff>142875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71F21DD2-5821-44C9-9A8C-C8AF6C919CE5}"/>
            </a:ext>
          </a:extLst>
        </xdr:cNvPr>
        <xdr:cNvSpPr txBox="1">
          <a:spLocks noChangeArrowheads="1"/>
        </xdr:cNvSpPr>
      </xdr:nvSpPr>
      <xdr:spPr bwMode="auto">
        <a:xfrm>
          <a:off x="476250" y="4219575"/>
          <a:ext cx="6600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P1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P2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P3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P4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P5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P6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P7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P8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P9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A to NZEB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6</xdr:row>
      <xdr:rowOff>158315</xdr:rowOff>
    </xdr:from>
    <xdr:to>
      <xdr:col>7</xdr:col>
      <xdr:colOff>608018</xdr:colOff>
      <xdr:row>9</xdr:row>
      <xdr:rowOff>136090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348F246-B61E-4F75-AF4A-3D60A95D6F44}"/>
            </a:ext>
          </a:extLst>
        </xdr:cNvPr>
        <xdr:cNvSpPr/>
      </xdr:nvSpPr>
      <xdr:spPr>
        <a:xfrm rot="10800000">
          <a:off x="4448175" y="1348940"/>
          <a:ext cx="427043" cy="549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45242</xdr:colOff>
      <xdr:row>21</xdr:row>
      <xdr:rowOff>50006</xdr:rowOff>
    </xdr:from>
    <xdr:to>
      <xdr:col>37</xdr:col>
      <xdr:colOff>547686</xdr:colOff>
      <xdr:row>25</xdr:row>
      <xdr:rowOff>116681</xdr:rowOff>
    </xdr:to>
    <xdr:sp macro="" textlink="">
      <xdr:nvSpPr>
        <xdr:cNvPr id="109571" name="Text Box 3">
          <a:extLst>
            <a:ext uri="{FF2B5EF4-FFF2-40B4-BE49-F238E27FC236}">
              <a16:creationId xmlns:a16="http://schemas.microsoft.com/office/drawing/2014/main" id="{538D1452-9F67-463D-8469-C41551889809}"/>
            </a:ext>
          </a:extLst>
        </xdr:cNvPr>
        <xdr:cNvSpPr txBox="1">
          <a:spLocks noChangeArrowheads="1"/>
        </xdr:cNvSpPr>
      </xdr:nvSpPr>
      <xdr:spPr bwMode="auto">
        <a:xfrm>
          <a:off x="18595180" y="4050506"/>
          <a:ext cx="7789069" cy="828675"/>
        </a:xfrm>
        <a:prstGeom prst="rect">
          <a:avLst/>
        </a:prstGeom>
        <a:noFill/>
        <a:ln w="12700">
          <a:solidFill>
            <a:srgbClr val="A32F8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Subsequently published in "Value for money in energy efficiency retrofits in Ireland: grant provider and grant recipients", </a:t>
          </a:r>
          <a:r>
            <a:rPr lang="en-IE" sz="1400" b="0" i="1" u="none" strike="noStrike" baseline="0">
              <a:solidFill>
                <a:srgbClr val="5F4779"/>
              </a:solidFill>
              <a:latin typeface="Calibri"/>
              <a:cs typeface="Calibri"/>
            </a:rPr>
            <a:t>Applied Economics, </a:t>
          </a: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vol. 49, March, 2017, pp. 1-23, http://doi.org/10.1080/00036846.2017.1302068</a:t>
          </a: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piscope.eu/fileadmin/tabula/public/docs/brochure/IE_TABULA_TypologyBrochure_EnergyAction.pdf" TargetMode="External"/><Relationship Id="rId2" Type="http://schemas.openxmlformats.org/officeDocument/2006/relationships/hyperlink" Target="https://episcope.eu/fileadmin/tabula/public/docs/brochure/IE_TABULA_TypologyBrochure_EnergyAction.pdf" TargetMode="External"/><Relationship Id="rId1" Type="http://schemas.openxmlformats.org/officeDocument/2006/relationships/hyperlink" Target="http://www.seai.ie/Your_Building/BER/Your_Guide_to_Building_Energy_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esru.strath.ac.uk/EandE/Web_sites/16-17/Retrofit/uploads/1/0/5/7/105723345/phpp_sap_and_sbem_comparison_stu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7" bestFit="1" customWidth="1"/>
    <col min="2" max="8" width="14.140625" style="7" customWidth="1"/>
    <col min="9" max="9" width="12.140625" style="7" customWidth="1"/>
    <col min="10" max="12" width="8.140625" style="7" customWidth="1"/>
    <col min="13" max="13" width="9.7109375" style="7" customWidth="1"/>
    <col min="14" max="14" width="8.140625" style="7" customWidth="1"/>
    <col min="15" max="15" width="10" style="7" customWidth="1"/>
    <col min="16" max="16" width="11.42578125" style="7" customWidth="1"/>
    <col min="17" max="17" width="13.42578125" style="7" customWidth="1"/>
    <col min="18" max="31" width="8.85546875" style="7"/>
    <col min="32" max="32" width="21.42578125" style="7" customWidth="1"/>
    <col min="33" max="38" width="8.85546875" style="7"/>
    <col min="39" max="39" width="21.28515625" style="7" customWidth="1"/>
    <col min="40" max="16384" width="8.85546875" style="7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0" spans="1:6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14" ht="102.75" customHeight="1" x14ac:dyDescent="0.2">
      <c r="A17" s="167" t="s">
        <v>85</v>
      </c>
      <c r="B17" s="167"/>
      <c r="C17" s="167"/>
      <c r="D17" s="167"/>
      <c r="E17" s="167"/>
      <c r="F17" s="167"/>
      <c r="G17" s="8"/>
      <c r="H17" s="8"/>
      <c r="I17" s="9"/>
      <c r="J17" s="9"/>
      <c r="K17" s="9"/>
      <c r="L17" s="9"/>
      <c r="M17" s="9"/>
      <c r="N17" s="9"/>
    </row>
    <row r="18" spans="1:14" ht="17.25" customHeight="1" x14ac:dyDescent="0.2">
      <c r="A18" s="10"/>
      <c r="B18" s="10"/>
      <c r="C18" s="10"/>
      <c r="D18" s="10"/>
      <c r="E18" s="10"/>
      <c r="F18" s="10"/>
    </row>
    <row r="19" spans="1:14" ht="17.25" customHeight="1" x14ac:dyDescent="0.2">
      <c r="A19" s="10"/>
      <c r="B19" s="10"/>
      <c r="C19" s="10"/>
      <c r="D19" s="10"/>
      <c r="E19" s="10"/>
      <c r="F19" s="10"/>
      <c r="G19" s="11"/>
      <c r="H19" s="11"/>
      <c r="I19" s="12"/>
      <c r="J19" s="12"/>
      <c r="K19" s="12"/>
      <c r="L19" s="12"/>
      <c r="M19" s="12"/>
      <c r="N19" s="12"/>
    </row>
    <row r="20" spans="1:14" ht="17.25" customHeight="1" x14ac:dyDescent="0.2">
      <c r="A20" s="3" t="s">
        <v>0</v>
      </c>
      <c r="B20" s="168" t="s">
        <v>87</v>
      </c>
      <c r="C20" s="168"/>
      <c r="D20" s="168"/>
      <c r="E20" s="168"/>
      <c r="F20" s="168"/>
      <c r="G20" s="13"/>
      <c r="H20" s="13"/>
      <c r="I20" s="14"/>
      <c r="J20" s="14"/>
      <c r="K20" s="14"/>
      <c r="L20" s="14"/>
      <c r="M20" s="14"/>
      <c r="N20" s="14"/>
    </row>
    <row r="21" spans="1:14" ht="17.25" customHeight="1" x14ac:dyDescent="0.2">
      <c r="A21" s="3" t="s">
        <v>39</v>
      </c>
      <c r="B21" s="169" t="s">
        <v>1</v>
      </c>
      <c r="C21" s="169"/>
      <c r="D21" s="169"/>
      <c r="E21" s="169"/>
      <c r="F21" s="169"/>
      <c r="G21" s="13"/>
      <c r="H21" s="13"/>
      <c r="I21" s="14"/>
      <c r="J21" s="14"/>
      <c r="K21" s="14"/>
      <c r="L21" s="14"/>
      <c r="M21" s="14"/>
      <c r="N21" s="14"/>
    </row>
    <row r="22" spans="1:14" ht="17.25" customHeight="1" x14ac:dyDescent="0.2">
      <c r="A22" s="3" t="s">
        <v>2</v>
      </c>
      <c r="B22" s="169" t="s">
        <v>40</v>
      </c>
      <c r="C22" s="169"/>
      <c r="D22" s="169"/>
      <c r="E22" s="169"/>
      <c r="F22" s="169"/>
    </row>
    <row r="23" spans="1:14" ht="17.25" customHeight="1" x14ac:dyDescent="0.2">
      <c r="A23" s="3" t="s">
        <v>41</v>
      </c>
      <c r="B23" s="15" t="s">
        <v>42</v>
      </c>
      <c r="C23" s="15"/>
      <c r="D23" s="15"/>
      <c r="E23" s="15"/>
      <c r="F23" s="15"/>
    </row>
    <row r="24" spans="1:14" ht="17.25" customHeight="1" x14ac:dyDescent="0.2">
      <c r="A24" s="3" t="s">
        <v>3</v>
      </c>
      <c r="B24" s="6" t="s">
        <v>86</v>
      </c>
      <c r="C24" s="6"/>
      <c r="D24" s="6"/>
      <c r="E24" s="1"/>
      <c r="F24" s="1"/>
      <c r="G24" s="2"/>
      <c r="H24" s="2"/>
    </row>
    <row r="25" spans="1:14" ht="17.25" customHeight="1" x14ac:dyDescent="0.2">
      <c r="A25" s="170"/>
      <c r="B25" s="170"/>
      <c r="C25" s="170"/>
      <c r="D25" s="170"/>
      <c r="E25" s="170"/>
      <c r="F25" s="170"/>
      <c r="G25" s="2"/>
      <c r="H25" s="2"/>
    </row>
    <row r="26" spans="1:14" ht="17.25" customHeight="1" x14ac:dyDescent="0.2">
      <c r="A26" s="166"/>
      <c r="B26" s="166"/>
      <c r="C26" s="166"/>
      <c r="D26" s="166"/>
      <c r="E26" s="166"/>
      <c r="F26" s="166"/>
    </row>
    <row r="27" spans="1:14" x14ac:dyDescent="0.2">
      <c r="A27" s="6"/>
      <c r="B27" s="6"/>
      <c r="C27" s="6"/>
      <c r="D27" s="6"/>
      <c r="E27" s="6"/>
      <c r="F27" s="6"/>
    </row>
    <row r="28" spans="1:14" x14ac:dyDescent="0.2">
      <c r="A28" s="6"/>
      <c r="B28" s="6"/>
      <c r="C28" s="6"/>
      <c r="D28" s="6"/>
      <c r="E28" s="6"/>
      <c r="F28" s="6"/>
    </row>
    <row r="29" spans="1:14" x14ac:dyDescent="0.2">
      <c r="A29" s="6"/>
      <c r="B29" s="6"/>
      <c r="C29" s="6"/>
      <c r="D29" s="6"/>
      <c r="E29" s="6"/>
      <c r="F29" s="6"/>
    </row>
    <row r="30" spans="1:14" x14ac:dyDescent="0.2">
      <c r="A30" s="6"/>
      <c r="B30" s="6"/>
      <c r="C30" s="6"/>
      <c r="D30" s="6"/>
      <c r="E30" s="6"/>
      <c r="F30" s="6"/>
    </row>
    <row r="31" spans="1:14" x14ac:dyDescent="0.2">
      <c r="A31" s="6"/>
      <c r="B31" s="6"/>
      <c r="C31" s="6"/>
      <c r="D31" s="6"/>
      <c r="E31" s="6"/>
      <c r="F31" s="6"/>
    </row>
    <row r="32" spans="1:14" x14ac:dyDescent="0.2">
      <c r="A32" s="6"/>
      <c r="B32" s="6"/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6"/>
      <c r="B34" s="6"/>
      <c r="C34" s="6"/>
      <c r="D34" s="6"/>
      <c r="E34" s="6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6"/>
      <c r="B36" s="6"/>
      <c r="C36" s="6"/>
      <c r="D36" s="6"/>
      <c r="E36" s="6"/>
      <c r="F36" s="6"/>
    </row>
    <row r="37" spans="1:6" x14ac:dyDescent="0.2">
      <c r="A37" s="6"/>
      <c r="B37" s="6"/>
      <c r="C37" s="6"/>
      <c r="D37" s="6"/>
      <c r="E37" s="6"/>
      <c r="F37" s="6"/>
    </row>
    <row r="38" spans="1:6" x14ac:dyDescent="0.2">
      <c r="A38" s="6"/>
      <c r="B38" s="6"/>
      <c r="C38" s="6"/>
      <c r="D38" s="6"/>
      <c r="E38" s="6"/>
      <c r="F38" s="6"/>
    </row>
    <row r="39" spans="1:6" x14ac:dyDescent="0.2">
      <c r="A39" s="6"/>
      <c r="B39" s="6"/>
      <c r="C39" s="6"/>
      <c r="D39" s="6"/>
      <c r="E39" s="6"/>
      <c r="F39" s="6"/>
    </row>
    <row r="40" spans="1:6" x14ac:dyDescent="0.2">
      <c r="A40" s="6"/>
      <c r="B40" s="6"/>
      <c r="C40" s="6"/>
      <c r="D40" s="6"/>
      <c r="E40" s="6"/>
      <c r="F40" s="6"/>
    </row>
    <row r="41" spans="1:6" x14ac:dyDescent="0.2">
      <c r="A41" s="6"/>
      <c r="B41" s="6"/>
      <c r="C41" s="6"/>
      <c r="D41" s="6"/>
      <c r="E41" s="6"/>
      <c r="F41" s="6"/>
    </row>
    <row r="42" spans="1:6" x14ac:dyDescent="0.2">
      <c r="A42" s="6"/>
      <c r="B42" s="6"/>
      <c r="C42" s="6"/>
      <c r="D42" s="6"/>
      <c r="E42" s="6"/>
      <c r="F42" s="6"/>
    </row>
    <row r="43" spans="1:6" x14ac:dyDescent="0.2">
      <c r="A43" s="6"/>
      <c r="B43" s="6"/>
      <c r="C43" s="6"/>
      <c r="D43" s="6"/>
      <c r="E43" s="6"/>
      <c r="F43" s="6"/>
    </row>
    <row r="44" spans="1:6" x14ac:dyDescent="0.2">
      <c r="A44" s="6"/>
      <c r="B44" s="6"/>
      <c r="C44" s="6"/>
      <c r="D44" s="6"/>
      <c r="E44" s="6"/>
      <c r="F44" s="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/>
  </sheetViews>
  <sheetFormatPr defaultColWidth="9.140625" defaultRowHeight="14.25" x14ac:dyDescent="0.2"/>
  <cols>
    <col min="1" max="1" width="3.7109375" style="16" customWidth="1"/>
    <col min="2" max="2" width="19.5703125" style="16" customWidth="1"/>
    <col min="3" max="3" width="93.5703125" style="16" bestFit="1" customWidth="1"/>
    <col min="4" max="4" width="11.28515625" style="16" customWidth="1"/>
    <col min="5" max="5" width="11.42578125" style="16" customWidth="1"/>
    <col min="6" max="6" width="9.140625" style="16"/>
    <col min="7" max="7" width="18.5703125" style="16" customWidth="1"/>
    <col min="8" max="8" width="96.5703125" style="16" customWidth="1"/>
    <col min="9" max="16384" width="9.140625" style="16"/>
  </cols>
  <sheetData>
    <row r="1" spans="2:20" ht="15" thickBot="1" x14ac:dyDescent="0.25"/>
    <row r="2" spans="2:20" ht="19.5" thickBot="1" x14ac:dyDescent="0.25">
      <c r="B2" s="171" t="s">
        <v>4</v>
      </c>
      <c r="C2" s="172"/>
      <c r="D2" s="172"/>
      <c r="E2" s="173"/>
      <c r="G2" s="171" t="s">
        <v>5</v>
      </c>
      <c r="H2" s="173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15.75" thickBot="1" x14ac:dyDescent="0.25">
      <c r="B3" s="19" t="s">
        <v>43</v>
      </c>
      <c r="C3" s="20" t="s">
        <v>6</v>
      </c>
      <c r="D3" s="20" t="s">
        <v>7</v>
      </c>
      <c r="E3" s="21" t="s">
        <v>88</v>
      </c>
      <c r="G3" s="22"/>
      <c r="H3" s="23" t="s">
        <v>44</v>
      </c>
      <c r="I3" s="1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2:20" x14ac:dyDescent="0.2">
      <c r="B4" s="24" t="s">
        <v>89</v>
      </c>
      <c r="C4" s="25" t="s">
        <v>90</v>
      </c>
      <c r="D4" s="26">
        <v>44136</v>
      </c>
      <c r="E4" s="27" t="s">
        <v>91</v>
      </c>
      <c r="G4" s="28"/>
      <c r="H4" s="29" t="s">
        <v>46</v>
      </c>
      <c r="I4" s="17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x14ac:dyDescent="0.2">
      <c r="B5" s="30" t="s">
        <v>8</v>
      </c>
      <c r="C5" s="31" t="s">
        <v>45</v>
      </c>
      <c r="D5" s="32">
        <v>44169</v>
      </c>
      <c r="E5" s="33" t="s">
        <v>92</v>
      </c>
      <c r="G5" s="34"/>
      <c r="H5" s="29" t="s">
        <v>47</v>
      </c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2:20" x14ac:dyDescent="0.2">
      <c r="B6" s="30" t="s">
        <v>93</v>
      </c>
      <c r="C6" s="31" t="s">
        <v>94</v>
      </c>
      <c r="D6" s="32">
        <v>44166</v>
      </c>
      <c r="E6" s="33" t="s">
        <v>92</v>
      </c>
      <c r="G6" s="35" t="s">
        <v>9</v>
      </c>
      <c r="H6" s="29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2:20" x14ac:dyDescent="0.2">
      <c r="B7" s="30" t="s">
        <v>95</v>
      </c>
      <c r="C7" s="31" t="s">
        <v>96</v>
      </c>
      <c r="D7" s="36">
        <v>43862</v>
      </c>
      <c r="E7" s="33" t="s">
        <v>92</v>
      </c>
      <c r="G7" s="37"/>
      <c r="H7" s="29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B8" s="30" t="s">
        <v>48</v>
      </c>
      <c r="C8" s="31" t="s">
        <v>97</v>
      </c>
      <c r="D8" s="36">
        <v>44166</v>
      </c>
      <c r="E8" s="33" t="s">
        <v>92</v>
      </c>
      <c r="G8" s="38"/>
      <c r="H8" s="29" t="s">
        <v>98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 ht="15" thickBot="1" x14ac:dyDescent="0.25">
      <c r="B9" s="30" t="s">
        <v>99</v>
      </c>
      <c r="C9" s="31" t="s">
        <v>100</v>
      </c>
      <c r="D9" s="36">
        <v>44044</v>
      </c>
      <c r="E9" s="33" t="s">
        <v>92</v>
      </c>
      <c r="G9" s="39"/>
      <c r="H9" s="40" t="s">
        <v>10</v>
      </c>
    </row>
    <row r="10" spans="2:20" x14ac:dyDescent="0.2">
      <c r="B10" s="30" t="s">
        <v>101</v>
      </c>
      <c r="C10" s="31" t="s">
        <v>50</v>
      </c>
      <c r="D10" s="36">
        <v>44136</v>
      </c>
      <c r="E10" s="33" t="s">
        <v>92</v>
      </c>
    </row>
    <row r="11" spans="2:20" x14ac:dyDescent="0.2">
      <c r="B11" s="30" t="s">
        <v>102</v>
      </c>
      <c r="C11" s="31" t="s">
        <v>52</v>
      </c>
      <c r="D11" s="36">
        <v>44013</v>
      </c>
      <c r="E11" s="33" t="s">
        <v>92</v>
      </c>
    </row>
    <row r="12" spans="2:20" x14ac:dyDescent="0.2">
      <c r="B12" s="30" t="s">
        <v>103</v>
      </c>
      <c r="C12" s="31" t="s">
        <v>53</v>
      </c>
      <c r="D12" s="36">
        <v>44136</v>
      </c>
      <c r="E12" s="33" t="s">
        <v>91</v>
      </c>
    </row>
    <row r="13" spans="2:20" x14ac:dyDescent="0.2">
      <c r="B13" s="30" t="s">
        <v>104</v>
      </c>
      <c r="C13" s="31" t="s">
        <v>105</v>
      </c>
      <c r="D13" s="36">
        <v>44136</v>
      </c>
      <c r="E13" s="33" t="s">
        <v>92</v>
      </c>
    </row>
    <row r="14" spans="2:20" x14ac:dyDescent="0.2">
      <c r="B14" s="30" t="s">
        <v>106</v>
      </c>
      <c r="C14" s="31" t="s">
        <v>107</v>
      </c>
      <c r="D14" s="36">
        <v>44105</v>
      </c>
      <c r="E14" s="33" t="s">
        <v>92</v>
      </c>
    </row>
    <row r="15" spans="2:20" x14ac:dyDescent="0.2">
      <c r="B15" s="30" t="s">
        <v>54</v>
      </c>
      <c r="C15" s="31" t="s">
        <v>55</v>
      </c>
      <c r="D15" s="36">
        <v>44105</v>
      </c>
      <c r="E15" s="33" t="s">
        <v>92</v>
      </c>
    </row>
    <row r="16" spans="2:20" x14ac:dyDescent="0.2">
      <c r="B16" s="30" t="s">
        <v>11</v>
      </c>
      <c r="C16" s="31" t="s">
        <v>56</v>
      </c>
      <c r="D16" s="36">
        <v>44166</v>
      </c>
      <c r="E16" s="33" t="s">
        <v>92</v>
      </c>
    </row>
    <row r="17" spans="2:8" x14ac:dyDescent="0.2">
      <c r="B17" s="30" t="s">
        <v>12</v>
      </c>
      <c r="C17" s="31" t="s">
        <v>57</v>
      </c>
      <c r="D17" s="36">
        <v>44166</v>
      </c>
      <c r="E17" s="33" t="s">
        <v>92</v>
      </c>
    </row>
    <row r="18" spans="2:8" ht="15" thickBot="1" x14ac:dyDescent="0.25">
      <c r="B18" s="41" t="s">
        <v>13</v>
      </c>
      <c r="C18" s="42" t="s">
        <v>58</v>
      </c>
      <c r="D18" s="43">
        <v>44166</v>
      </c>
      <c r="E18" s="44" t="s">
        <v>92</v>
      </c>
    </row>
    <row r="19" spans="2:8" ht="15" thickBot="1" x14ac:dyDescent="0.25"/>
    <row r="20" spans="2:8" ht="19.5" thickBot="1" x14ac:dyDescent="0.25">
      <c r="B20" s="174" t="s">
        <v>62</v>
      </c>
      <c r="C20" s="175"/>
      <c r="D20" s="175"/>
      <c r="E20" s="176"/>
      <c r="G20" s="171" t="s">
        <v>14</v>
      </c>
      <c r="H20" s="173"/>
    </row>
    <row r="21" spans="2:8" ht="15" customHeight="1" x14ac:dyDescent="0.25">
      <c r="B21" s="45" t="s">
        <v>43</v>
      </c>
      <c r="C21" s="46" t="s">
        <v>6</v>
      </c>
      <c r="D21" s="47" t="s">
        <v>7</v>
      </c>
      <c r="E21" s="48" t="s">
        <v>88</v>
      </c>
      <c r="G21" s="49" t="s">
        <v>15</v>
      </c>
      <c r="H21" s="50" t="s">
        <v>59</v>
      </c>
    </row>
    <row r="22" spans="2:8" ht="15" customHeight="1" x14ac:dyDescent="0.25">
      <c r="B22" s="51" t="s">
        <v>18</v>
      </c>
      <c r="C22" s="52" t="s">
        <v>63</v>
      </c>
      <c r="D22" s="52"/>
      <c r="E22" s="53"/>
      <c r="G22" s="54" t="s">
        <v>60</v>
      </c>
      <c r="H22" s="55" t="s">
        <v>16</v>
      </c>
    </row>
    <row r="23" spans="2:8" ht="15" customHeight="1" x14ac:dyDescent="0.25">
      <c r="B23" s="51" t="s">
        <v>19</v>
      </c>
      <c r="C23" s="56" t="s">
        <v>65</v>
      </c>
      <c r="D23" s="56"/>
      <c r="E23" s="53"/>
      <c r="G23" s="54" t="s">
        <v>17</v>
      </c>
      <c r="H23" s="55" t="s">
        <v>108</v>
      </c>
    </row>
    <row r="24" spans="2:8" ht="15" customHeight="1" x14ac:dyDescent="0.25">
      <c r="B24" s="51" t="s">
        <v>21</v>
      </c>
      <c r="C24" s="56" t="s">
        <v>22</v>
      </c>
      <c r="D24" s="57" t="s">
        <v>23</v>
      </c>
      <c r="E24" s="33" t="s">
        <v>92</v>
      </c>
      <c r="G24" s="58" t="s">
        <v>61</v>
      </c>
      <c r="H24" s="59">
        <v>2018</v>
      </c>
    </row>
    <row r="25" spans="2:8" ht="15" customHeight="1" x14ac:dyDescent="0.25">
      <c r="B25" s="51" t="s">
        <v>24</v>
      </c>
      <c r="C25" s="60" t="s">
        <v>66</v>
      </c>
      <c r="D25" s="61">
        <v>43466</v>
      </c>
      <c r="E25" s="33" t="s">
        <v>92</v>
      </c>
    </row>
    <row r="26" spans="2:8" ht="15" customHeight="1" x14ac:dyDescent="0.25">
      <c r="B26" s="51" t="s">
        <v>67</v>
      </c>
      <c r="C26" s="62" t="s">
        <v>68</v>
      </c>
      <c r="D26" s="61">
        <v>43952</v>
      </c>
      <c r="E26" s="33" t="s">
        <v>92</v>
      </c>
    </row>
    <row r="27" spans="2:8" ht="15" customHeight="1" x14ac:dyDescent="0.25">
      <c r="B27" s="51" t="s">
        <v>109</v>
      </c>
      <c r="C27" s="62" t="s">
        <v>69</v>
      </c>
      <c r="D27" s="61">
        <v>43952</v>
      </c>
      <c r="E27" s="33" t="s">
        <v>92</v>
      </c>
    </row>
    <row r="28" spans="2:8" ht="15" customHeight="1" x14ac:dyDescent="0.25">
      <c r="B28" s="51" t="s">
        <v>110</v>
      </c>
      <c r="C28" s="62" t="s">
        <v>111</v>
      </c>
      <c r="D28" s="61">
        <v>43983</v>
      </c>
      <c r="E28" s="33" t="s">
        <v>92</v>
      </c>
    </row>
    <row r="29" spans="2:8" ht="15" customHeight="1" x14ac:dyDescent="0.25">
      <c r="B29" s="51" t="s">
        <v>112</v>
      </c>
      <c r="C29" s="62" t="s">
        <v>113</v>
      </c>
      <c r="D29" s="61">
        <v>43983</v>
      </c>
      <c r="E29" s="33" t="s">
        <v>92</v>
      </c>
    </row>
    <row r="30" spans="2:8" ht="15" x14ac:dyDescent="0.25">
      <c r="B30" s="51" t="s">
        <v>114</v>
      </c>
      <c r="C30" s="62" t="s">
        <v>115</v>
      </c>
      <c r="D30" s="61">
        <v>43983</v>
      </c>
      <c r="E30" s="33" t="s">
        <v>92</v>
      </c>
    </row>
    <row r="31" spans="2:8" ht="15" x14ac:dyDescent="0.25">
      <c r="B31" s="51" t="s">
        <v>116</v>
      </c>
      <c r="C31" s="62" t="s">
        <v>115</v>
      </c>
      <c r="D31" s="61">
        <v>43983</v>
      </c>
      <c r="E31" s="33" t="s">
        <v>92</v>
      </c>
    </row>
    <row r="32" spans="2:8" ht="15" x14ac:dyDescent="0.25">
      <c r="B32" s="51" t="s">
        <v>117</v>
      </c>
      <c r="C32" s="62" t="s">
        <v>118</v>
      </c>
      <c r="D32" s="61">
        <v>43983</v>
      </c>
      <c r="E32" s="33" t="s">
        <v>92</v>
      </c>
    </row>
    <row r="33" spans="2:8" ht="15" x14ac:dyDescent="0.25">
      <c r="B33" s="51" t="s">
        <v>119</v>
      </c>
      <c r="C33" s="62" t="s">
        <v>120</v>
      </c>
      <c r="D33" s="61">
        <v>43983</v>
      </c>
      <c r="E33" s="33" t="s">
        <v>92</v>
      </c>
    </row>
    <row r="34" spans="2:8" ht="15" x14ac:dyDescent="0.25">
      <c r="B34" s="51" t="s">
        <v>121</v>
      </c>
      <c r="C34" s="62" t="s">
        <v>122</v>
      </c>
      <c r="D34" s="61">
        <v>44044</v>
      </c>
      <c r="E34" s="33" t="s">
        <v>92</v>
      </c>
    </row>
    <row r="35" spans="2:8" ht="15" x14ac:dyDescent="0.25">
      <c r="B35" s="51" t="s">
        <v>123</v>
      </c>
      <c r="C35" s="62" t="s">
        <v>124</v>
      </c>
      <c r="D35" s="61">
        <v>44044</v>
      </c>
      <c r="E35" s="33" t="s">
        <v>92</v>
      </c>
    </row>
    <row r="36" spans="2:8" ht="15.75" thickBot="1" x14ac:dyDescent="0.3">
      <c r="B36" s="63" t="s">
        <v>123</v>
      </c>
      <c r="C36" s="64" t="s">
        <v>124</v>
      </c>
      <c r="D36" s="65">
        <v>44044</v>
      </c>
      <c r="E36" s="44" t="s">
        <v>92</v>
      </c>
    </row>
    <row r="37" spans="2:8" ht="15" thickBot="1" x14ac:dyDescent="0.25"/>
    <row r="38" spans="2:8" ht="19.5" thickBot="1" x14ac:dyDescent="0.25">
      <c r="B38" s="171" t="s">
        <v>70</v>
      </c>
      <c r="C38" s="172"/>
      <c r="D38" s="172"/>
      <c r="E38" s="173"/>
      <c r="G38" s="177" t="s">
        <v>64</v>
      </c>
      <c r="H38" s="178"/>
    </row>
    <row r="39" spans="2:8" ht="15" x14ac:dyDescent="0.25">
      <c r="B39" s="66" t="s">
        <v>71</v>
      </c>
      <c r="C39" s="67" t="s">
        <v>6</v>
      </c>
      <c r="D39" s="68" t="s">
        <v>7</v>
      </c>
      <c r="E39" s="68" t="s">
        <v>88</v>
      </c>
      <c r="G39" s="69" t="s">
        <v>20</v>
      </c>
      <c r="H39" s="69" t="s">
        <v>125</v>
      </c>
    </row>
    <row r="40" spans="2:8" ht="15" x14ac:dyDescent="0.25">
      <c r="B40" s="69" t="s">
        <v>25</v>
      </c>
      <c r="C40" s="52" t="s">
        <v>126</v>
      </c>
      <c r="D40" s="70">
        <v>44166</v>
      </c>
      <c r="E40" s="71" t="s">
        <v>92</v>
      </c>
      <c r="G40" s="56"/>
      <c r="H40" s="56"/>
    </row>
    <row r="41" spans="2:8" ht="15" x14ac:dyDescent="0.25">
      <c r="B41" s="69"/>
      <c r="C41" s="56"/>
      <c r="D41" s="56"/>
      <c r="E41" s="57"/>
      <c r="G41" s="56"/>
      <c r="H41" s="56"/>
    </row>
    <row r="42" spans="2:8" ht="15" x14ac:dyDescent="0.25">
      <c r="B42" s="72"/>
      <c r="E42" s="73"/>
      <c r="G42" s="56"/>
      <c r="H42" s="56"/>
    </row>
    <row r="43" spans="2:8" ht="15" x14ac:dyDescent="0.25">
      <c r="B43" s="72"/>
      <c r="C43" s="74"/>
      <c r="D43" s="74"/>
      <c r="E43" s="75"/>
      <c r="G43" s="56"/>
      <c r="H43" s="56"/>
    </row>
    <row r="44" spans="2:8" ht="15" x14ac:dyDescent="0.25">
      <c r="B44" s="72"/>
      <c r="C44" s="74"/>
      <c r="D44" s="74"/>
      <c r="E44" s="75"/>
      <c r="G44" s="56"/>
      <c r="H44" s="56"/>
    </row>
    <row r="45" spans="2:8" x14ac:dyDescent="0.2">
      <c r="G45" s="56"/>
      <c r="H45" s="5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Z50"/>
  <sheetViews>
    <sheetView tabSelected="1" zoomScaleNormal="100" workbookViewId="0">
      <selection activeCell="P27" sqref="P27"/>
    </sheetView>
  </sheetViews>
  <sheetFormatPr defaultColWidth="9.140625" defaultRowHeight="12.75" x14ac:dyDescent="0.2"/>
  <cols>
    <col min="1" max="1" width="14" style="85" customWidth="1"/>
    <col min="2" max="2" width="19.85546875" style="85" bestFit="1" customWidth="1"/>
    <col min="3" max="3" width="33.42578125" style="85" customWidth="1"/>
    <col min="4" max="8" width="10.7109375" style="85" customWidth="1"/>
    <col min="9" max="9" width="2" style="85" bestFit="1" customWidth="1"/>
    <col min="10" max="11" width="18.85546875" style="85" customWidth="1"/>
    <col min="12" max="12" width="6.42578125" style="85" bestFit="1" customWidth="1"/>
    <col min="13" max="14" width="9.140625" style="85"/>
    <col min="15" max="15" width="9.5703125" style="85" bestFit="1" customWidth="1"/>
    <col min="16" max="16" width="9.140625" style="85"/>
    <col min="17" max="21" width="11.140625" style="85" customWidth="1"/>
    <col min="22" max="16384" width="9.140625" style="85"/>
  </cols>
  <sheetData>
    <row r="1" spans="1:21" ht="21" x14ac:dyDescent="0.2">
      <c r="A1" s="77" t="s">
        <v>82</v>
      </c>
      <c r="B1" s="78"/>
    </row>
    <row r="2" spans="1:21" ht="18.75" x14ac:dyDescent="0.2">
      <c r="A2" s="79" t="s">
        <v>83</v>
      </c>
    </row>
    <row r="4" spans="1:21" ht="15" x14ac:dyDescent="0.2">
      <c r="A4" s="76" t="s">
        <v>27</v>
      </c>
      <c r="C4" s="87"/>
      <c r="D4" s="87"/>
      <c r="F4" s="80"/>
      <c r="G4" s="80"/>
      <c r="K4" s="76" t="s">
        <v>26</v>
      </c>
      <c r="Q4" s="90" t="s">
        <v>143</v>
      </c>
    </row>
    <row r="5" spans="1:21" ht="15.75" thickBot="1" x14ac:dyDescent="0.25">
      <c r="A5" s="4" t="s">
        <v>32</v>
      </c>
      <c r="B5" s="4" t="s">
        <v>28</v>
      </c>
      <c r="C5" s="4" t="s">
        <v>29</v>
      </c>
      <c r="D5" s="4" t="s">
        <v>33</v>
      </c>
      <c r="E5" s="4" t="s">
        <v>34</v>
      </c>
      <c r="F5" s="4" t="s">
        <v>84</v>
      </c>
      <c r="G5" s="4" t="s">
        <v>35</v>
      </c>
      <c r="H5" s="4" t="s">
        <v>73</v>
      </c>
      <c r="I5" s="81"/>
      <c r="J5" s="4" t="s">
        <v>28</v>
      </c>
      <c r="K5" s="4" t="s">
        <v>30</v>
      </c>
      <c r="L5" s="4" t="s">
        <v>72</v>
      </c>
      <c r="M5" s="4" t="s">
        <v>31</v>
      </c>
      <c r="N5" s="4" t="s">
        <v>79</v>
      </c>
      <c r="O5" s="4" t="s">
        <v>138</v>
      </c>
      <c r="Q5" s="84" t="s">
        <v>131</v>
      </c>
      <c r="R5" s="84" t="s">
        <v>137</v>
      </c>
      <c r="S5" s="84" t="s">
        <v>139</v>
      </c>
      <c r="T5" s="179" t="s">
        <v>140</v>
      </c>
      <c r="U5" s="179"/>
    </row>
    <row r="6" spans="1:21" ht="38.25" x14ac:dyDescent="0.2">
      <c r="A6" s="83" t="s">
        <v>74</v>
      </c>
      <c r="B6" s="83" t="s">
        <v>75</v>
      </c>
      <c r="C6" s="83" t="s">
        <v>37</v>
      </c>
      <c r="D6" s="83" t="s">
        <v>76</v>
      </c>
      <c r="E6" s="83" t="s">
        <v>77</v>
      </c>
      <c r="F6" s="83" t="s">
        <v>129</v>
      </c>
      <c r="G6" s="83" t="s">
        <v>130</v>
      </c>
      <c r="H6" s="83" t="s">
        <v>78</v>
      </c>
      <c r="I6" s="81"/>
      <c r="J6" s="82" t="s">
        <v>128</v>
      </c>
      <c r="K6" s="82" t="s">
        <v>6</v>
      </c>
      <c r="L6" s="82"/>
      <c r="M6" s="82" t="s">
        <v>80</v>
      </c>
      <c r="N6" s="82" t="s">
        <v>142</v>
      </c>
      <c r="O6" s="160" t="s">
        <v>141</v>
      </c>
      <c r="Q6" s="89"/>
      <c r="R6" s="89"/>
      <c r="S6" s="89" t="s">
        <v>127</v>
      </c>
      <c r="T6" s="89" t="s">
        <v>38</v>
      </c>
      <c r="U6" s="89" t="s">
        <v>127</v>
      </c>
    </row>
    <row r="7" spans="1:21" ht="15" x14ac:dyDescent="0.2">
      <c r="A7" s="80" t="s">
        <v>36</v>
      </c>
      <c r="B7" s="80" t="str">
        <f t="shared" ref="B7:B12" si="0">"R-RTFT-"&amp;Q7&amp;"_"&amp;R7</f>
        <v>R-RTFT-Apt_Shallow</v>
      </c>
      <c r="C7" s="80" t="str">
        <f t="shared" ref="C7:C12" si="1">"Residential "&amp;Q7&amp;" - "&amp;R7&amp;" retrofit"</f>
        <v>Residential Apt - Shallow retrofit</v>
      </c>
      <c r="D7" s="80" t="s">
        <v>16</v>
      </c>
      <c r="E7" s="80" t="s">
        <v>81</v>
      </c>
      <c r="F7" s="80" t="s">
        <v>223</v>
      </c>
      <c r="G7" s="80"/>
      <c r="H7" s="80"/>
      <c r="I7" s="80"/>
      <c r="J7" s="80" t="str">
        <f t="shared" ref="J7:J12" si="2">B7</f>
        <v>R-RTFT-Apt_Shallow</v>
      </c>
      <c r="K7" s="80" t="str">
        <f>"RSDSH_"&amp;Q7</f>
        <v>RSDSH_Apt</v>
      </c>
      <c r="L7" s="80">
        <v>2020</v>
      </c>
      <c r="M7" s="80">
        <v>50</v>
      </c>
      <c r="N7" s="80">
        <f>U7</f>
        <v>5.9072960538612464E-3</v>
      </c>
      <c r="O7" s="161">
        <f>Data!U59/1000</f>
        <v>11.196414691601362</v>
      </c>
      <c r="Q7" s="85" t="s">
        <v>132</v>
      </c>
      <c r="R7" s="85" t="s">
        <v>135</v>
      </c>
      <c r="S7" s="85">
        <v>1.6E-2</v>
      </c>
      <c r="T7" s="163">
        <f>Data!X59</f>
        <v>0.36920600336632792</v>
      </c>
      <c r="U7" s="85">
        <f>S7*T7</f>
        <v>5.9072960538612464E-3</v>
      </c>
    </row>
    <row r="8" spans="1:21" ht="15" x14ac:dyDescent="0.2">
      <c r="A8" s="88" t="s">
        <v>36</v>
      </c>
      <c r="B8" s="88" t="str">
        <f t="shared" si="0"/>
        <v>R-RTFT-Apt_Deep</v>
      </c>
      <c r="C8" s="88" t="str">
        <f t="shared" si="1"/>
        <v>Residential Apt - Deep retrofit</v>
      </c>
      <c r="D8" s="88" t="s">
        <v>16</v>
      </c>
      <c r="E8" s="88" t="s">
        <v>81</v>
      </c>
      <c r="F8" s="88" t="s">
        <v>223</v>
      </c>
      <c r="G8" s="88"/>
      <c r="H8" s="88"/>
      <c r="I8" s="80"/>
      <c r="J8" s="88" t="str">
        <f t="shared" si="2"/>
        <v>R-RTFT-Apt_Deep</v>
      </c>
      <c r="K8" s="88" t="str">
        <f t="shared" ref="K8:K12" si="3">"RSDSH_"&amp;Q8</f>
        <v>RSDSH_Apt</v>
      </c>
      <c r="L8" s="88">
        <v>2020</v>
      </c>
      <c r="M8" s="88">
        <v>50</v>
      </c>
      <c r="N8" s="88">
        <f t="shared" ref="N8:N12" si="4">U8</f>
        <v>8.1965689357556444E-3</v>
      </c>
      <c r="O8" s="162">
        <f>Data!U60/1000</f>
        <v>15.982779351113084</v>
      </c>
      <c r="Q8" s="86" t="s">
        <v>132</v>
      </c>
      <c r="R8" s="86" t="s">
        <v>136</v>
      </c>
      <c r="S8" s="86">
        <v>1.6E-2</v>
      </c>
      <c r="T8" s="164">
        <f>Data!X60</f>
        <v>0.51228555848472779</v>
      </c>
      <c r="U8" s="86">
        <f t="shared" ref="U8:U12" si="5">S8*T8</f>
        <v>8.1965689357556444E-3</v>
      </c>
    </row>
    <row r="9" spans="1:21" ht="15" x14ac:dyDescent="0.2">
      <c r="A9" s="80" t="s">
        <v>36</v>
      </c>
      <c r="B9" s="80" t="str">
        <f t="shared" si="0"/>
        <v>R-RTFT-Att_Shallow</v>
      </c>
      <c r="C9" s="80" t="str">
        <f t="shared" si="1"/>
        <v>Residential Att - Shallow retrofit</v>
      </c>
      <c r="D9" s="80" t="s">
        <v>16</v>
      </c>
      <c r="E9" s="80" t="s">
        <v>81</v>
      </c>
      <c r="F9" s="80" t="s">
        <v>223</v>
      </c>
      <c r="G9" s="80"/>
      <c r="H9" s="80"/>
      <c r="I9" s="80"/>
      <c r="J9" s="80" t="str">
        <f t="shared" si="2"/>
        <v>R-RTFT-Att_Shallow</v>
      </c>
      <c r="K9" s="80" t="str">
        <f t="shared" si="3"/>
        <v>RSDSH_Att</v>
      </c>
      <c r="L9" s="80">
        <v>2020</v>
      </c>
      <c r="M9" s="80">
        <v>50</v>
      </c>
      <c r="N9" s="80">
        <f t="shared" si="4"/>
        <v>9.413814304323951E-3</v>
      </c>
      <c r="O9" s="161">
        <f>Data!S59/1000</f>
        <v>9.6084735804205188</v>
      </c>
      <c r="Q9" s="85" t="s">
        <v>133</v>
      </c>
      <c r="R9" s="85" t="s">
        <v>135</v>
      </c>
      <c r="S9" s="85">
        <v>2.69E-2</v>
      </c>
      <c r="T9" s="163">
        <f>Data!V59</f>
        <v>0.3499559220938272</v>
      </c>
      <c r="U9" s="85">
        <f t="shared" si="5"/>
        <v>9.413814304323951E-3</v>
      </c>
    </row>
    <row r="10" spans="1:21" ht="15" x14ac:dyDescent="0.2">
      <c r="A10" s="88" t="s">
        <v>36</v>
      </c>
      <c r="B10" s="88" t="str">
        <f t="shared" si="0"/>
        <v>R-RTFT-Att_Deep</v>
      </c>
      <c r="C10" s="88" t="str">
        <f t="shared" si="1"/>
        <v>Residential Att - Deep retrofit</v>
      </c>
      <c r="D10" s="88" t="s">
        <v>16</v>
      </c>
      <c r="E10" s="88" t="s">
        <v>81</v>
      </c>
      <c r="F10" s="88" t="s">
        <v>223</v>
      </c>
      <c r="G10" s="88"/>
      <c r="H10" s="88"/>
      <c r="I10" s="80"/>
      <c r="J10" s="88" t="str">
        <f t="shared" si="2"/>
        <v>R-RTFT-Att_Deep</v>
      </c>
      <c r="K10" s="88" t="str">
        <f t="shared" si="3"/>
        <v>RSDSH_Att</v>
      </c>
      <c r="L10" s="88">
        <v>2020</v>
      </c>
      <c r="M10" s="88">
        <v>50</v>
      </c>
      <c r="N10" s="88">
        <f t="shared" si="4"/>
        <v>1.5328198459374942E-2</v>
      </c>
      <c r="O10" s="162">
        <f>Data!S60/1000</f>
        <v>20.5630239417189</v>
      </c>
      <c r="Q10" s="86" t="s">
        <v>133</v>
      </c>
      <c r="R10" s="86" t="s">
        <v>136</v>
      </c>
      <c r="S10" s="86">
        <v>2.69E-2</v>
      </c>
      <c r="T10" s="164">
        <f>Data!V60</f>
        <v>0.56982150406598298</v>
      </c>
      <c r="U10" s="86">
        <f t="shared" si="5"/>
        <v>1.5328198459374942E-2</v>
      </c>
    </row>
    <row r="11" spans="1:21" ht="15" x14ac:dyDescent="0.2">
      <c r="A11" s="80" t="s">
        <v>36</v>
      </c>
      <c r="B11" s="80" t="str">
        <f t="shared" si="0"/>
        <v>R-RTFT-Det_Shallow</v>
      </c>
      <c r="C11" s="80" t="str">
        <f t="shared" si="1"/>
        <v>Residential Det - Shallow retrofit</v>
      </c>
      <c r="D11" s="80" t="s">
        <v>16</v>
      </c>
      <c r="E11" s="80" t="s">
        <v>81</v>
      </c>
      <c r="F11" s="80" t="s">
        <v>223</v>
      </c>
      <c r="G11" s="80"/>
      <c r="H11" s="80"/>
      <c r="I11" s="80"/>
      <c r="J11" s="80" t="str">
        <f t="shared" si="2"/>
        <v>R-RTFT-Det_Shallow</v>
      </c>
      <c r="K11" s="80" t="str">
        <f t="shared" si="3"/>
        <v>RSDSH_Det</v>
      </c>
      <c r="L11" s="80">
        <v>2020</v>
      </c>
      <c r="M11" s="80">
        <v>50</v>
      </c>
      <c r="N11" s="80">
        <f t="shared" si="4"/>
        <v>1.6649605686878701E-2</v>
      </c>
      <c r="O11" s="161">
        <f>Data!T59/1000</f>
        <v>14.333869646601945</v>
      </c>
      <c r="Q11" s="85" t="s">
        <v>134</v>
      </c>
      <c r="R11" s="85" t="s">
        <v>135</v>
      </c>
      <c r="S11" s="85">
        <v>4.7899999999999998E-2</v>
      </c>
      <c r="T11" s="163">
        <f>Data!W59</f>
        <v>0.34759093292022342</v>
      </c>
      <c r="U11" s="85">
        <f t="shared" si="5"/>
        <v>1.6649605686878701E-2</v>
      </c>
    </row>
    <row r="12" spans="1:21" ht="15" x14ac:dyDescent="0.2">
      <c r="A12" s="88" t="s">
        <v>36</v>
      </c>
      <c r="B12" s="88" t="str">
        <f t="shared" si="0"/>
        <v>R-RTFT-Det_Deep</v>
      </c>
      <c r="C12" s="88" t="str">
        <f t="shared" si="1"/>
        <v>Residential Det - Deep retrofit</v>
      </c>
      <c r="D12" s="88" t="s">
        <v>16</v>
      </c>
      <c r="E12" s="88" t="s">
        <v>81</v>
      </c>
      <c r="F12" s="88" t="s">
        <v>223</v>
      </c>
      <c r="G12" s="88"/>
      <c r="H12" s="88"/>
      <c r="I12" s="80"/>
      <c r="J12" s="88" t="str">
        <f t="shared" si="2"/>
        <v>R-RTFT-Det_Deep</v>
      </c>
      <c r="K12" s="88" t="str">
        <f t="shared" si="3"/>
        <v>RSDSH_Det</v>
      </c>
      <c r="L12" s="88">
        <v>2020</v>
      </c>
      <c r="M12" s="88">
        <v>50</v>
      </c>
      <c r="N12" s="88">
        <f t="shared" si="4"/>
        <v>2.7503185042088787E-2</v>
      </c>
      <c r="O12" s="162">
        <f>Data!T60/1000</f>
        <v>22.25938755708523</v>
      </c>
      <c r="Q12" s="86" t="s">
        <v>134</v>
      </c>
      <c r="R12" s="86" t="s">
        <v>136</v>
      </c>
      <c r="S12" s="86">
        <v>4.7899999999999998E-2</v>
      </c>
      <c r="T12" s="164">
        <f>Data!W60</f>
        <v>0.57417922843609159</v>
      </c>
      <c r="U12" s="86">
        <f t="shared" si="5"/>
        <v>2.7503185042088787E-2</v>
      </c>
    </row>
    <row r="19" spans="22:26" x14ac:dyDescent="0.2">
      <c r="V19"/>
      <c r="W19"/>
      <c r="X19"/>
      <c r="Y19"/>
      <c r="Z19"/>
    </row>
    <row r="20" spans="22:26" x14ac:dyDescent="0.2">
      <c r="V20"/>
      <c r="W20"/>
      <c r="X20"/>
      <c r="Y20"/>
      <c r="Z20"/>
    </row>
    <row r="21" spans="22:26" x14ac:dyDescent="0.2">
      <c r="V21"/>
      <c r="W21"/>
      <c r="X21"/>
      <c r="Y21"/>
      <c r="Z21"/>
    </row>
    <row r="22" spans="22:26" x14ac:dyDescent="0.2">
      <c r="V22"/>
      <c r="W22"/>
      <c r="X22"/>
      <c r="Y22"/>
      <c r="Z22"/>
    </row>
    <row r="23" spans="22:26" x14ac:dyDescent="0.2">
      <c r="V23"/>
      <c r="W23"/>
      <c r="X23"/>
      <c r="Y23"/>
      <c r="Z23"/>
    </row>
    <row r="24" spans="22:26" x14ac:dyDescent="0.2">
      <c r="V24"/>
      <c r="W24"/>
      <c r="X24"/>
      <c r="Y24"/>
      <c r="Z24"/>
    </row>
    <row r="25" spans="22:26" x14ac:dyDescent="0.2">
      <c r="V25"/>
      <c r="W25"/>
      <c r="X25"/>
      <c r="Y25"/>
      <c r="Z25"/>
    </row>
    <row r="26" spans="22:26" x14ac:dyDescent="0.2">
      <c r="V26"/>
      <c r="W26"/>
      <c r="X26"/>
      <c r="Y26"/>
      <c r="Z26"/>
    </row>
    <row r="27" spans="22:26" x14ac:dyDescent="0.2">
      <c r="V27"/>
      <c r="W27"/>
      <c r="X27"/>
      <c r="Y27"/>
      <c r="Z27"/>
    </row>
    <row r="28" spans="22:26" x14ac:dyDescent="0.2">
      <c r="V28"/>
      <c r="W28"/>
      <c r="X28"/>
      <c r="Y28"/>
      <c r="Z28"/>
    </row>
    <row r="29" spans="22:26" x14ac:dyDescent="0.2">
      <c r="V29"/>
      <c r="W29"/>
      <c r="X29"/>
      <c r="Y29"/>
      <c r="Z29"/>
    </row>
    <row r="30" spans="22:26" x14ac:dyDescent="0.2">
      <c r="V30"/>
      <c r="W30"/>
      <c r="X30"/>
      <c r="Y30"/>
      <c r="Z30"/>
    </row>
    <row r="31" spans="22:26" x14ac:dyDescent="0.2">
      <c r="V31"/>
      <c r="W31"/>
      <c r="X31"/>
      <c r="Y31"/>
      <c r="Z31"/>
    </row>
    <row r="32" spans="22:26" x14ac:dyDescent="0.2">
      <c r="V32"/>
      <c r="W32"/>
      <c r="X32"/>
      <c r="Y32"/>
      <c r="Z32"/>
    </row>
    <row r="33" spans="22:26" x14ac:dyDescent="0.2">
      <c r="V33"/>
      <c r="W33"/>
      <c r="X33"/>
      <c r="Y33"/>
      <c r="Z33"/>
    </row>
    <row r="34" spans="22:26" x14ac:dyDescent="0.2">
      <c r="V34"/>
      <c r="W34"/>
      <c r="X34"/>
      <c r="Y34"/>
      <c r="Z34"/>
    </row>
    <row r="35" spans="22:26" x14ac:dyDescent="0.2">
      <c r="V35"/>
      <c r="W35"/>
      <c r="X35"/>
      <c r="Y35"/>
      <c r="Z35"/>
    </row>
    <row r="36" spans="22:26" x14ac:dyDescent="0.2">
      <c r="V36"/>
      <c r="W36"/>
      <c r="X36"/>
      <c r="Y36"/>
      <c r="Z36"/>
    </row>
    <row r="37" spans="22:26" x14ac:dyDescent="0.2">
      <c r="V37"/>
      <c r="W37"/>
      <c r="X37"/>
      <c r="Y37"/>
      <c r="Z37"/>
    </row>
    <row r="38" spans="22:26" x14ac:dyDescent="0.2">
      <c r="V38"/>
      <c r="W38"/>
      <c r="X38"/>
      <c r="Y38"/>
      <c r="Z38"/>
    </row>
    <row r="39" spans="22:26" x14ac:dyDescent="0.2">
      <c r="V39"/>
      <c r="W39"/>
      <c r="X39"/>
      <c r="Y39"/>
      <c r="Z39"/>
    </row>
    <row r="40" spans="22:26" x14ac:dyDescent="0.2">
      <c r="V40"/>
      <c r="W40"/>
      <c r="X40"/>
      <c r="Y40"/>
      <c r="Z40"/>
    </row>
    <row r="41" spans="22:26" x14ac:dyDescent="0.2">
      <c r="V41"/>
      <c r="W41"/>
      <c r="X41"/>
      <c r="Y41"/>
      <c r="Z41"/>
    </row>
    <row r="42" spans="22:26" x14ac:dyDescent="0.2">
      <c r="V42"/>
      <c r="W42"/>
      <c r="X42"/>
      <c r="Y42"/>
      <c r="Z42"/>
    </row>
    <row r="43" spans="22:26" x14ac:dyDescent="0.2">
      <c r="V43"/>
      <c r="W43"/>
      <c r="X43"/>
      <c r="Y43"/>
      <c r="Z43"/>
    </row>
    <row r="44" spans="22:26" x14ac:dyDescent="0.2">
      <c r="V44"/>
      <c r="W44"/>
      <c r="X44"/>
      <c r="Y44"/>
      <c r="Z44"/>
    </row>
    <row r="45" spans="22:26" x14ac:dyDescent="0.2">
      <c r="V45"/>
      <c r="W45"/>
      <c r="X45"/>
      <c r="Y45"/>
      <c r="Z45"/>
    </row>
    <row r="46" spans="22:26" x14ac:dyDescent="0.2">
      <c r="V46"/>
      <c r="W46"/>
      <c r="X46"/>
      <c r="Y46"/>
      <c r="Z46"/>
    </row>
    <row r="47" spans="22:26" x14ac:dyDescent="0.2">
      <c r="V47"/>
      <c r="W47"/>
      <c r="X47"/>
      <c r="Y47"/>
      <c r="Z47"/>
    </row>
    <row r="48" spans="22:26" x14ac:dyDescent="0.2">
      <c r="V48"/>
      <c r="W48"/>
      <c r="X48"/>
      <c r="Y48"/>
      <c r="Z48"/>
    </row>
    <row r="49" spans="18:26" x14ac:dyDescent="0.2">
      <c r="V49"/>
      <c r="W49"/>
      <c r="X49"/>
      <c r="Y49"/>
      <c r="Z49"/>
    </row>
    <row r="50" spans="18:26" x14ac:dyDescent="0.2">
      <c r="R50"/>
      <c r="U50"/>
      <c r="V50"/>
      <c r="W50"/>
      <c r="X50"/>
      <c r="Y50"/>
      <c r="Z50"/>
    </row>
  </sheetData>
  <mergeCells count="1">
    <mergeCell ref="T5:U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DB4B-6EBE-42F5-800F-C9AB0144B3BB}">
  <dimension ref="A1:AI60"/>
  <sheetViews>
    <sheetView topLeftCell="A19" workbookViewId="0">
      <selection activeCell="Z16" sqref="Z16"/>
    </sheetView>
  </sheetViews>
  <sheetFormatPr defaultRowHeight="12.75" x14ac:dyDescent="0.2"/>
  <cols>
    <col min="1" max="1" width="11.28515625" customWidth="1"/>
    <col min="2" max="2" width="7.85546875" customWidth="1"/>
    <col min="3" max="3" width="12.7109375" customWidth="1"/>
    <col min="4" max="4" width="10.7109375" customWidth="1"/>
    <col min="5" max="5" width="12.85546875" customWidth="1"/>
    <col min="6" max="6" width="13.28515625" customWidth="1"/>
    <col min="7" max="7" width="13.7109375" customWidth="1"/>
    <col min="8" max="8" width="14.42578125" customWidth="1"/>
    <col min="9" max="9" width="11.7109375" customWidth="1"/>
    <col min="10" max="10" width="12.7109375" customWidth="1"/>
    <col min="11" max="11" width="12.28515625" customWidth="1"/>
    <col min="12" max="12" width="12.5703125" customWidth="1"/>
    <col min="13" max="13" width="13.140625" customWidth="1"/>
    <col min="14" max="15" width="13.5703125" customWidth="1"/>
    <col min="16" max="18" width="10.7109375" customWidth="1"/>
    <col min="19" max="19" width="12.42578125" customWidth="1"/>
    <col min="20" max="21" width="12.28515625" customWidth="1"/>
    <col min="24" max="24" width="11.85546875" customWidth="1"/>
  </cols>
  <sheetData>
    <row r="1" spans="3:35" ht="13.5" thickBot="1" x14ac:dyDescent="0.25"/>
    <row r="2" spans="3:35" ht="15.75" thickBot="1" x14ac:dyDescent="0.25">
      <c r="L2" s="183" t="s">
        <v>201</v>
      </c>
      <c r="M2" s="184"/>
      <c r="N2" s="185"/>
      <c r="O2" s="183" t="s">
        <v>202</v>
      </c>
      <c r="P2" s="184"/>
      <c r="Q2" s="185"/>
      <c r="R2" s="183" t="s">
        <v>212</v>
      </c>
      <c r="S2" s="184"/>
      <c r="T2" s="185"/>
      <c r="Y2" s="125" t="s">
        <v>205</v>
      </c>
    </row>
    <row r="3" spans="3:35" ht="16.5" thickBot="1" x14ac:dyDescent="0.25">
      <c r="C3" s="182" t="s">
        <v>190</v>
      </c>
      <c r="D3" s="182"/>
      <c r="E3" s="182"/>
      <c r="F3" s="182"/>
      <c r="G3" s="182"/>
      <c r="L3" s="94" t="s">
        <v>191</v>
      </c>
      <c r="M3" s="94" t="s">
        <v>192</v>
      </c>
      <c r="N3" s="94" t="s">
        <v>193</v>
      </c>
      <c r="O3" s="94" t="s">
        <v>191</v>
      </c>
      <c r="P3" s="94" t="s">
        <v>192</v>
      </c>
      <c r="Q3" s="94" t="s">
        <v>193</v>
      </c>
      <c r="R3" s="94" t="s">
        <v>191</v>
      </c>
      <c r="S3" s="94" t="s">
        <v>192</v>
      </c>
      <c r="T3" s="94" t="s">
        <v>193</v>
      </c>
      <c r="U3" s="94" t="s">
        <v>213</v>
      </c>
      <c r="Y3" s="126"/>
      <c r="AB3" s="5" t="s">
        <v>133</v>
      </c>
      <c r="AC3" s="5" t="s">
        <v>134</v>
      </c>
      <c r="AD3" s="5" t="s">
        <v>132</v>
      </c>
      <c r="AE3" t="s">
        <v>215</v>
      </c>
      <c r="AH3" s="5" t="s">
        <v>133</v>
      </c>
      <c r="AI3" s="5" t="s">
        <v>133</v>
      </c>
    </row>
    <row r="4" spans="3:35" ht="15.75" thickBot="1" x14ac:dyDescent="0.25">
      <c r="C4" s="95" t="s">
        <v>194</v>
      </c>
      <c r="D4" s="94" t="s">
        <v>192</v>
      </c>
      <c r="E4" s="94" t="s">
        <v>193</v>
      </c>
      <c r="F4" s="94" t="s">
        <v>191</v>
      </c>
      <c r="G4" s="96" t="s">
        <v>195</v>
      </c>
      <c r="K4" s="97" t="s">
        <v>145</v>
      </c>
      <c r="L4" s="98">
        <v>1.4285714285714286</v>
      </c>
      <c r="M4" s="98">
        <v>1.375</v>
      </c>
      <c r="N4" s="98">
        <v>1.3478893740902476</v>
      </c>
      <c r="O4" s="99">
        <v>13455.569795438192</v>
      </c>
      <c r="P4" s="99">
        <v>21274.101374868016</v>
      </c>
      <c r="Q4" s="100">
        <v>27468.241730097478</v>
      </c>
      <c r="R4" s="99">
        <v>52.179898737999999</v>
      </c>
      <c r="S4" s="99">
        <v>54.365575896999999</v>
      </c>
      <c r="T4" s="100">
        <v>56</v>
      </c>
      <c r="U4" s="145">
        <f>AVERAGE(R4:T4)</f>
        <v>54.181824878333337</v>
      </c>
      <c r="Y4" s="127"/>
    </row>
    <row r="5" spans="3:35" ht="15" x14ac:dyDescent="0.2">
      <c r="C5" s="97" t="s">
        <v>145</v>
      </c>
      <c r="D5" s="99">
        <v>15472.073727176739</v>
      </c>
      <c r="E5" s="99">
        <v>20378.706337556119</v>
      </c>
      <c r="F5" s="99">
        <v>9418.8988568067343</v>
      </c>
      <c r="G5" s="101">
        <v>45269.678921539591</v>
      </c>
      <c r="K5" s="102" t="s">
        <v>148</v>
      </c>
      <c r="L5" s="103">
        <v>1</v>
      </c>
      <c r="M5" s="103">
        <v>1</v>
      </c>
      <c r="N5" s="103">
        <v>1</v>
      </c>
      <c r="O5" s="104">
        <v>7459.2913438514906</v>
      </c>
      <c r="P5" s="104">
        <v>9537.7783975583752</v>
      </c>
      <c r="Q5" s="105">
        <v>9433.9012004747347</v>
      </c>
      <c r="R5" s="104">
        <v>90.810760361000007</v>
      </c>
      <c r="S5" s="104">
        <v>89.503049435999998</v>
      </c>
      <c r="T5" s="105">
        <v>90</v>
      </c>
      <c r="U5" s="145">
        <f t="shared" ref="U5:U12" si="0">AVERAGE(R5:T5)</f>
        <v>90.104603265666654</v>
      </c>
      <c r="AA5" s="128" t="s">
        <v>144</v>
      </c>
      <c r="AB5">
        <f>AVERAGE(AH5:AI5)</f>
        <v>235</v>
      </c>
      <c r="AC5" s="129">
        <v>400</v>
      </c>
      <c r="AD5" s="129">
        <v>140</v>
      </c>
      <c r="AH5" s="130">
        <v>190</v>
      </c>
      <c r="AI5" s="129">
        <v>280</v>
      </c>
    </row>
    <row r="6" spans="3:35" ht="15" x14ac:dyDescent="0.2">
      <c r="C6" s="102" t="s">
        <v>148</v>
      </c>
      <c r="D6" s="104">
        <v>9537.7783975583752</v>
      </c>
      <c r="E6" s="104">
        <v>9433.9012004747347</v>
      </c>
      <c r="F6" s="104">
        <v>7459.2913438514906</v>
      </c>
      <c r="G6" s="106">
        <v>26430.9709418846</v>
      </c>
      <c r="K6" s="107" t="s">
        <v>149</v>
      </c>
      <c r="L6" s="108">
        <v>1</v>
      </c>
      <c r="M6" s="108">
        <v>1</v>
      </c>
      <c r="N6" s="108">
        <v>1</v>
      </c>
      <c r="O6" s="109">
        <v>14041.847426430093</v>
      </c>
      <c r="P6" s="109">
        <v>17545.09295382088</v>
      </c>
      <c r="Q6" s="110">
        <v>20090.949195825138</v>
      </c>
      <c r="R6" s="109">
        <v>114.211320254</v>
      </c>
      <c r="S6" s="109">
        <v>116.155508754</v>
      </c>
      <c r="T6" s="110">
        <v>116</v>
      </c>
      <c r="U6" s="145">
        <f t="shared" si="0"/>
        <v>115.45560966933333</v>
      </c>
      <c r="AA6" s="131" t="s">
        <v>146</v>
      </c>
      <c r="AB6">
        <f t="shared" ref="AB6:AB19" si="1">AVERAGE(AH6:AI6)</f>
        <v>470</v>
      </c>
      <c r="AC6" s="132">
        <v>800</v>
      </c>
      <c r="AD6" s="132">
        <v>280</v>
      </c>
      <c r="AH6" s="133">
        <v>380</v>
      </c>
      <c r="AI6" s="132">
        <v>560</v>
      </c>
    </row>
    <row r="7" spans="3:35" ht="15" x14ac:dyDescent="0.2">
      <c r="C7" s="107" t="s">
        <v>149</v>
      </c>
      <c r="D7" s="109">
        <v>17545.09295382088</v>
      </c>
      <c r="E7" s="109">
        <v>20090.949195825138</v>
      </c>
      <c r="F7" s="109">
        <v>14041.847426430093</v>
      </c>
      <c r="G7" s="111">
        <v>51677.889576076108</v>
      </c>
      <c r="K7" s="102" t="s">
        <v>150</v>
      </c>
      <c r="L7" s="103">
        <v>1</v>
      </c>
      <c r="M7" s="103">
        <v>1</v>
      </c>
      <c r="N7" s="103">
        <v>1</v>
      </c>
      <c r="O7" s="104">
        <v>19924.480375055824</v>
      </c>
      <c r="P7" s="104">
        <v>49768.849685929476</v>
      </c>
      <c r="Q7" s="105">
        <v>53466.210043981671</v>
      </c>
      <c r="R7" s="104">
        <v>138.494823139</v>
      </c>
      <c r="S7" s="104">
        <v>140.28979616699999</v>
      </c>
      <c r="T7" s="105">
        <v>140</v>
      </c>
      <c r="U7" s="145">
        <f t="shared" si="0"/>
        <v>139.59487310199998</v>
      </c>
      <c r="AA7" s="131" t="s">
        <v>147</v>
      </c>
      <c r="AB7">
        <f t="shared" si="1"/>
        <v>585</v>
      </c>
      <c r="AC7" s="132">
        <v>900</v>
      </c>
      <c r="AD7" s="132">
        <v>350</v>
      </c>
      <c r="AH7" s="133">
        <v>470</v>
      </c>
      <c r="AI7" s="132">
        <v>700</v>
      </c>
    </row>
    <row r="8" spans="3:35" ht="15" x14ac:dyDescent="0.2">
      <c r="C8" s="102" t="s">
        <v>150</v>
      </c>
      <c r="D8" s="104">
        <v>49768.849685929476</v>
      </c>
      <c r="E8" s="104">
        <v>53466.210043981671</v>
      </c>
      <c r="F8" s="104">
        <v>19924.480375055824</v>
      </c>
      <c r="G8" s="106">
        <v>123159.54010496697</v>
      </c>
      <c r="K8" s="107" t="s">
        <v>152</v>
      </c>
      <c r="L8" s="108">
        <v>0.62350597609561753</v>
      </c>
      <c r="M8" s="108">
        <v>0.63854266538830295</v>
      </c>
      <c r="N8" s="108">
        <v>0.65110565110565111</v>
      </c>
      <c r="O8" s="109">
        <v>36727.496963354082</v>
      </c>
      <c r="P8" s="109">
        <v>180165.78839768126</v>
      </c>
      <c r="Q8" s="110">
        <v>163635.17790575436</v>
      </c>
      <c r="R8" s="109">
        <v>187.42567462599999</v>
      </c>
      <c r="S8" s="109">
        <v>189.15351469199999</v>
      </c>
      <c r="T8" s="110">
        <v>190</v>
      </c>
      <c r="U8" s="145">
        <f t="shared" si="0"/>
        <v>188.85972977266667</v>
      </c>
      <c r="AA8" s="131" t="s">
        <v>148</v>
      </c>
      <c r="AB8">
        <f t="shared" si="1"/>
        <v>745</v>
      </c>
      <c r="AC8" s="134">
        <v>1200</v>
      </c>
      <c r="AD8" s="132">
        <v>440</v>
      </c>
      <c r="AH8" s="133">
        <v>590</v>
      </c>
      <c r="AI8" s="132">
        <v>900</v>
      </c>
    </row>
    <row r="9" spans="3:35" ht="15" x14ac:dyDescent="0.25">
      <c r="C9" s="107" t="s">
        <v>152</v>
      </c>
      <c r="D9" s="109">
        <v>282151.52747564798</v>
      </c>
      <c r="E9" s="109">
        <v>251318.93361374349</v>
      </c>
      <c r="F9" s="109">
        <v>58904.8034364337</v>
      </c>
      <c r="G9" s="111">
        <v>592375.26452582516</v>
      </c>
      <c r="I9" s="112" t="s">
        <v>196</v>
      </c>
      <c r="K9" s="102" t="s">
        <v>156</v>
      </c>
      <c r="L9" s="103">
        <v>0.64275466284074612</v>
      </c>
      <c r="M9" s="103">
        <v>0.6669136717302705</v>
      </c>
      <c r="N9" s="103">
        <v>0.67542972699696668</v>
      </c>
      <c r="O9" s="104">
        <v>28113.665794547433</v>
      </c>
      <c r="P9" s="104">
        <v>125131.02640900291</v>
      </c>
      <c r="Q9" s="105">
        <v>112572.38085312897</v>
      </c>
      <c r="R9" s="104">
        <v>260.96259530600003</v>
      </c>
      <c r="S9" s="104">
        <v>259.598229774</v>
      </c>
      <c r="T9" s="105">
        <v>261</v>
      </c>
      <c r="U9" s="145">
        <f t="shared" si="0"/>
        <v>260.5202750266667</v>
      </c>
      <c r="AA9" s="131" t="s">
        <v>149</v>
      </c>
      <c r="AB9">
        <f t="shared" si="1"/>
        <v>950</v>
      </c>
      <c r="AC9" s="134">
        <v>1500</v>
      </c>
      <c r="AD9" s="132">
        <v>570</v>
      </c>
      <c r="AH9" s="133">
        <v>800</v>
      </c>
      <c r="AI9" s="134">
        <v>1100</v>
      </c>
    </row>
    <row r="10" spans="3:35" ht="15" x14ac:dyDescent="0.2">
      <c r="C10" s="102" t="s">
        <v>156</v>
      </c>
      <c r="D10" s="104">
        <v>187627.02237661046</v>
      </c>
      <c r="E10" s="104">
        <v>166667.79141279124</v>
      </c>
      <c r="F10" s="104">
        <v>43739.341649106158</v>
      </c>
      <c r="G10" s="106">
        <v>398034.15543850785</v>
      </c>
      <c r="K10" s="107" t="s">
        <v>159</v>
      </c>
      <c r="L10" s="108">
        <v>0.65947786606129399</v>
      </c>
      <c r="M10" s="108">
        <v>0.68235651381718798</v>
      </c>
      <c r="N10" s="108">
        <v>0.68787878787878787</v>
      </c>
      <c r="O10" s="109">
        <v>16993.344189187668</v>
      </c>
      <c r="P10" s="109">
        <v>69203.844283713814</v>
      </c>
      <c r="Q10" s="110">
        <v>55991.061950391217</v>
      </c>
      <c r="R10" s="109">
        <v>336.50531067600002</v>
      </c>
      <c r="S10" s="109">
        <v>338.29602796400002</v>
      </c>
      <c r="T10" s="110">
        <v>338</v>
      </c>
      <c r="U10" s="145">
        <f t="shared" si="0"/>
        <v>337.60044621333333</v>
      </c>
      <c r="AA10" s="131" t="s">
        <v>150</v>
      </c>
      <c r="AB10">
        <f t="shared" si="1"/>
        <v>1150</v>
      </c>
      <c r="AC10" s="134">
        <v>1900</v>
      </c>
      <c r="AD10" s="132">
        <v>700</v>
      </c>
      <c r="AH10" s="133">
        <v>900</v>
      </c>
      <c r="AI10" s="134">
        <v>1400</v>
      </c>
    </row>
    <row r="11" spans="3:35" ht="15" x14ac:dyDescent="0.2">
      <c r="C11" s="107" t="s">
        <v>159</v>
      </c>
      <c r="D11" s="109">
        <v>101418.89596184672</v>
      </c>
      <c r="E11" s="109">
        <v>81396.697989555512</v>
      </c>
      <c r="F11" s="109">
        <v>25767.876472761334</v>
      </c>
      <c r="G11" s="111">
        <v>208583.47042416356</v>
      </c>
      <c r="K11" s="102" t="s">
        <v>161</v>
      </c>
      <c r="L11" s="103">
        <v>0.67760942760942755</v>
      </c>
      <c r="M11" s="103">
        <v>0.69366197183098599</v>
      </c>
      <c r="N11" s="103">
        <v>0.69895091794679653</v>
      </c>
      <c r="O11" s="104">
        <v>8355.7192320215872</v>
      </c>
      <c r="P11" s="104">
        <v>34768.978124585461</v>
      </c>
      <c r="Q11" s="105">
        <v>30223.340670968584</v>
      </c>
      <c r="R11" s="104">
        <v>412.60313041799998</v>
      </c>
      <c r="S11" s="104">
        <v>413.05174855199999</v>
      </c>
      <c r="T11" s="105">
        <v>415</v>
      </c>
      <c r="U11" s="145">
        <f t="shared" si="0"/>
        <v>413.55162632333332</v>
      </c>
      <c r="AA11" s="131" t="s">
        <v>151</v>
      </c>
      <c r="AB11">
        <f t="shared" si="1"/>
        <v>1350</v>
      </c>
      <c r="AC11" s="134">
        <v>2200</v>
      </c>
      <c r="AD11" s="132">
        <v>800</v>
      </c>
      <c r="AH11" s="135">
        <v>1100</v>
      </c>
      <c r="AI11" s="134">
        <v>1600</v>
      </c>
    </row>
    <row r="12" spans="3:35" ht="15.75" thickBot="1" x14ac:dyDescent="0.25">
      <c r="C12" s="102" t="s">
        <v>161</v>
      </c>
      <c r="D12" s="104">
        <v>50123.806027321167</v>
      </c>
      <c r="E12" s="104">
        <v>43241.005762967114</v>
      </c>
      <c r="F12" s="104">
        <v>12331.173226884033</v>
      </c>
      <c r="G12" s="106">
        <v>105695.98501717232</v>
      </c>
      <c r="K12" s="113" t="s">
        <v>162</v>
      </c>
      <c r="L12" s="114">
        <v>0.56219445953286251</v>
      </c>
      <c r="M12" s="114">
        <v>0.54586660910856888</v>
      </c>
      <c r="N12" s="114">
        <v>0.55669942286694751</v>
      </c>
      <c r="O12" s="115">
        <v>8551.6367409636478</v>
      </c>
      <c r="P12" s="115">
        <v>28770.813628890308</v>
      </c>
      <c r="Q12" s="116">
        <v>43665.016200037615</v>
      </c>
      <c r="R12" s="115">
        <v>602.18691236799998</v>
      </c>
      <c r="S12" s="115">
        <v>604.314151735</v>
      </c>
      <c r="T12" s="116">
        <v>673</v>
      </c>
      <c r="U12" s="145">
        <f t="shared" si="0"/>
        <v>626.50035470099999</v>
      </c>
      <c r="AA12" s="131" t="s">
        <v>153</v>
      </c>
      <c r="AB12">
        <f t="shared" si="1"/>
        <v>1600</v>
      </c>
      <c r="AC12" s="134">
        <v>2600</v>
      </c>
      <c r="AD12" s="134">
        <v>1000</v>
      </c>
      <c r="AH12" s="135">
        <v>1300</v>
      </c>
      <c r="AI12" s="134">
        <v>1900</v>
      </c>
    </row>
    <row r="13" spans="3:35" ht="15.75" thickBot="1" x14ac:dyDescent="0.25">
      <c r="C13" s="117" t="s">
        <v>162</v>
      </c>
      <c r="D13" s="118">
        <v>52706.674394088106</v>
      </c>
      <c r="E13" s="118">
        <v>78435.533443104825</v>
      </c>
      <c r="F13" s="118">
        <v>15211.172212670604</v>
      </c>
      <c r="G13" s="111">
        <v>146353.38004986354</v>
      </c>
      <c r="O13" s="119">
        <v>0.74286208971025169</v>
      </c>
      <c r="P13" s="119">
        <v>0.69963472197389465</v>
      </c>
      <c r="Q13" s="119">
        <v>0.71303848954914961</v>
      </c>
      <c r="AA13" s="131" t="s">
        <v>154</v>
      </c>
      <c r="AB13">
        <f t="shared" si="1"/>
        <v>1850</v>
      </c>
      <c r="AC13" s="134">
        <v>2900</v>
      </c>
      <c r="AD13" s="134">
        <v>1100</v>
      </c>
      <c r="AH13" s="135">
        <v>1500</v>
      </c>
      <c r="AI13" s="134">
        <v>2200</v>
      </c>
    </row>
    <row r="14" spans="3:35" ht="15.75" thickBot="1" x14ac:dyDescent="0.25">
      <c r="C14" s="120" t="s">
        <v>197</v>
      </c>
      <c r="D14" s="145">
        <f>SUM(D5:D13)</f>
        <v>766351.72099999979</v>
      </c>
      <c r="E14" s="145">
        <f t="shared" ref="E14:F14" si="2">SUM(E5:E13)</f>
        <v>724429.72899999993</v>
      </c>
      <c r="F14" s="145">
        <f t="shared" si="2"/>
        <v>206798.88499999998</v>
      </c>
      <c r="G14" s="121">
        <v>1697580.3349999997</v>
      </c>
      <c r="AA14" s="131" t="s">
        <v>155</v>
      </c>
      <c r="AB14">
        <f t="shared" si="1"/>
        <v>2150</v>
      </c>
      <c r="AC14" s="134">
        <v>3500</v>
      </c>
      <c r="AD14" s="134">
        <v>1300</v>
      </c>
      <c r="AH14" s="135">
        <v>1700</v>
      </c>
      <c r="AI14" s="134">
        <v>2600</v>
      </c>
    </row>
    <row r="15" spans="3:35" x14ac:dyDescent="0.2">
      <c r="L15" t="s">
        <v>211</v>
      </c>
      <c r="AA15" s="131" t="s">
        <v>157</v>
      </c>
      <c r="AB15">
        <f t="shared" si="1"/>
        <v>2550</v>
      </c>
      <c r="AC15" s="134">
        <v>4100</v>
      </c>
      <c r="AD15" s="134">
        <v>1500</v>
      </c>
      <c r="AH15" s="135">
        <v>2000</v>
      </c>
      <c r="AI15" s="134">
        <v>3100</v>
      </c>
    </row>
    <row r="16" spans="3:35" ht="13.5" thickBot="1" x14ac:dyDescent="0.25">
      <c r="L16" s="5" t="s">
        <v>214</v>
      </c>
      <c r="AA16" s="131" t="s">
        <v>158</v>
      </c>
      <c r="AB16">
        <f t="shared" si="1"/>
        <v>2900</v>
      </c>
      <c r="AC16" s="134">
        <v>4700</v>
      </c>
      <c r="AD16" s="134">
        <v>1800</v>
      </c>
      <c r="AH16" s="135">
        <v>2300</v>
      </c>
      <c r="AI16" s="134">
        <v>3500</v>
      </c>
    </row>
    <row r="17" spans="1:35" ht="15.75" thickBot="1" x14ac:dyDescent="0.25">
      <c r="F17" s="94" t="s">
        <v>192</v>
      </c>
      <c r="G17" s="94" t="s">
        <v>193</v>
      </c>
      <c r="H17" s="94" t="s">
        <v>191</v>
      </c>
      <c r="L17" s="123" t="s">
        <v>204</v>
      </c>
      <c r="O17" s="5" t="s">
        <v>213</v>
      </c>
      <c r="P17" s="5" t="s">
        <v>162</v>
      </c>
      <c r="Q17" s="5" t="s">
        <v>159</v>
      </c>
      <c r="R17" s="5" t="s">
        <v>161</v>
      </c>
      <c r="S17" s="5" t="s">
        <v>156</v>
      </c>
      <c r="T17" s="5" t="s">
        <v>152</v>
      </c>
      <c r="U17" s="5" t="s">
        <v>150</v>
      </c>
      <c r="V17" s="5" t="s">
        <v>149</v>
      </c>
      <c r="W17" s="5" t="s">
        <v>148</v>
      </c>
      <c r="AA17" s="131" t="s">
        <v>160</v>
      </c>
      <c r="AB17">
        <f t="shared" si="1"/>
        <v>3300</v>
      </c>
      <c r="AC17" s="134">
        <v>5300</v>
      </c>
      <c r="AD17" s="134">
        <v>2000</v>
      </c>
      <c r="AH17" s="135">
        <v>2600</v>
      </c>
      <c r="AI17" s="134">
        <v>4000</v>
      </c>
    </row>
    <row r="18" spans="1:35" ht="15" x14ac:dyDescent="0.2">
      <c r="C18" t="s">
        <v>220</v>
      </c>
      <c r="F18" s="145">
        <f>SUM(D5:D8)</f>
        <v>92323.794764485472</v>
      </c>
      <c r="G18" s="145">
        <f>SUM(E5:E8)</f>
        <v>103369.76677783766</v>
      </c>
      <c r="H18" s="145">
        <f>SUM(F5:F8)</f>
        <v>50844.518002144141</v>
      </c>
      <c r="L18" s="122" t="s">
        <v>203</v>
      </c>
      <c r="O18" s="97" t="s">
        <v>145</v>
      </c>
      <c r="P18">
        <f>1-U4/$U$12</f>
        <v>0.9135166892216815</v>
      </c>
      <c r="Q18">
        <f>1-U4/$U$11</f>
        <v>0.86898413298471344</v>
      </c>
      <c r="R18" s="124">
        <f>1-U4/$U$10</f>
        <v>0.83950902468862476</v>
      </c>
      <c r="S18" s="124">
        <f>1-U4/$U$9</f>
        <v>0.79202453677439377</v>
      </c>
      <c r="T18" s="124">
        <f>1-U4/$U$8</f>
        <v>0.71311075715530881</v>
      </c>
      <c r="U18" s="124">
        <f>1-U4/$U$7</f>
        <v>0.61186379073718955</v>
      </c>
      <c r="V18" s="124">
        <f>1-U4/$U$6</f>
        <v>0.53071292912045642</v>
      </c>
      <c r="W18" s="124">
        <f>1-U4/$U$5</f>
        <v>0.39867861447009212</v>
      </c>
      <c r="AA18" s="131" t="s">
        <v>161</v>
      </c>
      <c r="AB18">
        <f t="shared" si="1"/>
        <v>3950</v>
      </c>
      <c r="AC18" s="134">
        <v>6300</v>
      </c>
      <c r="AD18" s="134">
        <v>2400</v>
      </c>
      <c r="AH18" s="135">
        <v>3200</v>
      </c>
      <c r="AI18" s="134">
        <v>4700</v>
      </c>
    </row>
    <row r="19" spans="1:35" ht="15.75" thickBot="1" x14ac:dyDescent="0.25">
      <c r="C19" t="s">
        <v>221</v>
      </c>
      <c r="F19" s="145">
        <f>D9</f>
        <v>282151.52747564798</v>
      </c>
      <c r="G19" s="145">
        <f t="shared" ref="G19:H19" si="3">E9</f>
        <v>251318.93361374349</v>
      </c>
      <c r="H19" s="145">
        <f t="shared" si="3"/>
        <v>58904.8034364337</v>
      </c>
      <c r="O19" s="102" t="s">
        <v>148</v>
      </c>
      <c r="P19">
        <f t="shared" ref="P19:P25" si="4">1-U5/$U$12</f>
        <v>0.85617788946237794</v>
      </c>
      <c r="Q19" s="124">
        <f t="shared" ref="Q19:Q24" si="5">1-U5/$U$11</f>
        <v>0.78212006063973538</v>
      </c>
      <c r="R19" s="124">
        <f t="shared" ref="R19:R23" si="6">1-U5/$U$10</f>
        <v>0.73310283124232423</v>
      </c>
      <c r="S19" s="124">
        <f t="shared" ref="S19:S22" si="7">1-U5/$U$9</f>
        <v>0.65413592759164874</v>
      </c>
      <c r="T19" s="124">
        <f t="shared" ref="T19:T21" si="8">1-U5/$U$8</f>
        <v>0.5229019792936962</v>
      </c>
      <c r="U19" s="124">
        <f t="shared" ref="U19:U20" si="9">1-U5/$U$7</f>
        <v>0.35452784716650365</v>
      </c>
      <c r="V19" s="93">
        <f>1-U5/$U$6</f>
        <v>0.21957362207234754</v>
      </c>
      <c r="AA19" s="136" t="s">
        <v>162</v>
      </c>
      <c r="AB19">
        <f t="shared" si="1"/>
        <v>4950</v>
      </c>
      <c r="AC19" s="137">
        <v>7900</v>
      </c>
      <c r="AD19" s="137">
        <v>3000</v>
      </c>
      <c r="AH19" s="138">
        <v>4000</v>
      </c>
      <c r="AI19" s="137">
        <v>5900</v>
      </c>
    </row>
    <row r="20" spans="1:35" ht="15" x14ac:dyDescent="0.2">
      <c r="C20" t="s">
        <v>222</v>
      </c>
      <c r="F20" s="145">
        <f>SUM(D10:D13)</f>
        <v>391876.39875986642</v>
      </c>
      <c r="G20" s="145">
        <f t="shared" ref="G20:H20" si="10">SUM(E10:E13)</f>
        <v>369741.02860841871</v>
      </c>
      <c r="H20" s="145">
        <f t="shared" si="10"/>
        <v>97049.563561422125</v>
      </c>
      <c r="O20" s="107" t="s">
        <v>149</v>
      </c>
      <c r="P20" s="124">
        <f t="shared" si="4"/>
        <v>0.81571341691508692</v>
      </c>
      <c r="Q20" s="124">
        <f t="shared" si="5"/>
        <v>0.72081935526215313</v>
      </c>
      <c r="R20" s="124">
        <f t="shared" si="6"/>
        <v>0.658011086879975</v>
      </c>
      <c r="S20" s="124">
        <f t="shared" si="7"/>
        <v>0.55682677804053693</v>
      </c>
      <c r="T20" s="124">
        <f t="shared" si="8"/>
        <v>0.388670047297489</v>
      </c>
      <c r="U20" s="93">
        <f t="shared" si="9"/>
        <v>0.17292371056513256</v>
      </c>
      <c r="Y20" s="139" t="s">
        <v>206</v>
      </c>
    </row>
    <row r="21" spans="1:35" ht="15.75" thickBot="1" x14ac:dyDescent="0.25">
      <c r="F21" s="145">
        <f>SUM(F18:F20)</f>
        <v>766351.7209999999</v>
      </c>
      <c r="G21" s="85"/>
      <c r="O21" s="102" t="s">
        <v>150</v>
      </c>
      <c r="P21" s="124">
        <f t="shared" si="4"/>
        <v>0.77718309007403152</v>
      </c>
      <c r="Q21" s="124">
        <f t="shared" si="5"/>
        <v>0.66244873864222598</v>
      </c>
      <c r="R21" s="124">
        <f t="shared" si="6"/>
        <v>0.58650862382513413</v>
      </c>
      <c r="S21" s="124">
        <f t="shared" si="7"/>
        <v>0.46416887097285942</v>
      </c>
      <c r="T21" s="93">
        <f t="shared" si="8"/>
        <v>0.26085421561265365</v>
      </c>
      <c r="Y21" s="140" t="s">
        <v>207</v>
      </c>
    </row>
    <row r="22" spans="1:35" ht="15" x14ac:dyDescent="0.2">
      <c r="F22" s="94" t="s">
        <v>192</v>
      </c>
      <c r="G22" s="94" t="s">
        <v>193</v>
      </c>
      <c r="H22" s="94" t="s">
        <v>191</v>
      </c>
      <c r="O22" s="107" t="s">
        <v>152</v>
      </c>
      <c r="P22" s="124">
        <f t="shared" si="4"/>
        <v>0.69854808803292578</v>
      </c>
      <c r="Q22" s="124">
        <f t="shared" si="5"/>
        <v>0.54332248321275467</v>
      </c>
      <c r="R22" s="124">
        <f t="shared" si="6"/>
        <v>0.44058210855170443</v>
      </c>
      <c r="S22" s="93">
        <f t="shared" si="7"/>
        <v>0.27506705666829534</v>
      </c>
    </row>
    <row r="23" spans="1:35" ht="15" x14ac:dyDescent="0.2">
      <c r="C23" t="s">
        <v>220</v>
      </c>
      <c r="F23" s="165">
        <f>F18/$D$14</f>
        <v>0.12047183066805627</v>
      </c>
      <c r="G23" s="165">
        <f>G18/$E$14</f>
        <v>0.14269122682268837</v>
      </c>
      <c r="H23" s="165">
        <f>H18/$F$14</f>
        <v>0.24586456547937455</v>
      </c>
      <c r="O23" s="102" t="s">
        <v>156</v>
      </c>
      <c r="P23" s="124">
        <f t="shared" si="4"/>
        <v>0.58416579803693625</v>
      </c>
      <c r="Q23" s="124">
        <f t="shared" si="5"/>
        <v>0.37004171077063985</v>
      </c>
      <c r="R23" s="93">
        <f t="shared" si="6"/>
        <v>0.22831774084196221</v>
      </c>
    </row>
    <row r="24" spans="1:35" ht="15" x14ac:dyDescent="0.2">
      <c r="C24" t="s">
        <v>221</v>
      </c>
      <c r="F24" s="165">
        <f t="shared" ref="F24:F25" si="11">F19/$D$14</f>
        <v>0.36817497729041837</v>
      </c>
      <c r="G24" s="165">
        <f t="shared" ref="G24:G25" si="12">G19/$E$14</f>
        <v>0.34691968530979972</v>
      </c>
      <c r="H24" s="165">
        <f t="shared" ref="H24:H25" si="13">H19/$F$14</f>
        <v>0.28484101080348528</v>
      </c>
      <c r="O24" s="107" t="s">
        <v>159</v>
      </c>
      <c r="P24" s="124">
        <f t="shared" si="4"/>
        <v>0.46113287298224337</v>
      </c>
      <c r="Q24" s="93">
        <f t="shared" si="5"/>
        <v>0.18365586126511313</v>
      </c>
    </row>
    <row r="25" spans="1:35" ht="15" x14ac:dyDescent="0.2">
      <c r="C25" t="s">
        <v>222</v>
      </c>
      <c r="F25" s="165">
        <f t="shared" si="11"/>
        <v>0.51135319204152541</v>
      </c>
      <c r="G25" s="165">
        <f t="shared" si="12"/>
        <v>0.5103890878675118</v>
      </c>
      <c r="H25" s="165">
        <f t="shared" si="13"/>
        <v>0.46929442371714014</v>
      </c>
      <c r="O25" s="102" t="s">
        <v>161</v>
      </c>
      <c r="P25" s="93">
        <f t="shared" si="4"/>
        <v>0.33990200768409362</v>
      </c>
    </row>
    <row r="26" spans="1:35" ht="20.25" customHeight="1" x14ac:dyDescent="0.2"/>
    <row r="27" spans="1:35" x14ac:dyDescent="0.2">
      <c r="C27" s="92"/>
    </row>
    <row r="28" spans="1:35" ht="16.5" customHeight="1" thickBot="1" x14ac:dyDescent="0.25">
      <c r="C28" s="91"/>
      <c r="H28" s="144"/>
      <c r="I28" s="144"/>
      <c r="J28" s="144"/>
    </row>
    <row r="29" spans="1:35" ht="13.5" customHeight="1" thickBot="1" x14ac:dyDescent="0.25">
      <c r="A29" s="123" t="s">
        <v>204</v>
      </c>
      <c r="C29" s="186" t="s">
        <v>189</v>
      </c>
      <c r="D29" s="187"/>
      <c r="E29" s="187"/>
      <c r="F29" s="187"/>
      <c r="G29" s="188"/>
      <c r="H29" s="186" t="s">
        <v>208</v>
      </c>
      <c r="I29" s="187"/>
      <c r="J29" s="187"/>
      <c r="K29" s="187"/>
      <c r="L29" s="188"/>
      <c r="M29" s="180" t="s">
        <v>216</v>
      </c>
      <c r="N29" s="181"/>
      <c r="O29" s="181"/>
      <c r="P29" s="180" t="s">
        <v>217</v>
      </c>
      <c r="Q29" s="181"/>
      <c r="R29" s="181"/>
      <c r="S29" s="180" t="s">
        <v>218</v>
      </c>
      <c r="T29" s="181"/>
      <c r="U29" s="181"/>
      <c r="V29" s="180" t="s">
        <v>218</v>
      </c>
      <c r="W29" s="181"/>
      <c r="X29" s="181"/>
    </row>
    <row r="30" spans="1:35" ht="21" x14ac:dyDescent="0.2">
      <c r="A30" s="122" t="s">
        <v>203</v>
      </c>
      <c r="C30" s="141"/>
      <c r="D30" s="141"/>
      <c r="E30" s="142" t="s">
        <v>199</v>
      </c>
      <c r="F30" s="142" t="s">
        <v>198</v>
      </c>
      <c r="G30" s="142" t="s">
        <v>200</v>
      </c>
      <c r="H30" s="142" t="s">
        <v>133</v>
      </c>
      <c r="I30" s="142" t="s">
        <v>133</v>
      </c>
      <c r="J30" s="142" t="s">
        <v>134</v>
      </c>
      <c r="K30" s="142" t="s">
        <v>134</v>
      </c>
      <c r="L30" s="142" t="s">
        <v>132</v>
      </c>
      <c r="M30" s="142" t="s">
        <v>133</v>
      </c>
      <c r="N30" s="142" t="s">
        <v>134</v>
      </c>
      <c r="O30" s="142" t="s">
        <v>132</v>
      </c>
      <c r="P30" s="150" t="s">
        <v>133</v>
      </c>
      <c r="Q30" s="150" t="s">
        <v>134</v>
      </c>
      <c r="R30" s="150" t="s">
        <v>132</v>
      </c>
      <c r="S30" s="150" t="s">
        <v>133</v>
      </c>
      <c r="T30" s="150" t="s">
        <v>134</v>
      </c>
      <c r="U30" s="150" t="s">
        <v>132</v>
      </c>
      <c r="V30" s="150" t="s">
        <v>133</v>
      </c>
      <c r="W30" s="150" t="s">
        <v>134</v>
      </c>
      <c r="X30" s="150" t="s">
        <v>132</v>
      </c>
      <c r="AA30" s="143" t="s">
        <v>208</v>
      </c>
    </row>
    <row r="31" spans="1:35" x14ac:dyDescent="0.2">
      <c r="C31" s="146" t="s">
        <v>163</v>
      </c>
      <c r="D31" s="146"/>
      <c r="E31" s="146">
        <v>14978</v>
      </c>
      <c r="F31" s="146">
        <v>6086</v>
      </c>
      <c r="G31" s="146">
        <f t="shared" ref="G31:G56" si="14">SUM(E31:F31)</f>
        <v>21064</v>
      </c>
      <c r="H31" s="146"/>
      <c r="I31" s="146"/>
      <c r="J31" s="146"/>
      <c r="K31" s="146"/>
      <c r="L31" s="146"/>
      <c r="M31" s="146">
        <f t="shared" ref="M31:M44" si="15">AVERAGE(G31:I31)</f>
        <v>21064</v>
      </c>
      <c r="N31" s="146">
        <f>AVERAGE(G31*1.1,J31:K31)</f>
        <v>23170.400000000001</v>
      </c>
      <c r="O31" s="146">
        <f>AVERAGE(G31*0.9,L31)</f>
        <v>18957.600000000002</v>
      </c>
      <c r="P31" s="151"/>
      <c r="Q31" s="151"/>
      <c r="R31" s="151"/>
      <c r="S31" s="146"/>
      <c r="T31" s="146"/>
      <c r="U31" s="146"/>
    </row>
    <row r="32" spans="1:35" x14ac:dyDescent="0.2">
      <c r="C32" s="147" t="s">
        <v>164</v>
      </c>
      <c r="D32" s="147"/>
      <c r="E32" s="147">
        <v>24338</v>
      </c>
      <c r="F32" s="147">
        <v>6086</v>
      </c>
      <c r="G32" s="147">
        <f t="shared" si="14"/>
        <v>30424</v>
      </c>
      <c r="H32" s="147"/>
      <c r="I32" s="147"/>
      <c r="J32" s="147"/>
      <c r="K32" s="147"/>
      <c r="L32" s="147"/>
      <c r="M32" s="147">
        <f t="shared" si="15"/>
        <v>30424</v>
      </c>
      <c r="N32" s="147">
        <f t="shared" ref="N32:N57" si="16">AVERAGE(G32*1.1,J32:K32)</f>
        <v>33466.400000000001</v>
      </c>
      <c r="O32" s="147">
        <f t="shared" ref="O32:O57" si="17">AVERAGE(G32*0.9,L32)</f>
        <v>27381.600000000002</v>
      </c>
      <c r="P32" s="152"/>
      <c r="Q32" s="152"/>
      <c r="R32" s="152"/>
      <c r="S32" s="147"/>
      <c r="T32" s="147"/>
      <c r="U32" s="147"/>
    </row>
    <row r="33" spans="3:27" x14ac:dyDescent="0.2">
      <c r="C33" s="147" t="s">
        <v>165</v>
      </c>
      <c r="D33" s="147"/>
      <c r="E33" s="147">
        <v>24338</v>
      </c>
      <c r="F33" s="147">
        <v>6086</v>
      </c>
      <c r="G33" s="147">
        <f t="shared" si="14"/>
        <v>30424</v>
      </c>
      <c r="H33" s="147"/>
      <c r="I33" s="147"/>
      <c r="J33" s="147"/>
      <c r="K33" s="147"/>
      <c r="L33" s="147"/>
      <c r="M33" s="147">
        <f t="shared" si="15"/>
        <v>30424</v>
      </c>
      <c r="N33" s="147">
        <f t="shared" si="16"/>
        <v>33466.400000000001</v>
      </c>
      <c r="O33" s="147">
        <f t="shared" si="17"/>
        <v>27381.600000000002</v>
      </c>
      <c r="P33" s="152"/>
      <c r="Q33" s="152"/>
      <c r="R33" s="152"/>
      <c r="S33" s="147"/>
      <c r="T33" s="147"/>
      <c r="U33" s="147"/>
      <c r="AA33" s="143" t="s">
        <v>219</v>
      </c>
    </row>
    <row r="34" spans="3:27" x14ac:dyDescent="0.2">
      <c r="C34" s="147" t="s">
        <v>166</v>
      </c>
      <c r="D34" s="147"/>
      <c r="E34" s="147">
        <v>26211</v>
      </c>
      <c r="F34" s="147">
        <v>6086</v>
      </c>
      <c r="G34" s="147">
        <f t="shared" si="14"/>
        <v>32297</v>
      </c>
      <c r="H34" s="147"/>
      <c r="I34" s="147"/>
      <c r="J34" s="147"/>
      <c r="K34" s="147"/>
      <c r="L34" s="147"/>
      <c r="M34" s="147">
        <f t="shared" si="15"/>
        <v>32297</v>
      </c>
      <c r="N34" s="147">
        <f t="shared" si="16"/>
        <v>35526.700000000004</v>
      </c>
      <c r="O34" s="147">
        <f t="shared" si="17"/>
        <v>29067.3</v>
      </c>
      <c r="P34" s="152"/>
      <c r="Q34" s="152"/>
      <c r="R34" s="152"/>
      <c r="S34" s="147"/>
      <c r="T34" s="147"/>
      <c r="U34" s="147"/>
    </row>
    <row r="35" spans="3:27" x14ac:dyDescent="0.2">
      <c r="C35" s="147" t="s">
        <v>167</v>
      </c>
      <c r="D35" s="147"/>
      <c r="E35" s="147">
        <v>28083</v>
      </c>
      <c r="F35" s="147">
        <v>6086</v>
      </c>
      <c r="G35" s="147">
        <f t="shared" si="14"/>
        <v>34169</v>
      </c>
      <c r="H35" s="147"/>
      <c r="I35" s="147"/>
      <c r="J35" s="147"/>
      <c r="K35" s="147"/>
      <c r="L35" s="147"/>
      <c r="M35" s="147">
        <f t="shared" si="15"/>
        <v>34169</v>
      </c>
      <c r="N35" s="147">
        <f t="shared" si="16"/>
        <v>37585.9</v>
      </c>
      <c r="O35" s="147">
        <f t="shared" si="17"/>
        <v>30752.100000000002</v>
      </c>
      <c r="P35" s="152"/>
      <c r="Q35" s="152"/>
      <c r="R35" s="152"/>
      <c r="S35" s="147"/>
      <c r="T35" s="147"/>
      <c r="U35" s="147"/>
    </row>
    <row r="36" spans="3:27" x14ac:dyDescent="0.2">
      <c r="C36" s="147" t="s">
        <v>168</v>
      </c>
      <c r="D36" s="147"/>
      <c r="E36" s="147">
        <v>29955</v>
      </c>
      <c r="F36" s="147">
        <v>6086</v>
      </c>
      <c r="G36" s="147">
        <f t="shared" si="14"/>
        <v>36041</v>
      </c>
      <c r="H36" s="147"/>
      <c r="I36" s="147"/>
      <c r="J36" s="147"/>
      <c r="K36" s="147"/>
      <c r="L36" s="147"/>
      <c r="M36" s="147">
        <f t="shared" si="15"/>
        <v>36041</v>
      </c>
      <c r="N36" s="147">
        <f t="shared" si="16"/>
        <v>39645.100000000006</v>
      </c>
      <c r="O36" s="147">
        <f t="shared" si="17"/>
        <v>32436.9</v>
      </c>
      <c r="P36" s="152"/>
      <c r="Q36" s="152"/>
      <c r="R36" s="152"/>
      <c r="S36" s="147"/>
      <c r="T36" s="147"/>
      <c r="U36" s="147"/>
    </row>
    <row r="37" spans="3:27" x14ac:dyDescent="0.2">
      <c r="C37" s="148" t="s">
        <v>169</v>
      </c>
      <c r="D37" s="148"/>
      <c r="E37" s="148">
        <v>14978</v>
      </c>
      <c r="F37" s="148">
        <v>6086</v>
      </c>
      <c r="G37" s="148">
        <f t="shared" si="14"/>
        <v>21064</v>
      </c>
      <c r="H37" s="148"/>
      <c r="I37" s="148"/>
      <c r="J37" s="148"/>
      <c r="K37" s="148"/>
      <c r="L37" s="148"/>
      <c r="M37" s="148">
        <f t="shared" si="15"/>
        <v>21064</v>
      </c>
      <c r="N37" s="148">
        <f t="shared" si="16"/>
        <v>23170.400000000001</v>
      </c>
      <c r="O37" s="148">
        <f>AVERAGE(G37*0.9,L37)</f>
        <v>18957.600000000002</v>
      </c>
      <c r="P37" s="153">
        <f>1-(AVERAGE(AB5:AB7)/AVERAGE($AB$8:$AB$10))</f>
        <v>0.5465729349736379</v>
      </c>
      <c r="Q37" s="153">
        <f>1-(AVERAGE(AC5:AC7)/AVERAGE($AC$8:$AC$10))</f>
        <v>0.54347826086956519</v>
      </c>
      <c r="R37" s="153">
        <f>1-(AVERAGE(AD5:AD7)/AVERAGE($AD$8:$AD$10))</f>
        <v>0.54970760233918126</v>
      </c>
      <c r="S37" s="148">
        <f>SUM(D6:D8)/SUM(D6:D13)*M37</f>
        <v>2155.8776533753853</v>
      </c>
      <c r="T37" s="148">
        <f>SUM(E6:E8)/SUM(E6:E13)*N37</f>
        <v>2731.2453287173885</v>
      </c>
      <c r="U37" s="148">
        <f>SUM(F6:F8)/SUM(F6:F13)*O37</f>
        <v>3978.7737999936576</v>
      </c>
      <c r="V37" s="153">
        <f>SUM(D6:D8)/SUM(D6:D13)*P37</f>
        <v>5.5941149660532832E-2</v>
      </c>
      <c r="W37" s="153">
        <f>SUM(E6:E8)/SUM(E6:E13)*Q37</f>
        <v>6.4063307550126458E-2</v>
      </c>
      <c r="X37" s="153">
        <f>SUM(F6:F8)/SUM(F6:F13)*R37</f>
        <v>0.11537126038340646</v>
      </c>
    </row>
    <row r="38" spans="3:27" x14ac:dyDescent="0.2">
      <c r="C38" s="146" t="s">
        <v>170</v>
      </c>
      <c r="D38" s="146"/>
      <c r="E38" s="146">
        <v>24338</v>
      </c>
      <c r="F38" s="146">
        <v>6086</v>
      </c>
      <c r="G38" s="146">
        <f t="shared" si="14"/>
        <v>30424</v>
      </c>
      <c r="H38" s="146"/>
      <c r="I38" s="146"/>
      <c r="J38" s="146"/>
      <c r="K38" s="146"/>
      <c r="L38" s="146"/>
      <c r="M38" s="146">
        <f t="shared" si="15"/>
        <v>30424</v>
      </c>
      <c r="N38" s="146">
        <f t="shared" si="16"/>
        <v>33466.400000000001</v>
      </c>
      <c r="O38" s="146">
        <f t="shared" si="17"/>
        <v>27381.600000000002</v>
      </c>
      <c r="P38" s="154">
        <f>1-(AVERAGE(AB5:AB7)/AVERAGE($AB$11:$AB$13))</f>
        <v>0.73124999999999996</v>
      </c>
      <c r="Q38" s="154">
        <f>1-(AVERAGE(AC5:AC7)/AVERAGE($AC$11:$AC$13))</f>
        <v>0.72727272727272729</v>
      </c>
      <c r="R38" s="154">
        <f>1-(AVERAGE(AD5:AD7)/AVERAGE($AD$11:$AD$13))</f>
        <v>0.73448275862068968</v>
      </c>
      <c r="S38" s="146">
        <f>SUM(D9)/SUM(D6:D13)*M38</f>
        <v>11432.162401919726</v>
      </c>
      <c r="T38" s="146">
        <f t="shared" ref="T38:U38" si="18">SUM(E9)/SUM(E6:E13)*N38</f>
        <v>11946.208000785055</v>
      </c>
      <c r="U38" s="146">
        <f t="shared" si="18"/>
        <v>8171.5871871879508</v>
      </c>
      <c r="V38" s="154">
        <f>SUM(D9)/SUM(D6:D13)*P37</f>
        <v>0.20538096756220545</v>
      </c>
      <c r="W38" s="154">
        <f t="shared" ref="W38:X38" si="19">SUM(E9)/SUM(E6:E13)*Q37</f>
        <v>0.19400067973408391</v>
      </c>
      <c r="X38" s="154">
        <f t="shared" si="19"/>
        <v>0.16405117304959033</v>
      </c>
    </row>
    <row r="39" spans="3:27" x14ac:dyDescent="0.2">
      <c r="C39" s="148" t="s">
        <v>171</v>
      </c>
      <c r="D39" s="148"/>
      <c r="E39" s="148">
        <v>7489</v>
      </c>
      <c r="F39" s="148">
        <v>5326</v>
      </c>
      <c r="G39" s="148">
        <f t="shared" si="14"/>
        <v>12815</v>
      </c>
      <c r="H39" s="148">
        <v>5200</v>
      </c>
      <c r="I39" s="148"/>
      <c r="J39" s="148"/>
      <c r="K39" s="148"/>
      <c r="L39" s="148"/>
      <c r="M39" s="148">
        <f>AVERAGE(G39:I39)</f>
        <v>9007.5</v>
      </c>
      <c r="N39" s="148">
        <f t="shared" si="16"/>
        <v>14096.500000000002</v>
      </c>
      <c r="O39" s="148">
        <f>AVERAGE(G39*0.9,L39)</f>
        <v>11533.5</v>
      </c>
      <c r="P39" s="153">
        <f>1-(AVERAGE(AB8:AB10)/AVERAGE($AB$11:$AB$13))</f>
        <v>0.40729166666666661</v>
      </c>
      <c r="Q39" s="153">
        <f>1-(AVERAGE(AC8:AC10)/AVERAGE($AC$11:$AC$13))</f>
        <v>0.40259740259740262</v>
      </c>
      <c r="R39" s="153">
        <f>1-(AVERAGE(AD8:AD10)/AVERAGE($AD$11:$AD$13))</f>
        <v>0.41034482758620683</v>
      </c>
      <c r="S39" s="148">
        <f>D9/SUM(D6:D13)*M39</f>
        <v>3384.6700905631055</v>
      </c>
      <c r="T39" s="148">
        <f>E9/SUM(E6:E13)*N39</f>
        <v>5031.9042706435866</v>
      </c>
      <c r="U39" s="148">
        <f>F9/SUM(F6:F13)*O39</f>
        <v>3441.9829675195106</v>
      </c>
      <c r="V39" s="153">
        <f>D9/SUM(D6:D13)*P39</f>
        <v>0.15304445432165026</v>
      </c>
      <c r="W39" s="153">
        <f t="shared" ref="W39:X39" si="20">E9/SUM(E6:E13)*Q39</f>
        <v>0.14371167236405388</v>
      </c>
      <c r="X39" s="153">
        <f t="shared" si="20"/>
        <v>0.12246065005084789</v>
      </c>
    </row>
    <row r="40" spans="3:27" x14ac:dyDescent="0.2">
      <c r="C40" s="147" t="s">
        <v>172</v>
      </c>
      <c r="D40" s="147"/>
      <c r="E40" s="147">
        <v>24338</v>
      </c>
      <c r="F40" s="147">
        <v>6086</v>
      </c>
      <c r="G40" s="147">
        <f t="shared" si="14"/>
        <v>30424</v>
      </c>
      <c r="H40" s="147"/>
      <c r="I40" s="147"/>
      <c r="J40" s="147"/>
      <c r="K40" s="147"/>
      <c r="L40" s="147"/>
      <c r="M40" s="147">
        <f t="shared" si="15"/>
        <v>30424</v>
      </c>
      <c r="N40" s="147">
        <f t="shared" si="16"/>
        <v>33466.400000000001</v>
      </c>
      <c r="O40" s="147">
        <f t="shared" si="17"/>
        <v>27381.600000000002</v>
      </c>
      <c r="P40" s="155">
        <f>1-(AVERAGE(AB5:AB7)/AVERAGE($AB$14:$AB$15))</f>
        <v>0.81702127659574475</v>
      </c>
      <c r="Q40" s="155">
        <f>1-(AVERAGE(AC5:AC7)/AVERAGE($AC$14:$AC$15))</f>
        <v>0.81578947368421051</v>
      </c>
      <c r="R40" s="155">
        <f>1-(AVERAGE(AD5:AD7)/AVERAGE($AD$14:$AD$15))</f>
        <v>0.81666666666666665</v>
      </c>
      <c r="S40" s="147"/>
      <c r="T40" s="147"/>
      <c r="U40" s="147"/>
    </row>
    <row r="41" spans="3:27" x14ac:dyDescent="0.2">
      <c r="C41" s="146" t="s">
        <v>173</v>
      </c>
      <c r="D41" s="146"/>
      <c r="E41" s="146">
        <v>7489</v>
      </c>
      <c r="F41" s="146">
        <v>5326</v>
      </c>
      <c r="G41" s="146">
        <f t="shared" si="14"/>
        <v>12815</v>
      </c>
      <c r="H41" s="146"/>
      <c r="I41" s="146"/>
      <c r="J41" s="146"/>
      <c r="K41" s="146"/>
      <c r="L41" s="146"/>
      <c r="M41" s="146">
        <f t="shared" si="15"/>
        <v>12815</v>
      </c>
      <c r="N41" s="146">
        <f t="shared" si="16"/>
        <v>14096.500000000002</v>
      </c>
      <c r="O41" s="146">
        <f t="shared" si="17"/>
        <v>11533.5</v>
      </c>
      <c r="P41" s="154">
        <f>1-(AVERAGE(AB8:AB10)/AVERAGE($AB$14:$AB$15))</f>
        <v>0.59645390070921978</v>
      </c>
      <c r="Q41" s="154">
        <f>1-(AVERAGE(AC8:AC10)/AVERAGE($AC$14:$AC$15))</f>
        <v>0.59649122807017552</v>
      </c>
      <c r="R41" s="154">
        <f>1-(AVERAGE(AD8:AD10)/AVERAGE($AD$14:$AD$15))</f>
        <v>0.59285714285714286</v>
      </c>
      <c r="S41" s="146">
        <f>SUM(D10)/SUM(D6:D13)*M41</f>
        <v>3202.1646884279426</v>
      </c>
      <c r="T41" s="146">
        <f t="shared" ref="T41:U41" si="21">SUM(E10)/SUM(E6:E13)*N41</f>
        <v>3337.0202528302325</v>
      </c>
      <c r="U41" s="146">
        <f t="shared" si="21"/>
        <v>2555.819902348102</v>
      </c>
      <c r="V41" s="154">
        <f>SUM(D10)/SUM(D6:D13)*P41</f>
        <v>0.14903968935826528</v>
      </c>
      <c r="W41" s="154">
        <f t="shared" ref="W41:X41" si="22">SUM(E10)/SUM(E6:E13)*Q41</f>
        <v>0.14120549843619004</v>
      </c>
      <c r="X41" s="154">
        <f t="shared" si="22"/>
        <v>0.13137695278653641</v>
      </c>
    </row>
    <row r="42" spans="3:27" x14ac:dyDescent="0.2">
      <c r="C42" s="148" t="s">
        <v>174</v>
      </c>
      <c r="D42" s="148"/>
      <c r="E42" s="148">
        <v>3744</v>
      </c>
      <c r="F42" s="148">
        <v>4565</v>
      </c>
      <c r="G42" s="148">
        <f t="shared" si="14"/>
        <v>8309</v>
      </c>
      <c r="H42" s="148">
        <v>5000</v>
      </c>
      <c r="I42" s="148">
        <v>9300</v>
      </c>
      <c r="J42" s="148">
        <v>30000</v>
      </c>
      <c r="K42" s="148"/>
      <c r="L42" s="148"/>
      <c r="M42" s="148">
        <f t="shared" si="15"/>
        <v>7536.333333333333</v>
      </c>
      <c r="N42" s="148">
        <f t="shared" si="16"/>
        <v>19569.95</v>
      </c>
      <c r="O42" s="148">
        <f t="shared" si="17"/>
        <v>7478.1</v>
      </c>
      <c r="P42" s="153">
        <f>1-(AVERAGE(AB11:AB13)/AVERAGE($AB$14:$AB$15))</f>
        <v>0.31914893617021278</v>
      </c>
      <c r="Q42" s="153">
        <f>1-(AVERAGE(AC11:AC13)/AVERAGE($AC$14:$AC$15))</f>
        <v>0.32456140350877194</v>
      </c>
      <c r="R42" s="153">
        <f>1-(AVERAGE(AD11:AD13)/AVERAGE($AD$14:$AD$15))</f>
        <v>0.30952380952380953</v>
      </c>
      <c r="S42" s="148">
        <f>D10/SUM(D6:D13)*M42</f>
        <v>1883.1510324012836</v>
      </c>
      <c r="T42" s="148">
        <f>E10/SUM(E6:E13)*N42</f>
        <v>4632.7329122033843</v>
      </c>
      <c r="U42" s="148">
        <f>F10/SUM(F6:F13)*O42</f>
        <v>1657.1445625134904</v>
      </c>
      <c r="V42" s="153">
        <f>D10/SUM(D6:D13)*P42</f>
        <v>7.9747752926539114E-2</v>
      </c>
      <c r="W42" s="153">
        <f t="shared" ref="W42:X42" si="23">E10/SUM(E6:E13)*Q42</f>
        <v>7.6832403560868096E-2</v>
      </c>
      <c r="X42" s="153">
        <f t="shared" si="23"/>
        <v>6.8590376956826238E-2</v>
      </c>
    </row>
    <row r="43" spans="3:27" x14ac:dyDescent="0.2">
      <c r="C43" s="147" t="s">
        <v>175</v>
      </c>
      <c r="D43" s="147"/>
      <c r="E43" s="147">
        <v>26211</v>
      </c>
      <c r="F43" s="147">
        <v>6086</v>
      </c>
      <c r="G43" s="147">
        <f t="shared" si="14"/>
        <v>32297</v>
      </c>
      <c r="H43" s="147"/>
      <c r="I43" s="147"/>
      <c r="J43" s="147"/>
      <c r="K43" s="147"/>
      <c r="L43" s="147"/>
      <c r="M43" s="147">
        <f t="shared" si="15"/>
        <v>32297</v>
      </c>
      <c r="N43" s="147">
        <f t="shared" si="16"/>
        <v>35526.700000000004</v>
      </c>
      <c r="O43" s="147">
        <f t="shared" si="17"/>
        <v>29067.3</v>
      </c>
      <c r="P43" s="155">
        <f>1-(AVERAGE(AB5:AB7)/AVERAGE($AB$16:$AB$17))</f>
        <v>0.8612903225806452</v>
      </c>
      <c r="Q43" s="155">
        <f>1-(AVERAGE(AC5:AC7)/AVERAGE($AC$16:$AC$17))</f>
        <v>0.86</v>
      </c>
      <c r="R43" s="155">
        <f>1-(AVERAGE(AD5:AD7)/AVERAGE($AD$16:$AD$17))</f>
        <v>0.86491228070175441</v>
      </c>
      <c r="S43" s="147"/>
      <c r="T43" s="147"/>
      <c r="U43" s="147"/>
    </row>
    <row r="44" spans="3:27" x14ac:dyDescent="0.2">
      <c r="C44" s="146" t="s">
        <v>176</v>
      </c>
      <c r="D44" s="146"/>
      <c r="E44" s="146">
        <v>14978</v>
      </c>
      <c r="F44" s="146">
        <v>5326</v>
      </c>
      <c r="G44" s="146">
        <f t="shared" si="14"/>
        <v>20304</v>
      </c>
      <c r="H44" s="146"/>
      <c r="I44" s="146"/>
      <c r="J44" s="146"/>
      <c r="K44" s="146"/>
      <c r="L44" s="146"/>
      <c r="M44" s="146">
        <f t="shared" si="15"/>
        <v>20304</v>
      </c>
      <c r="N44" s="146">
        <f t="shared" si="16"/>
        <v>22334.400000000001</v>
      </c>
      <c r="O44" s="146">
        <f t="shared" si="17"/>
        <v>18273.600000000002</v>
      </c>
      <c r="P44" s="154">
        <f>1-(AVERAGE(AB8:AB10)/AVERAGE($AB$16:$AB$17))</f>
        <v>0.69408602150537635</v>
      </c>
      <c r="Q44" s="154">
        <f>1-(AVERAGE(AC8:AC10)/AVERAGE($AC$16:$AC$17))</f>
        <v>0.69333333333333336</v>
      </c>
      <c r="R44" s="154">
        <f>1-(AVERAGE(AD8:AD10)/AVERAGE($AD$16:$AD$17))</f>
        <v>0.7</v>
      </c>
      <c r="S44" s="146">
        <f>SUM(D11)/SUM(D6:D13)*M44</f>
        <v>2742.3958967170497</v>
      </c>
      <c r="T44" s="146">
        <f t="shared" ref="T44:U44" si="24">SUM(E11)/SUM(E6:E13)*N44</f>
        <v>2582.1231033841427</v>
      </c>
      <c r="U44" s="146">
        <f t="shared" si="24"/>
        <v>2385.6110070402383</v>
      </c>
      <c r="V44" s="154">
        <f>SUM(D11)/SUM(D6:D13)*P44</f>
        <v>9.3747963817228427E-2</v>
      </c>
      <c r="W44" s="154">
        <f t="shared" ref="W44:X44" si="25">SUM(E11)/SUM(E6:E13)*Q44</f>
        <v>8.0157605234362189E-2</v>
      </c>
      <c r="X44" s="154">
        <f t="shared" si="25"/>
        <v>9.1384713736109291E-2</v>
      </c>
    </row>
    <row r="45" spans="3:27" x14ac:dyDescent="0.2">
      <c r="C45" s="147" t="s">
        <v>177</v>
      </c>
      <c r="D45" s="147"/>
      <c r="E45" s="147">
        <v>9361</v>
      </c>
      <c r="F45" s="147">
        <v>4565</v>
      </c>
      <c r="G45" s="147">
        <f t="shared" si="14"/>
        <v>13926</v>
      </c>
      <c r="H45" s="147">
        <f>H46+12600</f>
        <v>24800</v>
      </c>
      <c r="I45" s="147"/>
      <c r="J45" s="147"/>
      <c r="K45" s="147">
        <v>15500</v>
      </c>
      <c r="L45" s="147"/>
      <c r="M45" s="147">
        <f t="shared" ref="M45:M57" si="26">AVERAGE(G45:I45)</f>
        <v>19363</v>
      </c>
      <c r="N45" s="147">
        <f t="shared" si="16"/>
        <v>15409.3</v>
      </c>
      <c r="O45" s="147">
        <f t="shared" si="17"/>
        <v>12533.4</v>
      </c>
      <c r="P45" s="155">
        <f>1-(AVERAGE(AB11:AB13)/AVERAGE($AB$16:$AB$17))</f>
        <v>0.4838709677419355</v>
      </c>
      <c r="Q45" s="155">
        <f>1-(AVERAGE(AC11:AC13)/AVERAGE($AC$16:$AC$17))</f>
        <v>0.48666666666666669</v>
      </c>
      <c r="R45" s="155">
        <f>1-(AVERAGE(AD11:AD13)/AVERAGE($AD$16:$AD$17))</f>
        <v>0.49122807017543857</v>
      </c>
      <c r="S45" s="147"/>
      <c r="T45" s="147"/>
      <c r="U45" s="147"/>
    </row>
    <row r="46" spans="3:27" x14ac:dyDescent="0.2">
      <c r="C46" s="148" t="s">
        <v>178</v>
      </c>
      <c r="D46" s="148"/>
      <c r="E46" s="148">
        <v>9361</v>
      </c>
      <c r="F46" s="148">
        <v>3804</v>
      </c>
      <c r="G46" s="148">
        <f t="shared" si="14"/>
        <v>13165</v>
      </c>
      <c r="H46" s="148">
        <v>12200</v>
      </c>
      <c r="I46" s="148"/>
      <c r="J46" s="148">
        <v>14000</v>
      </c>
      <c r="K46" s="148">
        <v>2000</v>
      </c>
      <c r="L46" s="148"/>
      <c r="M46" s="148">
        <f t="shared" si="26"/>
        <v>12682.5</v>
      </c>
      <c r="N46" s="148">
        <f t="shared" si="16"/>
        <v>10160.5</v>
      </c>
      <c r="O46" s="148">
        <f t="shared" si="17"/>
        <v>11848.5</v>
      </c>
      <c r="P46" s="153">
        <f>1-(AVERAGE(AB14:AB15)/AVERAGE($AB$16:$AB$17))</f>
        <v>0.24193548387096775</v>
      </c>
      <c r="Q46" s="153">
        <f>1-(AVERAGE(AC14:AC15)/AVERAGE($AC$16:$AC$17))</f>
        <v>0.24</v>
      </c>
      <c r="R46" s="153">
        <f>1-(AVERAGE(AD14:AD15)/AVERAGE($AD$16:$AD$17))</f>
        <v>0.26315789473684215</v>
      </c>
      <c r="S46" s="148">
        <f>D11/SUM(D6:D13)*M46</f>
        <v>1712.9844345997824</v>
      </c>
      <c r="T46" s="148">
        <f>E11/SUM(E6:E13)*N46</f>
        <v>1174.67502113039</v>
      </c>
      <c r="U46" s="148">
        <f>F11/SUM(F6:F13)*O46</f>
        <v>1546.8168295747014</v>
      </c>
      <c r="V46" s="153">
        <f>D11/SUM(D6:D13)*P46</f>
        <v>3.2677446721729508E-2</v>
      </c>
      <c r="W46" s="153">
        <f t="shared" ref="W46:X46" si="27">E11/SUM(E6:E13)*Q46</f>
        <v>2.774686335035614E-2</v>
      </c>
      <c r="X46" s="153">
        <f t="shared" si="27"/>
        <v>3.4355155539890714E-2</v>
      </c>
    </row>
    <row r="47" spans="3:27" x14ac:dyDescent="0.2">
      <c r="C47" s="147" t="s">
        <v>179</v>
      </c>
      <c r="D47" s="147"/>
      <c r="E47" s="147">
        <v>28083</v>
      </c>
      <c r="F47" s="147">
        <v>6086</v>
      </c>
      <c r="G47" s="147">
        <f t="shared" si="14"/>
        <v>34169</v>
      </c>
      <c r="H47" s="147"/>
      <c r="I47" s="147"/>
      <c r="J47" s="147"/>
      <c r="K47" s="147"/>
      <c r="L47" s="147"/>
      <c r="M47" s="147">
        <f t="shared" si="26"/>
        <v>34169</v>
      </c>
      <c r="N47" s="147">
        <f t="shared" si="16"/>
        <v>37585.9</v>
      </c>
      <c r="O47" s="147">
        <f t="shared" si="17"/>
        <v>30752.100000000002</v>
      </c>
      <c r="P47" s="155">
        <f>1-(AVERAGE(AB5:AB7)/$AB$18)</f>
        <v>0.89113924050632909</v>
      </c>
      <c r="Q47" s="155">
        <f>1-(AVERAGE(AC5:AC7)/$AC$18)</f>
        <v>0.88888888888888884</v>
      </c>
      <c r="R47" s="155">
        <f>1-(AVERAGE(AD5:AD7)/$AD$18)</f>
        <v>0.89305555555555549</v>
      </c>
      <c r="S47" s="147"/>
      <c r="T47" s="147"/>
      <c r="U47" s="147"/>
    </row>
    <row r="48" spans="3:27" x14ac:dyDescent="0.2">
      <c r="C48" s="146" t="s">
        <v>180</v>
      </c>
      <c r="D48" s="146"/>
      <c r="E48" s="146">
        <v>16850</v>
      </c>
      <c r="F48" s="146">
        <v>5326</v>
      </c>
      <c r="G48" s="146">
        <f t="shared" si="14"/>
        <v>22176</v>
      </c>
      <c r="H48" s="146"/>
      <c r="I48" s="146"/>
      <c r="J48" s="146"/>
      <c r="K48" s="146"/>
      <c r="L48" s="146"/>
      <c r="M48" s="146">
        <f t="shared" si="26"/>
        <v>22176</v>
      </c>
      <c r="N48" s="146">
        <f t="shared" si="16"/>
        <v>24393.600000000002</v>
      </c>
      <c r="O48" s="146">
        <f t="shared" si="17"/>
        <v>19958.400000000001</v>
      </c>
      <c r="P48" s="154">
        <f>1-(AVERAGE(AB8:AB10)/$AB$18)</f>
        <v>0.75991561181434597</v>
      </c>
      <c r="Q48" s="154">
        <f>1-(AVERAGE(AC8:AC10)/$AC$18)</f>
        <v>0.75661375661375663</v>
      </c>
      <c r="R48" s="154">
        <f>1-(AVERAGE(AD8:AD10)/$AD$18)</f>
        <v>0.76249999999999996</v>
      </c>
      <c r="S48" s="146">
        <f>SUM(D12)/SUM(D6:D13)*M48</f>
        <v>1480.3244787616509</v>
      </c>
      <c r="T48" s="146">
        <f t="shared" ref="T48:U48" si="28">SUM(E12)/SUM(E6:E13)*N48</f>
        <v>1498.1922676437027</v>
      </c>
      <c r="U48" s="146">
        <f t="shared" si="28"/>
        <v>1246.8867413583491</v>
      </c>
      <c r="V48" s="154">
        <f>SUM(D12)/SUM(D6:D13)*P48</f>
        <v>5.0726987822957821E-2</v>
      </c>
      <c r="W48" s="154">
        <f t="shared" ref="W48:X48" si="29">SUM(E12)/SUM(E6:E13)*Q48</f>
        <v>4.6469273897726641E-2</v>
      </c>
      <c r="X48" s="154">
        <f t="shared" si="29"/>
        <v>4.7636641228041378E-2</v>
      </c>
    </row>
    <row r="49" spans="3:24" x14ac:dyDescent="0.2">
      <c r="C49" s="147" t="s">
        <v>181</v>
      </c>
      <c r="D49" s="147"/>
      <c r="E49" s="147">
        <v>11233</v>
      </c>
      <c r="F49" s="147">
        <v>4565</v>
      </c>
      <c r="G49" s="147">
        <f t="shared" si="14"/>
        <v>15798</v>
      </c>
      <c r="H49" s="147">
        <v>11000</v>
      </c>
      <c r="I49" s="147"/>
      <c r="J49" s="147">
        <f>J50+16375</f>
        <v>35375</v>
      </c>
      <c r="K49" s="147"/>
      <c r="L49" s="147"/>
      <c r="M49" s="147">
        <f t="shared" si="26"/>
        <v>13399</v>
      </c>
      <c r="N49" s="147">
        <f t="shared" si="16"/>
        <v>26376.400000000001</v>
      </c>
      <c r="O49" s="147">
        <f t="shared" si="17"/>
        <v>14218.2</v>
      </c>
      <c r="P49" s="155">
        <f>1-(AVERAGE(AB11:AB13)/$AB$18)</f>
        <v>0.59493670886075956</v>
      </c>
      <c r="Q49" s="155">
        <f>1-(AVERAGE(AC11:AC13)/$AC$18)</f>
        <v>0.59259259259259256</v>
      </c>
      <c r="R49" s="155">
        <f>1-(AVERAGE(AD11:AD13)/$AD$18)</f>
        <v>0.59722222222222232</v>
      </c>
      <c r="S49" s="147"/>
      <c r="T49" s="147"/>
      <c r="U49" s="147"/>
    </row>
    <row r="50" spans="3:24" x14ac:dyDescent="0.2">
      <c r="C50" s="147" t="s">
        <v>182</v>
      </c>
      <c r="D50" s="147"/>
      <c r="E50" s="147">
        <v>7489</v>
      </c>
      <c r="F50" s="147">
        <v>3804</v>
      </c>
      <c r="G50" s="147">
        <f t="shared" si="14"/>
        <v>11293</v>
      </c>
      <c r="H50" s="147">
        <v>9000</v>
      </c>
      <c r="I50" s="147"/>
      <c r="J50" s="147">
        <v>19000</v>
      </c>
      <c r="K50" s="147"/>
      <c r="L50" s="147"/>
      <c r="M50" s="147">
        <f t="shared" si="26"/>
        <v>10146.5</v>
      </c>
      <c r="N50" s="147">
        <f t="shared" si="16"/>
        <v>15711.150000000001</v>
      </c>
      <c r="O50" s="147">
        <f t="shared" si="17"/>
        <v>10163.700000000001</v>
      </c>
      <c r="P50" s="155">
        <f>1-(AVERAGE(AB14:AB15)/$AB$18)</f>
        <v>0.40506329113924056</v>
      </c>
      <c r="Q50" s="155">
        <f>1-(AVERAGE(AC14:AC15)/$AC$18)</f>
        <v>0.39682539682539686</v>
      </c>
      <c r="R50" s="155">
        <f>1-(AVERAGE(AD14:AD15)/$AD$18)</f>
        <v>0.41666666666666663</v>
      </c>
      <c r="S50" s="147"/>
      <c r="T50" s="147"/>
      <c r="U50" s="147"/>
    </row>
    <row r="51" spans="3:24" x14ac:dyDescent="0.2">
      <c r="C51" s="148" t="s">
        <v>183</v>
      </c>
      <c r="D51" s="148"/>
      <c r="E51" s="148">
        <v>5617</v>
      </c>
      <c r="F51" s="148">
        <v>3043</v>
      </c>
      <c r="G51" s="148">
        <f t="shared" si="14"/>
        <v>8660</v>
      </c>
      <c r="H51" s="148">
        <v>1000</v>
      </c>
      <c r="I51" s="148"/>
      <c r="J51" s="148"/>
      <c r="K51" s="148"/>
      <c r="L51" s="148"/>
      <c r="M51" s="148">
        <f t="shared" si="26"/>
        <v>4830</v>
      </c>
      <c r="N51" s="148">
        <f t="shared" si="16"/>
        <v>9526</v>
      </c>
      <c r="O51" s="148">
        <f t="shared" si="17"/>
        <v>7794</v>
      </c>
      <c r="P51" s="153">
        <f>1-(AVERAGE(AB16:AB17)/$AB$18)</f>
        <v>0.21518987341772156</v>
      </c>
      <c r="Q51" s="153">
        <f>1-(AVERAGE(AC16:AC17)/$AC$18)</f>
        <v>0.20634920634920639</v>
      </c>
      <c r="R51" s="153">
        <f>1-(AVERAGE(AD16:AD17)/$AD$18)</f>
        <v>0.20833333333333337</v>
      </c>
      <c r="S51" s="148">
        <f>D12/SUM(D6:D13)*M51</f>
        <v>322.41915730604137</v>
      </c>
      <c r="T51" s="148">
        <f>E12/SUM(E6:E13)*N51</f>
        <v>585.0624566105007</v>
      </c>
      <c r="U51" s="148">
        <f>F12/SUM(F6:F13)*O51</f>
        <v>486.9245662050551</v>
      </c>
      <c r="V51" s="153">
        <f>D12/SUM(D6:D13)*P51</f>
        <v>1.4364666179738198E-2</v>
      </c>
      <c r="W51" s="153">
        <f t="shared" ref="W51:X51" si="30">E12/SUM(E6:E13)*Q51</f>
        <v>1.2673438335743631E-2</v>
      </c>
      <c r="X51" s="153">
        <f t="shared" si="30"/>
        <v>1.30154757453665E-2</v>
      </c>
    </row>
    <row r="52" spans="3:24" x14ac:dyDescent="0.2">
      <c r="C52" s="147" t="s">
        <v>184</v>
      </c>
      <c r="D52" s="147"/>
      <c r="E52" s="147">
        <v>29955</v>
      </c>
      <c r="F52" s="147">
        <v>6086</v>
      </c>
      <c r="G52" s="147">
        <f t="shared" si="14"/>
        <v>36041</v>
      </c>
      <c r="H52" s="147"/>
      <c r="I52" s="147"/>
      <c r="J52" s="147"/>
      <c r="K52" s="147"/>
      <c r="L52" s="147"/>
      <c r="M52" s="147">
        <f t="shared" si="26"/>
        <v>36041</v>
      </c>
      <c r="N52" s="147">
        <f t="shared" si="16"/>
        <v>39645.100000000006</v>
      </c>
      <c r="O52" s="147">
        <f t="shared" si="17"/>
        <v>32436.9</v>
      </c>
      <c r="P52" s="155">
        <f>1-(AVERAGE(AB5:AB7)/$AB$19)</f>
        <v>0.91313131313131313</v>
      </c>
      <c r="Q52" s="155">
        <f>1-(AVERAGE(AC5:AC7)/$AC$19)</f>
        <v>0.91139240506329111</v>
      </c>
      <c r="R52" s="155">
        <f>1-(AVERAGE(AD5:AD7)/$AD$19)</f>
        <v>0.91444444444444439</v>
      </c>
      <c r="S52" s="147"/>
      <c r="T52" s="147"/>
      <c r="U52" s="147"/>
    </row>
    <row r="53" spans="3:24" x14ac:dyDescent="0.2">
      <c r="C53" s="146" t="s">
        <v>185</v>
      </c>
      <c r="D53" s="146"/>
      <c r="E53" s="146">
        <v>16850</v>
      </c>
      <c r="F53" s="146">
        <v>5326</v>
      </c>
      <c r="G53" s="146">
        <f t="shared" si="14"/>
        <v>22176</v>
      </c>
      <c r="H53" s="146"/>
      <c r="I53" s="146"/>
      <c r="J53" s="146"/>
      <c r="K53" s="146"/>
      <c r="L53" s="146"/>
      <c r="M53" s="146">
        <f t="shared" si="26"/>
        <v>22176</v>
      </c>
      <c r="N53" s="146">
        <f t="shared" si="16"/>
        <v>24393.600000000002</v>
      </c>
      <c r="O53" s="146">
        <f t="shared" si="17"/>
        <v>19958.400000000001</v>
      </c>
      <c r="P53" s="154">
        <f>1-(AVERAGE(AB8:AB10)/$AB$19)</f>
        <v>0.80841750841750848</v>
      </c>
      <c r="Q53" s="154">
        <f>1-(AVERAGE(AC8:AC10)/$AC$19)</f>
        <v>0.80590717299578063</v>
      </c>
      <c r="R53" s="154">
        <f>1-(AVERAGE(AD8:AD10)/$AD$19)</f>
        <v>0.81</v>
      </c>
      <c r="S53" s="146">
        <f>SUM(D13)/SUM(D6:D13)*M48</f>
        <v>1556.6052637176085</v>
      </c>
      <c r="T53" s="146">
        <f t="shared" ref="T53:U53" si="31">SUM(E13)/SUM(E6:E13)*N48</f>
        <v>2717.5942751454008</v>
      </c>
      <c r="U53" s="146">
        <f t="shared" si="31"/>
        <v>1538.1025473834977</v>
      </c>
      <c r="V53" s="154">
        <f>SUM(D13)/SUM(D6:D13)*P53</f>
        <v>5.6745443221688667E-2</v>
      </c>
      <c r="W53" s="154">
        <f t="shared" ref="W53:X53" si="32">SUM(E13)/SUM(E6:E13)*Q53</f>
        <v>8.9782923374653489E-2</v>
      </c>
      <c r="X53" s="154">
        <f t="shared" si="32"/>
        <v>6.2422992994460136E-2</v>
      </c>
    </row>
    <row r="54" spans="3:24" x14ac:dyDescent="0.2">
      <c r="C54" s="147" t="s">
        <v>186</v>
      </c>
      <c r="D54" s="147"/>
      <c r="E54" s="147">
        <v>11233</v>
      </c>
      <c r="F54" s="147">
        <v>4565</v>
      </c>
      <c r="G54" s="147">
        <f t="shared" si="14"/>
        <v>15798</v>
      </c>
      <c r="H54" s="147"/>
      <c r="I54" s="147">
        <v>23500</v>
      </c>
      <c r="J54" s="147"/>
      <c r="K54" s="147"/>
      <c r="L54" s="147">
        <v>8100</v>
      </c>
      <c r="M54" s="147">
        <f t="shared" si="26"/>
        <v>19649</v>
      </c>
      <c r="N54" s="147">
        <f t="shared" si="16"/>
        <v>17377.800000000003</v>
      </c>
      <c r="O54" s="147">
        <f t="shared" si="17"/>
        <v>11159.1</v>
      </c>
      <c r="P54" s="155">
        <f>1-(AVERAGE(AB11:AB13)/$AB$19)</f>
        <v>0.67676767676767668</v>
      </c>
      <c r="Q54" s="155">
        <f>1-(AVERAGE(AC11:AC13)/$AC$19)</f>
        <v>0.67510548523206748</v>
      </c>
      <c r="R54" s="155">
        <f>1-(AVERAGE(AD11:AD13)/$AD$19)</f>
        <v>0.67777777777777781</v>
      </c>
      <c r="S54" s="147"/>
      <c r="T54" s="147"/>
      <c r="U54" s="147"/>
    </row>
    <row r="55" spans="3:24" x14ac:dyDescent="0.2">
      <c r="C55" s="147" t="s">
        <v>187</v>
      </c>
      <c r="D55" s="147"/>
      <c r="E55" s="147">
        <v>7489</v>
      </c>
      <c r="F55" s="147">
        <v>3804</v>
      </c>
      <c r="G55" s="147">
        <f t="shared" si="14"/>
        <v>11293</v>
      </c>
      <c r="H55" s="147">
        <v>24000</v>
      </c>
      <c r="I55" s="147">
        <v>21300</v>
      </c>
      <c r="J55" s="147">
        <f>J56+5184</f>
        <v>31284</v>
      </c>
      <c r="K55" s="147"/>
      <c r="L55" s="147">
        <v>4400</v>
      </c>
      <c r="M55" s="147">
        <f t="shared" si="26"/>
        <v>18864.333333333332</v>
      </c>
      <c r="N55" s="147">
        <f t="shared" si="16"/>
        <v>21853.15</v>
      </c>
      <c r="O55" s="147">
        <f t="shared" si="17"/>
        <v>7281.85</v>
      </c>
      <c r="P55" s="155">
        <f>1-(AVERAGE(AB14:AB15)/$AB$19)</f>
        <v>0.5252525252525253</v>
      </c>
      <c r="Q55" s="155">
        <f>1-(AVERAGE(AC14:AC15)/$AC$19)</f>
        <v>0.51898734177215189</v>
      </c>
      <c r="R55" s="155">
        <f>1-(AVERAGE(AD14:AD15)/$AD$19)</f>
        <v>0.53333333333333333</v>
      </c>
      <c r="S55" s="147"/>
      <c r="T55" s="147"/>
      <c r="U55" s="147"/>
    </row>
    <row r="56" spans="3:24" x14ac:dyDescent="0.2">
      <c r="C56" s="147" t="s">
        <v>188</v>
      </c>
      <c r="D56" s="147"/>
      <c r="E56" s="147">
        <v>5617</v>
      </c>
      <c r="F56" s="147">
        <v>3043</v>
      </c>
      <c r="G56" s="147">
        <f t="shared" si="14"/>
        <v>8660</v>
      </c>
      <c r="H56" s="147">
        <v>17000</v>
      </c>
      <c r="I56" s="147"/>
      <c r="J56" s="147">
        <v>26100</v>
      </c>
      <c r="K56" s="147">
        <v>16000</v>
      </c>
      <c r="L56" s="147"/>
      <c r="M56" s="147">
        <f t="shared" si="26"/>
        <v>12830</v>
      </c>
      <c r="N56" s="147">
        <f t="shared" si="16"/>
        <v>17208.666666666668</v>
      </c>
      <c r="O56" s="147">
        <f t="shared" si="17"/>
        <v>7794</v>
      </c>
      <c r="P56" s="155">
        <f>1-(AVERAGE(AB16:AB17)/$AB$19)</f>
        <v>0.3737373737373737</v>
      </c>
      <c r="Q56" s="155">
        <f>1-(AVERAGE(AC16:AC17)/$AC$19)</f>
        <v>0.36708860759493667</v>
      </c>
      <c r="R56" s="155">
        <f>1-(AVERAGE(AD16:AD17)/$AD$19)</f>
        <v>0.3666666666666667</v>
      </c>
      <c r="S56" s="147"/>
      <c r="T56" s="147"/>
      <c r="U56" s="147"/>
    </row>
    <row r="57" spans="3:24" x14ac:dyDescent="0.2">
      <c r="C57" s="149" t="s">
        <v>210</v>
      </c>
      <c r="D57" s="149"/>
      <c r="E57" s="149"/>
      <c r="F57" s="149"/>
      <c r="G57" s="149"/>
      <c r="H57" s="149"/>
      <c r="I57" s="149">
        <v>2128</v>
      </c>
      <c r="J57" s="149">
        <v>3200</v>
      </c>
      <c r="K57" s="149"/>
      <c r="L57" s="149">
        <v>2200</v>
      </c>
      <c r="M57" s="149">
        <f t="shared" si="26"/>
        <v>2128</v>
      </c>
      <c r="N57" s="149">
        <f t="shared" si="16"/>
        <v>1600</v>
      </c>
      <c r="O57" s="149">
        <f t="shared" si="17"/>
        <v>1100</v>
      </c>
      <c r="P57" s="153">
        <f>1-(AB18/$AB$19)</f>
        <v>0.20202020202020199</v>
      </c>
      <c r="Q57" s="153">
        <f>1-(AC18/$AC$19)</f>
        <v>0.20253164556962022</v>
      </c>
      <c r="R57" s="153">
        <f>1-(AD18/$AD$19)</f>
        <v>0.19999999999999996</v>
      </c>
      <c r="S57" s="148">
        <f>D13/SUM(D6:D13)*M57</f>
        <v>149.37121217492202</v>
      </c>
      <c r="T57" s="148">
        <f>E13/SUM(E6:E13)*N57</f>
        <v>178.24965729669424</v>
      </c>
      <c r="U57" s="148">
        <f>F13/SUM(F6:F13)*O57</f>
        <v>84.771965794945856</v>
      </c>
      <c r="V57" s="153">
        <f>D13/SUM(D6:D13)*P57</f>
        <v>1.4180452283637315E-2</v>
      </c>
      <c r="W57" s="153">
        <f t="shared" ref="W57:X57" si="33">E13/SUM(E6:E13)*Q57</f>
        <v>2.2563247759075217E-2</v>
      </c>
      <c r="X57" s="153">
        <f t="shared" si="33"/>
        <v>1.5413084689990152E-2</v>
      </c>
    </row>
    <row r="59" spans="3:24" x14ac:dyDescent="0.2">
      <c r="S59" s="157">
        <f>SUM(S37,S39,S42,S46,S51,S57)</f>
        <v>9608.4735804205193</v>
      </c>
      <c r="T59" s="157">
        <f t="shared" ref="T59:U59" si="34">SUM(T37,T39,T42,T46,T51,T57)</f>
        <v>14333.869646601945</v>
      </c>
      <c r="U59" s="157">
        <f t="shared" si="34"/>
        <v>11196.414691601361</v>
      </c>
      <c r="V59" s="156">
        <f>SUM(V37,V39,V42,V46,V51,V57)</f>
        <v>0.3499559220938272</v>
      </c>
      <c r="W59" s="156">
        <f t="shared" ref="W59:X59" si="35">SUM(W37,W39,W42,W46,W51,W57)</f>
        <v>0.34759093292022342</v>
      </c>
      <c r="X59" s="156">
        <f t="shared" si="35"/>
        <v>0.36920600336632792</v>
      </c>
    </row>
    <row r="60" spans="3:24" x14ac:dyDescent="0.2">
      <c r="C60" t="s">
        <v>209</v>
      </c>
      <c r="S60" s="158">
        <f>SUM(S38,S41,S44,S48,S53,S57)</f>
        <v>20563.0239417189</v>
      </c>
      <c r="T60" s="158">
        <f t="shared" ref="T60:X60" si="36">SUM(T38,T41,T44,T48,T53,T57)</f>
        <v>22259.387557085229</v>
      </c>
      <c r="U60" s="158">
        <f t="shared" si="36"/>
        <v>15982.779351113084</v>
      </c>
      <c r="V60" s="159">
        <f t="shared" si="36"/>
        <v>0.56982150406598298</v>
      </c>
      <c r="W60" s="159">
        <f t="shared" si="36"/>
        <v>0.57417922843609159</v>
      </c>
      <c r="X60" s="159">
        <f t="shared" si="36"/>
        <v>0.51228555848472779</v>
      </c>
    </row>
  </sheetData>
  <mergeCells count="10">
    <mergeCell ref="V29:X29"/>
    <mergeCell ref="S29:U29"/>
    <mergeCell ref="C3:G3"/>
    <mergeCell ref="L2:N2"/>
    <mergeCell ref="O2:Q2"/>
    <mergeCell ref="C29:G29"/>
    <mergeCell ref="R2:T2"/>
    <mergeCell ref="H29:L29"/>
    <mergeCell ref="M29:O29"/>
    <mergeCell ref="P29:R29"/>
  </mergeCells>
  <hyperlinks>
    <hyperlink ref="Y20" r:id="rId1" display="http://www.seai.ie/Your_Building/BER/Your_Guide_to_Building_Energy_" xr:uid="{5807D69C-F428-4936-9796-3FEC8B37998C}"/>
    <hyperlink ref="AA30" r:id="rId2" xr:uid="{994975AB-F83B-4F7E-B1E2-49D7A02B19F7}"/>
    <hyperlink ref="H29" r:id="rId3" xr:uid="{55D40456-65AC-4DC1-BDA5-C642CA7C3A86}"/>
    <hyperlink ref="AA33" r:id="rId4" xr:uid="{7E910491-C37D-4D30-8CD9-EB0922E7F99E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Intro</vt:lpstr>
      <vt:lpstr>RSD_Retrofit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2021-04-30T10:38:34Z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743201851844787</vt:r8>
  </property>
</Properties>
</file>