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47743D25-CDA4-4575-A0F2-781AA45784A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3" l="1"/>
  <c r="H3" i="23"/>
  <c r="G3" i="23"/>
  <c r="L9" i="22"/>
  <c r="B9" i="22"/>
  <c r="D4" i="20"/>
  <c r="D5" i="20"/>
  <c r="C5" i="20"/>
  <c r="C4" i="20"/>
  <c r="B7" i="22"/>
  <c r="L7" i="22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L9" i="21"/>
  <c r="L7" i="21"/>
  <c r="B9" i="21"/>
  <c r="B7" i="21"/>
  <c r="J10" i="21"/>
  <c r="F10" i="21"/>
  <c r="E10" i="21"/>
  <c r="D10" i="21"/>
  <c r="C10" i="21"/>
  <c r="K9" i="21"/>
  <c r="I9" i="21"/>
  <c r="H9" i="21"/>
  <c r="G9" i="21"/>
  <c r="F9" i="21"/>
  <c r="D9" i="21"/>
  <c r="C9" i="21"/>
  <c r="F8" i="21"/>
  <c r="E8" i="21"/>
  <c r="D8" i="21"/>
  <c r="H7" i="21"/>
  <c r="G7" i="21"/>
  <c r="K7" i="21"/>
  <c r="J8" i="21"/>
  <c r="I7" i="21"/>
  <c r="F7" i="21"/>
  <c r="D7" i="21"/>
  <c r="C8" i="21"/>
  <c r="C7" i="2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<sst xmlns="http://schemas.openxmlformats.org/spreadsheetml/2006/main" count="140" uniqueCount="109">
  <si>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</si>
  <si>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</si>
  <si>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</si>
  <si>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</si>
  <si>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</si>
  <si>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</si>
  <si>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</si>
  <si>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</si>
  <si>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</si>
  <si>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</si>
  <si>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</si>
  <si>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</si>
  <si>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</si>
  <si>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</si>
  <si>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</si>
  <si>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</si>
  <si>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</si>
  <si>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</si>
  <si>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</si>
  <si>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</si>
  <si>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</si>
  <si>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</si>
  <si>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</si>
  <si>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</si>
  <si>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</si>
  <si>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</si>
  <si>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</si>
  <si>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</si>
  <si>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</si>
  <si>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</si>
  <si>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</si>
  <si>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</si>
  <si>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</si>
  <si>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</si>
  <si>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</si>
  <si>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</si>
  <si>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</si>
  <si>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</si>
  <si>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</si>
  <si>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</si>
  <si>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</si>
  <si>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</si>
  <si>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</si>
  <si>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</si>
  <si>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</si>
  <si>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</si>
  <si>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</si>
  <si>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</si>
  <si>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</si>
  <si>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</si>
  <si>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</si>
  <si>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</si>
  <si>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</si>
  <si>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</si>
  <si>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</si>
  <si>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</si>
  <si>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</si>
  <si>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</si>
  <si>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</si>
  <si>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</si>
  <si>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</si>
  <si>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</si>
  <si>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</si>
  <si>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</si>
  <si>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</si>
  <si>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</si>
  <si>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</si>
  <si>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</si>
  <si>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2018-2050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</si>
  <si>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</si>
  <si>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</si>
  <si>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</si>
  <si>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</si>
  <si>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</si>
  <si>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</si>
  <si>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</si>
  <si>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</si>
  <si>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</si>
  <si>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</si>
  <si>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</si>
  <si>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</si>
  <si>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</si>
  <si>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</si>
  <si>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</si>
  <si>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</si>
  <si>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</si>
  <si>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</si>
  <si>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</si>
  <si>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</si>
  <si>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</si>
  <si>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</si>
  <si>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</si>
  <si>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</si>
  <si>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</si>
  <si>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</si>
  <si>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</si>
  <si>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</si>
  <si>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</si>
  <si>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</si>
  <si>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</si>
  <si>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</si>
  <si>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</si>
  <si>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</si>
  <si>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</si>
  <si>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</si>
  <si>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</si>
  <si>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Specify a 420 Mt carbon budget</t>
  </si>
  <si>
    <t>Scenario</t>
  </si>
  <si>
    <t>James Glynn (UCC, james.glynn@ucc.ie)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</si>
</sst>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38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Fill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5CD6EEE1-73B2-4911-9FC2-AF042D96273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abSelected="1" zoomScaleNormal="100" workbookViewId="0">
      <selection activeCell="B25" sqref="B25"/>
    </sheetView>
  </sheetViews>
  <sheetFormatPr defaultColWidth="8.85546875" defaultRowHeight="15" x14ac:dyDescent="0.25"/>
  <cols>
    <col min="1" max="4" width="21.7109375" style="8" customWidth="1"/>
    <col min="5" max="6" width="14.140625" style="8" customWidth="1"/>
    <col min="7" max="7" width="12.140625" style="8" customWidth="1"/>
    <col min="8" max="10" width="8.140625" style="8" customWidth="1"/>
    <col min="11" max="11" width="9.7109375" style="8" customWidth="1"/>
    <col min="12" max="12" width="8.140625" style="8" customWidth="1"/>
    <col min="13" max="13" width="10" style="8" customWidth="1"/>
    <col min="14" max="14" width="11.42578125" style="8" customWidth="1"/>
    <col min="15" max="15" width="13.42578125" style="8" customWidth="1"/>
    <col min="16" max="16384" width="8.85546875" style="8"/>
  </cols>
  <sheetData>
    <row r="1" spans="1:26" x14ac:dyDescent="0.25">
      <c r="A1" s="20"/>
      <c r="B1" s="20"/>
      <c r="C1" s="20"/>
      <c r="D1" s="20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x14ac:dyDescent="0.25">
      <c r="A2" s="20"/>
      <c r="B2" s="20"/>
      <c r="C2" s="20"/>
      <c r="D2" s="20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x14ac:dyDescent="0.25">
      <c r="A3" s="20"/>
      <c r="B3" s="20"/>
      <c r="C3" s="20"/>
      <c r="D3" s="20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x14ac:dyDescent="0.25">
      <c r="A4" s="20"/>
      <c r="B4" s="20"/>
      <c r="C4" s="20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x14ac:dyDescent="0.25">
      <c r="A5" s="20"/>
      <c r="B5" s="20"/>
      <c r="C5" s="20"/>
      <c r="D5" s="20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x14ac:dyDescent="0.25">
      <c r="A6" s="20"/>
      <c r="B6" s="20"/>
      <c r="C6" s="20"/>
      <c r="D6" s="20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x14ac:dyDescent="0.25">
      <c r="A7" s="20"/>
      <c r="B7" s="20"/>
      <c r="C7" s="20"/>
      <c r="D7" s="20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x14ac:dyDescent="0.25">
      <c r="A8" s="20"/>
      <c r="B8" s="20"/>
      <c r="C8" s="20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x14ac:dyDescent="0.25">
      <c r="A9" s="20"/>
      <c r="B9" s="20"/>
      <c r="C9" s="20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x14ac:dyDescent="0.25">
      <c r="A10" s="20"/>
      <c r="B10" s="20"/>
      <c r="C10" s="20"/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x14ac:dyDescent="0.25">
      <c r="A11" s="20"/>
      <c r="B11" s="20"/>
      <c r="C11" s="20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x14ac:dyDescent="0.25">
      <c r="A12" s="20"/>
      <c r="B12" s="20"/>
      <c r="C12" s="20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x14ac:dyDescent="0.25">
      <c r="A13" s="20"/>
      <c r="B13" s="20"/>
      <c r="C13" s="20"/>
      <c r="D13" s="20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x14ac:dyDescent="0.25">
      <c r="A14" s="20"/>
      <c r="B14" s="20"/>
      <c r="C14" s="20"/>
      <c r="D14" s="20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x14ac:dyDescent="0.25">
      <c r="A15" s="20"/>
      <c r="B15" s="20"/>
      <c r="C15" s="20"/>
      <c r="D15" s="20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02.75" customHeight="1" x14ac:dyDescent="0.25">
      <c r="A16" s="36" t="s">
        <v>92</v>
      </c>
      <c r="B16" s="36"/>
      <c r="C16" s="36"/>
      <c r="D16" s="36"/>
      <c r="E16" s="22"/>
      <c r="F16" s="22"/>
      <c r="G16" s="23"/>
      <c r="H16" s="23"/>
      <c r="I16" s="23"/>
      <c r="J16" s="23"/>
      <c r="K16" s="23"/>
      <c r="L16" s="23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7.25" customHeight="1" x14ac:dyDescent="0.25">
      <c r="A17" s="24"/>
      <c r="B17" s="24"/>
      <c r="C17" s="24"/>
      <c r="D17" s="24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7.25" customHeight="1" x14ac:dyDescent="0.25">
      <c r="A18" s="24"/>
      <c r="B18" s="24"/>
      <c r="C18" s="24"/>
      <c r="D18" s="24"/>
      <c r="E18" s="25"/>
      <c r="F18" s="25"/>
      <c r="G18" s="26"/>
      <c r="H18" s="26"/>
      <c r="I18" s="26"/>
      <c r="J18" s="26"/>
      <c r="K18" s="26"/>
      <c r="L18" s="26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7.25" customHeight="1" x14ac:dyDescent="0.25">
      <c r="A19" s="27" t="s">
        <v>93</v>
      </c>
      <c r="B19" s="35" t="s">
        <v>107</v>
      </c>
      <c r="C19" s="35"/>
      <c r="D19" s="35"/>
      <c r="E19" s="28"/>
      <c r="F19" s="28"/>
      <c r="G19" s="29"/>
      <c r="H19" s="29"/>
      <c r="I19" s="29"/>
      <c r="J19" s="29"/>
      <c r="K19" s="29"/>
      <c r="L19" s="29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7.25" customHeight="1" x14ac:dyDescent="0.25">
      <c r="A20" s="27" t="s">
        <v>94</v>
      </c>
      <c r="B20" s="35" t="s">
        <v>104</v>
      </c>
      <c r="C20" s="35"/>
      <c r="D20" s="35"/>
      <c r="E20" s="28"/>
      <c r="F20" s="28"/>
      <c r="G20" s="29"/>
      <c r="H20" s="29"/>
      <c r="I20" s="29"/>
      <c r="J20" s="29"/>
      <c r="K20" s="29"/>
      <c r="L20" s="29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7.25" customHeight="1" x14ac:dyDescent="0.25">
      <c r="A21" s="27" t="s">
        <v>95</v>
      </c>
      <c r="B21" s="30" t="s">
        <v>106</v>
      </c>
      <c r="C21" s="30"/>
      <c r="D21" s="30"/>
      <c r="E21" s="28"/>
      <c r="F21" s="28"/>
      <c r="G21" s="29"/>
      <c r="H21" s="29"/>
      <c r="I21" s="29"/>
      <c r="J21" s="29"/>
      <c r="K21" s="29"/>
      <c r="L21" s="29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7.25" customHeight="1" x14ac:dyDescent="0.25">
      <c r="A22" s="27"/>
      <c r="B22" s="30"/>
      <c r="C22" s="30"/>
      <c r="D22" s="30"/>
      <c r="E22" s="28"/>
      <c r="F22" s="28"/>
      <c r="G22" s="29"/>
      <c r="H22" s="29"/>
      <c r="I22" s="29"/>
      <c r="J22" s="29"/>
      <c r="K22" s="29"/>
      <c r="L22" s="29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7.25" customHeight="1" x14ac:dyDescent="0.25">
      <c r="A23" s="27" t="s">
        <v>96</v>
      </c>
      <c r="B23" s="35" t="s">
        <v>105</v>
      </c>
      <c r="C23" s="35"/>
      <c r="D23" s="35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7.25" customHeight="1" x14ac:dyDescent="0.25">
      <c r="A24" s="27"/>
      <c r="B24" s="30" t="s">
        <v>108</v>
      </c>
      <c r="C24" s="30"/>
      <c r="D24" s="30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7.25" customHeight="1" x14ac:dyDescent="0.25">
      <c r="A25" s="27"/>
      <c r="B25" s="30"/>
      <c r="C25" s="30"/>
      <c r="D25" s="30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7.25" customHeight="1" x14ac:dyDescent="0.25">
      <c r="A26" s="27" t="s">
        <v>97</v>
      </c>
      <c r="B26" s="35" t="s">
        <v>105</v>
      </c>
      <c r="C26" s="35"/>
      <c r="D26" s="35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7.25" customHeight="1" x14ac:dyDescent="0.25">
      <c r="A27" s="27"/>
      <c r="B27" s="30"/>
      <c r="C27" s="30"/>
      <c r="D27" s="30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7.25" customHeight="1" x14ac:dyDescent="0.25">
      <c r="A28" s="27"/>
      <c r="B28" s="30"/>
      <c r="C28" s="30"/>
      <c r="D28" s="30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7.25" customHeight="1" x14ac:dyDescent="0.25">
      <c r="A29" s="27" t="s">
        <v>98</v>
      </c>
      <c r="B29" s="31">
        <v>1</v>
      </c>
      <c r="C29" s="30"/>
      <c r="D29" s="30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7.25" customHeight="1" x14ac:dyDescent="0.25">
      <c r="A30" s="27" t="s">
        <v>99</v>
      </c>
      <c r="B30" s="37" t="s">
        <v>100</v>
      </c>
      <c r="C30" s="35"/>
      <c r="D30" s="35"/>
      <c r="E30" s="32"/>
      <c r="F30" s="32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7.25" customHeight="1" x14ac:dyDescent="0.25">
      <c r="A31" s="27" t="s">
        <v>101</v>
      </c>
      <c r="B31" s="35" t="s">
        <v>102</v>
      </c>
      <c r="C31" s="35"/>
      <c r="D31" s="35"/>
      <c r="E31" s="32"/>
      <c r="F31" s="32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7.25" customHeight="1" x14ac:dyDescent="0.25">
      <c r="A32" s="33"/>
      <c r="B32" s="34" t="s">
        <v>103</v>
      </c>
      <c r="C32" s="33"/>
      <c r="D32" s="33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x14ac:dyDescent="0.25">
      <c r="A33" s="20"/>
      <c r="B33" s="20"/>
      <c r="C33" s="20"/>
      <c r="D33" s="20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x14ac:dyDescent="0.25">
      <c r="A34" s="20"/>
      <c r="B34" s="20"/>
      <c r="C34" s="20"/>
      <c r="D34" s="20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x14ac:dyDescent="0.25">
      <c r="A35" s="20"/>
      <c r="B35" s="20"/>
      <c r="C35" s="20"/>
      <c r="D35" s="20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x14ac:dyDescent="0.25">
      <c r="A36" s="20"/>
      <c r="B36" s="20"/>
      <c r="C36" s="20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x14ac:dyDescent="0.25">
      <c r="A37" s="20"/>
      <c r="B37" s="20"/>
      <c r="C37" s="20"/>
      <c r="D37" s="20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x14ac:dyDescent="0.25">
      <c r="A38" s="20"/>
      <c r="B38" s="20"/>
      <c r="C38" s="20"/>
      <c r="D38" s="20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x14ac:dyDescent="0.25">
      <c r="A39" s="20"/>
      <c r="B39" s="20"/>
      <c r="C39" s="20"/>
      <c r="D39" s="20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x14ac:dyDescent="0.25">
      <c r="A40" s="20"/>
      <c r="B40" s="20"/>
      <c r="C40" s="20"/>
      <c r="D40" s="20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x14ac:dyDescent="0.25">
      <c r="A41" s="20"/>
      <c r="B41" s="20"/>
      <c r="C41" s="20"/>
      <c r="D41" s="20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x14ac:dyDescent="0.25">
      <c r="A42" s="20"/>
      <c r="B42" s="20"/>
      <c r="C42" s="20"/>
      <c r="D42" s="20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A1:Q17"/>
  <sheetViews>
    <sheetView workbookViewId="0">
      <selection activeCell="D24" sqref="D24"/>
    </sheetView>
  </sheetViews>
  <sheetFormatPr defaultRowHeight="15" x14ac:dyDescent="0.25"/>
  <cols>
    <col min="1" max="1" width="9.140625" style="8"/>
    <col min="2" max="2" width="14" style="8" bestFit="1" customWidth="1"/>
    <col min="3" max="3" width="30.140625" style="8" bestFit="1" customWidth="1"/>
    <col min="4" max="4" width="28" style="8" bestFit="1" customWidth="1"/>
    <col min="5" max="12" width="9.140625" style="8"/>
    <col min="13" max="13" width="10.5703125" style="8" bestFit="1" customWidth="1"/>
    <col min="14" max="14" width="12" style="8" bestFit="1" customWidth="1"/>
    <col min="15" max="16384" width="9.140625" style="8"/>
  </cols>
  <sheetData>
    <row r="1" spans="1:17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7" x14ac:dyDescent="0.25">
      <c r="A4"/>
      <c r="B4" t="s">
        <v>61</v>
      </c>
      <c r="C4" s="8" t="str">
        <f xml:space="preserve"> _xlfn.TEXTJOIN("_",TRUE,"UC","CB",C7,"Mt",C6)</f>
        <v>UC_CB_420_Mt_2018-2050</v>
      </c>
      <c r="D4" s="8" t="str">
        <f xml:space="preserve"> _xlfn.TEXTJOIN("_",TRUE,"UC","CB",D7,"Mt",D6)</f>
        <v>UC_CB_0_Mt_2051-2100</v>
      </c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/>
      <c r="B5" t="s">
        <v>69</v>
      </c>
      <c r="C5" t="str">
        <f xml:space="preserve"> _xlfn.TEXTJOIN(" ",TRUE,"Carbon budget",C7,"Mt",C6)</f>
        <v>Carbon budget 420 Mt 2018-2050</v>
      </c>
      <c r="D5" s="8" t="str">
        <f xml:space="preserve"> _xlfn.TEXTJOIN(" ",TRUE,"Carbon budget",D7,"Mt",D6)</f>
        <v>Carbon budget 0 Mt 2051-2100</v>
      </c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25">
      <c r="B6" s="8" t="s">
        <v>75</v>
      </c>
      <c r="C6" s="8" t="s">
        <v>68</v>
      </c>
      <c r="D6" s="8" t="s">
        <v>85</v>
      </c>
    </row>
    <row r="7" spans="1:17" x14ac:dyDescent="0.25">
      <c r="B7" s="8" t="s">
        <v>70</v>
      </c>
      <c r="C7" s="8">
        <v>420</v>
      </c>
      <c r="D7" s="8">
        <v>0</v>
      </c>
    </row>
    <row r="8" spans="1:17" x14ac:dyDescent="0.25">
      <c r="B8" s="8" t="s">
        <v>83</v>
      </c>
      <c r="C8" s="8" t="s">
        <v>84</v>
      </c>
      <c r="D8" s="8" t="s">
        <v>84</v>
      </c>
    </row>
    <row r="9" spans="1:17" x14ac:dyDescent="0.25">
      <c r="B9" s="8" t="s">
        <v>62</v>
      </c>
      <c r="C9" s="8" t="s">
        <v>81</v>
      </c>
      <c r="D9" s="8" t="s">
        <v>81</v>
      </c>
    </row>
    <row r="10" spans="1:17" x14ac:dyDescent="0.25">
      <c r="B10" s="8" t="s">
        <v>74</v>
      </c>
      <c r="C10" s="8" t="s">
        <v>80</v>
      </c>
      <c r="D10" s="8" t="s">
        <v>80</v>
      </c>
    </row>
    <row r="11" spans="1:17" x14ac:dyDescent="0.25">
      <c r="B11" s="8" t="s">
        <v>78</v>
      </c>
      <c r="C11" s="8" t="s">
        <v>79</v>
      </c>
      <c r="D11" s="8" t="s">
        <v>79</v>
      </c>
    </row>
    <row r="12" spans="1:17" x14ac:dyDescent="0.25">
      <c r="B12" s="8" t="s">
        <v>0</v>
      </c>
      <c r="C12" s="8" t="s">
        <v>71</v>
      </c>
      <c r="D12" s="8" t="s">
        <v>71</v>
      </c>
    </row>
    <row r="13" spans="1:17" x14ac:dyDescent="0.25">
      <c r="B13" s="8" t="s">
        <v>82</v>
      </c>
      <c r="C13" s="8">
        <v>-1</v>
      </c>
      <c r="D13" s="8">
        <v>-1</v>
      </c>
    </row>
    <row r="14" spans="1:17" x14ac:dyDescent="0.25">
      <c r="A14"/>
      <c r="B14" t="s">
        <v>77</v>
      </c>
      <c r="C14">
        <v>1</v>
      </c>
      <c r="D14" s="8">
        <v>1</v>
      </c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0"/>
  <sheetViews>
    <sheetView workbookViewId="0">
      <selection activeCell="G19" sqref="G19"/>
    </sheetView>
  </sheetViews>
  <sheetFormatPr defaultRowHeight="15" x14ac:dyDescent="0.25"/>
  <cols>
    <col min="1" max="1" width="9.140625" style="8"/>
    <col min="2" max="2" width="31" style="8" bestFit="1" customWidth="1"/>
    <col min="3" max="3" width="13.57031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12" style="8" bestFit="1" customWidth="1"/>
    <col min="12" max="12" width="27.85546875" style="8" bestFit="1" customWidth="1"/>
    <col min="13" max="16384" width="9.140625" style="8"/>
  </cols>
  <sheetData>
    <row r="1" spans="1:12" x14ac:dyDescent="0.25">
      <c r="A1" s="8" t="s">
        <v>64</v>
      </c>
    </row>
    <row r="2" spans="1:12" x14ac:dyDescent="0.25">
      <c r="B2" s="11" t="str">
        <f>"~UC_Sets: R_E: "  &amp; _xlfn.TEXTJOIN(",",TRUE,Regions!C3)</f>
        <v>~UC_Sets: R_E: IE</v>
      </c>
    </row>
    <row r="3" spans="1:12" x14ac:dyDescent="0.25">
      <c r="B3" s="11" t="s">
        <v>76</v>
      </c>
    </row>
    <row r="4" spans="1:12" x14ac:dyDescent="0.25">
      <c r="H4" s="8" t="str">
        <f>IF(RIGHT(B2,1)&lt;&gt;" ","~UC_T","")</f>
        <v>~UC_T</v>
      </c>
    </row>
    <row r="5" spans="1:12" x14ac:dyDescent="0.25">
      <c r="B5" s="12" t="s">
        <v>61</v>
      </c>
      <c r="C5" s="13" t="s">
        <v>62</v>
      </c>
      <c r="D5" s="13" t="s">
        <v>74</v>
      </c>
      <c r="E5" s="13" t="s">
        <v>83</v>
      </c>
      <c r="F5" s="13" t="s">
        <v>75</v>
      </c>
      <c r="G5" s="13" t="s">
        <v>78</v>
      </c>
      <c r="H5" s="13" t="s">
        <v>0</v>
      </c>
      <c r="I5" s="14" t="s">
        <v>77</v>
      </c>
      <c r="J5" s="14" t="s">
        <v>82</v>
      </c>
      <c r="K5" s="10" t="s">
        <v>65</v>
      </c>
      <c r="L5" s="12" t="s">
        <v>63</v>
      </c>
    </row>
    <row r="6" spans="1:12" x14ac:dyDescent="0.25">
      <c r="B6" s="9" t="s">
        <v>72</v>
      </c>
      <c r="C6" s="9"/>
      <c r="D6" s="9"/>
      <c r="E6" s="9"/>
      <c r="F6" s="9"/>
      <c r="G6" s="9"/>
      <c r="H6" s="9"/>
      <c r="I6" s="9"/>
      <c r="J6" s="9"/>
      <c r="K6" s="9" t="s">
        <v>73</v>
      </c>
      <c r="L6" s="15"/>
    </row>
    <row r="7" spans="1:12" x14ac:dyDescent="0.25">
      <c r="B7" s="8" t="str">
        <f>VLOOKUP($B$5, config!$B$4:$D$14,2,FALSE) &amp; "_Single"</f>
        <v>UC_CB_420_Mt_2018-2050_Single</v>
      </c>
      <c r="C7" s="8" t="str">
        <f>VLOOKUP(C$5, config!$B$4:$D$14,2,FALSE)</f>
        <v>*CO2*,-*CO2S</v>
      </c>
      <c r="D7" s="8" t="str">
        <f>VLOOKUP(D$5, config!$B$4:$D$14,2,FALSE)</f>
        <v>ENV</v>
      </c>
      <c r="F7" s="8" t="str">
        <f>VLOOKUP(F$5, config!$B$4:$D$14,2,FALSE)</f>
        <v>2018-2050</v>
      </c>
      <c r="G7" s="8" t="str">
        <f>VLOOKUP(G$5, config!$B$4:$D$14,2,FALSE)</f>
        <v>NET</v>
      </c>
      <c r="H7" s="8" t="str">
        <f>VLOOKUP(H$5, config!$B$4:$D$14,2,FALSE)</f>
        <v>UP</v>
      </c>
      <c r="I7" s="8">
        <f>VLOOKUP(I$5, config!$B$4:$D$14,2,FALSE)</f>
        <v>1</v>
      </c>
      <c r="K7" s="8">
        <f>VLOOKUP("Value", config!$B$4:$D$14,2,FALSE)*1000</f>
        <v>420000</v>
      </c>
      <c r="L7" s="8" t="str">
        <f>VLOOKUP($L$5, config!$B$4:$D$14,2,FALSE) &amp; " - Single"</f>
        <v>Carbon budget 420 Mt 2018-2050 - Single</v>
      </c>
    </row>
    <row r="8" spans="1:12" x14ac:dyDescent="0.25">
      <c r="C8" s="8" t="str">
        <f>VLOOKUP(C$5, config!$B$4:$D$14,2,FALSE)</f>
        <v>*CO2*,-*CO2S</v>
      </c>
      <c r="D8" s="8" t="str">
        <f>VLOOKUP(D$5, config!$B$4:$D$14,2,FALSE)</f>
        <v>ENV</v>
      </c>
      <c r="E8" s="8" t="str">
        <f>VLOOKUP(E$5, config!$B$4:$D$14,2,FALSE)</f>
        <v>T-A*INT*,T-NAV*</v>
      </c>
      <c r="F8" s="8" t="str">
        <f>VLOOKUP(F$5, config!$B$4:$D$14,2,FALSE)</f>
        <v>2018-2050</v>
      </c>
      <c r="J8" s="8">
        <f>VLOOKUP(J$5, config!$B$4:$D$14,2,FALSE)</f>
        <v>-1</v>
      </c>
    </row>
    <row r="9" spans="1:12" x14ac:dyDescent="0.25">
      <c r="B9" s="8" t="str">
        <f>VLOOKUP($B$5, config!$B$4:$D$14,3,FALSE) &amp; "_Single"</f>
        <v>UC_CB_0_Mt_2051-2100_Single</v>
      </c>
      <c r="C9" s="8" t="str">
        <f>VLOOKUP(C$5, config!$B$4:$D$14,3,FALSE)</f>
        <v>*CO2*,-*CO2S</v>
      </c>
      <c r="D9" s="8" t="str">
        <f>VLOOKUP(D$5, config!$B$4:$D$14,3,FALSE)</f>
        <v>ENV</v>
      </c>
      <c r="F9" s="8" t="str">
        <f>VLOOKUP(F$5, config!$B$4:$D$14,3,FALSE)</f>
        <v>2051-2100</v>
      </c>
      <c r="G9" s="8" t="str">
        <f>VLOOKUP(G$5, config!$B$4:$D$14,3,FALSE)</f>
        <v>NET</v>
      </c>
      <c r="H9" s="8" t="str">
        <f>VLOOKUP(H$5, config!$B$4:$D$14,3,FALSE)</f>
        <v>UP</v>
      </c>
      <c r="I9" s="8">
        <f>VLOOKUP(I$5, config!$B$4:$D$14,3,FALSE)</f>
        <v>1</v>
      </c>
      <c r="K9" s="8">
        <f>VLOOKUP("Value", config!$B$4:$D$14,3,FALSE)*1000</f>
        <v>0</v>
      </c>
      <c r="L9" s="8" t="str">
        <f>VLOOKUP($L$5, config!$B$4:$D$14,3,FALSE) &amp; " - Single"</f>
        <v>Carbon budget 0 Mt 2051-2100 - Single</v>
      </c>
    </row>
    <row r="10" spans="1:12" x14ac:dyDescent="0.25">
      <c r="C10" s="8" t="str">
        <f>VLOOKUP(C$5, config!$B$4:$D$14,3,FALSE)</f>
        <v>*CO2*,-*CO2S</v>
      </c>
      <c r="D10" s="8" t="str">
        <f>VLOOKUP(D$5, config!$B$4:$D$14,3,FALSE)</f>
        <v>ENV</v>
      </c>
      <c r="E10" s="8" t="str">
        <f>VLOOKUP(E$5, config!$B$4:$D$14,3,FALSE)</f>
        <v>T-A*INT*,T-NAV*</v>
      </c>
      <c r="F10" s="8" t="str">
        <f>VLOOKUP(F$5, config!$B$4:$D$14,3,FALSE)</f>
        <v>2051-2100</v>
      </c>
      <c r="J10" s="8">
        <f>VLOOKUP(J$5, config!$B$4:$D$14,3,FALSE)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0"/>
  <sheetViews>
    <sheetView workbookViewId="0">
      <selection activeCell="L10" sqref="L10"/>
    </sheetView>
  </sheetViews>
  <sheetFormatPr defaultRowHeight="15" x14ac:dyDescent="0.25"/>
  <cols>
    <col min="1" max="1" width="9.140625" style="8"/>
    <col min="2" max="2" width="30.7109375" style="8" customWidth="1"/>
    <col min="3" max="3" width="13.57031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8.42578125" style="8" bestFit="1" customWidth="1"/>
    <col min="12" max="12" width="36.5703125" style="8" bestFit="1" customWidth="1"/>
    <col min="13" max="16384" width="9.140625" style="8"/>
  </cols>
  <sheetData>
    <row r="1" spans="1:12" x14ac:dyDescent="0.25">
      <c r="A1" s="8" t="s">
        <v>66</v>
      </c>
    </row>
    <row r="2" spans="1:12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25">
      <c r="B3" s="11" t="s">
        <v>76</v>
      </c>
    </row>
    <row r="4" spans="1:12" x14ac:dyDescent="0.25">
      <c r="H4" s="8" t="str">
        <f>IF(RIGHT(B2,1)&lt;&gt;" ","~UC_T","")</f>
        <v>~UC_T</v>
      </c>
    </row>
    <row r="5" spans="1:12" x14ac:dyDescent="0.25">
      <c r="B5" s="12" t="s">
        <v>61</v>
      </c>
      <c r="C5" s="13" t="s">
        <v>62</v>
      </c>
      <c r="D5" s="13" t="s">
        <v>74</v>
      </c>
      <c r="E5" s="13" t="s">
        <v>83</v>
      </c>
      <c r="F5" s="13" t="s">
        <v>75</v>
      </c>
      <c r="G5" s="13" t="s">
        <v>78</v>
      </c>
      <c r="H5" s="13" t="s">
        <v>0</v>
      </c>
      <c r="I5" s="14" t="s">
        <v>77</v>
      </c>
      <c r="J5" s="14" t="s">
        <v>82</v>
      </c>
      <c r="K5" s="10" t="s">
        <v>67</v>
      </c>
      <c r="L5" s="12" t="s">
        <v>63</v>
      </c>
    </row>
    <row r="6" spans="1:12" x14ac:dyDescent="0.25">
      <c r="B6" s="9" t="s">
        <v>72</v>
      </c>
      <c r="C6" s="9"/>
      <c r="D6" s="9"/>
      <c r="E6" s="9"/>
      <c r="F6" s="9"/>
      <c r="G6" s="9"/>
      <c r="H6" s="9"/>
      <c r="I6" s="9"/>
      <c r="J6" s="9"/>
      <c r="K6" s="9" t="s">
        <v>73</v>
      </c>
      <c r="L6" s="9"/>
    </row>
    <row r="7" spans="1:12" x14ac:dyDescent="0.25">
      <c r="B7" s="8" t="str">
        <f>VLOOKUP(B$5, config!$B$4:$D$14,2,FALSE) &amp; "_Multi"</f>
        <v>UC_CB_420_Mt_2018-2050_Multi</v>
      </c>
      <c r="C7" s="8" t="str">
        <f>VLOOKUP(C$5, config!$B$4:$D$14,2,FALSE)</f>
        <v>*CO2*,-*CO2S</v>
      </c>
      <c r="D7" s="8" t="str">
        <f>VLOOKUP(D$5, config!$B$4:$D$14,2,FALSE)</f>
        <v>ENV</v>
      </c>
      <c r="F7" s="8" t="str">
        <f>VLOOKUP(F$5, config!$B$4:$D$14,2,FALSE)</f>
        <v>2018-2050</v>
      </c>
      <c r="G7" s="8" t="str">
        <f>VLOOKUP(G$5, config!$B$4:$D$14,2,FALSE)</f>
        <v>NET</v>
      </c>
      <c r="H7" s="8" t="str">
        <f>VLOOKUP(H$5, config!$B$4:$D$14,2,FALSE)</f>
        <v>UP</v>
      </c>
      <c r="I7" s="8">
        <f>VLOOKUP(I$5, config!$B$4:$D$14,2,FALSE)</f>
        <v>1</v>
      </c>
      <c r="K7" s="8">
        <f>VLOOKUP("Value", config!$B$4:$D$14,2,FALSE)*1000</f>
        <v>420000</v>
      </c>
      <c r="L7" s="8" t="str">
        <f>VLOOKUP(L$5, config!$B$4:$D$14,2,FALSE) &amp; " - Multi"</f>
        <v>Carbon budget 420 Mt 2018-2050 - Multi</v>
      </c>
    </row>
    <row r="8" spans="1:12" x14ac:dyDescent="0.25">
      <c r="C8" s="8" t="str">
        <f>VLOOKUP(C$5, config!$B$4:$D$14,2,FALSE)</f>
        <v>*CO2*,-*CO2S</v>
      </c>
      <c r="D8" s="8" t="str">
        <f>VLOOKUP(D$5, config!$B$4:$D$14,2,FALSE)</f>
        <v>ENV</v>
      </c>
      <c r="E8" s="8" t="str">
        <f>VLOOKUP(E$5, config!$B$4:$D$14,2,FALSE)</f>
        <v>T-A*INT*,T-NAV*</v>
      </c>
      <c r="F8" s="8" t="str">
        <f>VLOOKUP(F$5, config!$B$4:$D$14,2,FALSE)</f>
        <v>2018-2050</v>
      </c>
      <c r="J8" s="8">
        <f>VLOOKUP(J$5, config!$B$4:$D$14,2,FALSE)</f>
        <v>-1</v>
      </c>
    </row>
    <row r="9" spans="1:12" x14ac:dyDescent="0.25">
      <c r="B9" s="8" t="str">
        <f>VLOOKUP(B$5, config!$B$4:$D$14,3,FALSE) &amp; "_Multi"</f>
        <v>UC_CB_0_Mt_2051-2100_Multi</v>
      </c>
      <c r="C9" s="8" t="str">
        <f>VLOOKUP(C$5, config!$B$4:$D$14,3,FALSE)</f>
        <v>*CO2*,-*CO2S</v>
      </c>
      <c r="D9" s="8" t="str">
        <f>VLOOKUP(D$5, config!$B$4:$D$14,3,FALSE)</f>
        <v>ENV</v>
      </c>
      <c r="F9" s="8" t="str">
        <f>VLOOKUP(F$5, config!$B$4:$D$14,3,FALSE)</f>
        <v>2051-2100</v>
      </c>
      <c r="G9" s="8" t="str">
        <f>VLOOKUP(G$5, config!$B$4:$D$14,3,FALSE)</f>
        <v>NET</v>
      </c>
      <c r="H9" s="8" t="str">
        <f>VLOOKUP(H$5, config!$B$4:$D$14,3,FALSE)</f>
        <v>UP</v>
      </c>
      <c r="I9" s="8">
        <f>VLOOKUP(I$5, config!$B$4:$D$14,3,FALSE)</f>
        <v>1</v>
      </c>
      <c r="K9" s="8">
        <f>VLOOKUP("Value", config!$B$4:$D$14,3,FALSE)*1000</f>
        <v>0</v>
      </c>
      <c r="L9" s="8" t="str">
        <f>VLOOKUP(L$5, config!$B$4:$D$14,3,FALSE) &amp; " - Multi"</f>
        <v>Carbon budget 0 Mt 2051-2100 - Multi</v>
      </c>
    </row>
    <row r="10" spans="1:12" x14ac:dyDescent="0.25">
      <c r="C10" s="8" t="str">
        <f>VLOOKUP(C$5, config!$B$4:$D$14,3,FALSE)</f>
        <v>*CO2*,-*CO2S</v>
      </c>
      <c r="D10" s="8" t="str">
        <f>VLOOKUP(D$5, config!$B$4:$D$14,3,FALSE)</f>
        <v>ENV</v>
      </c>
      <c r="E10" s="8" t="str">
        <f>VLOOKUP(E$5, config!$B$4:$D$14,3,FALSE)</f>
        <v>T-A*INT*,T-NAV*</v>
      </c>
      <c r="F10" s="8" t="str">
        <f>VLOOKUP(F$5, config!$B$4:$D$14,3,FALSE)</f>
        <v>2051-2100</v>
      </c>
      <c r="J10" s="8">
        <f>VLOOKUP(J$5, config!$B$4:$D$14,3,FALSE)</f>
        <v>-1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6" t="s">
        <v>86</v>
      </c>
      <c r="C2" s="8"/>
      <c r="D2" s="8"/>
      <c r="E2" s="8"/>
      <c r="F2" s="8"/>
      <c r="G2" s="8"/>
      <c r="H2" s="8"/>
    </row>
    <row r="3" spans="2:8" ht="15.75" thickBot="1" x14ac:dyDescent="0.3">
      <c r="B3" s="17" t="s">
        <v>87</v>
      </c>
      <c r="C3" s="17" t="s">
        <v>0</v>
      </c>
      <c r="D3" s="17" t="s">
        <v>88</v>
      </c>
      <c r="E3" s="17" t="s">
        <v>75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B4" s="8"/>
      <c r="C4" s="10" t="s">
        <v>89</v>
      </c>
      <c r="D4" s="8" t="s">
        <v>90</v>
      </c>
      <c r="E4" s="8">
        <v>0</v>
      </c>
      <c r="F4" s="8" t="s">
        <v>91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2021-11-17T12:47:37Z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93120753765106</vt:r8>
  </property>
</Properties>
</file>