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filterPrivacy="1" codeName="ThisWorkbook" defaultThemeVersion="124226"/>
  <xr:revisionPtr revIDLastSave="0" documentId="13_ncr:1_{82F1E994-735D-4B3F-8F4D-CF70D7DE1E18}" xr6:coauthVersionLast="47" xr6:coauthVersionMax="47" xr10:uidLastSave="{00000000-0000-0000-0000-000000000000}"/>
  <bookViews>
    <workbookView xWindow="-120" yWindow="-120" windowWidth="29040" windowHeight="15840" xr2:uid="{34F9D92C-266F-476D-89E0-63153305AC39}"/>
  </bookViews>
  <sheets>
    <sheet name="Cover" sheetId="62" r:id="rId1"/>
    <sheet name="Cover_old" sheetId="34" r:id="rId2"/>
    <sheet name="Intro" sheetId="35" r:id="rId3"/>
    <sheet name="RSD_Building" sheetId="56" r:id="rId4"/>
    <sheet name="RSD_Heating" sheetId="55" r:id="rId5"/>
    <sheet name="RSD_Cook+App" sheetId="58" r:id="rId6"/>
    <sheet name="RSD_Light+Pumps+Fans" sheetId="59" r:id="rId7"/>
    <sheet name="JRC_Data" sheetId="60" r:id="rId8"/>
    <sheet name="DistrictHeating" sheetId="61" r:id="rId9"/>
  </sheets>
  <externalReferences>
    <externalReference r:id="rId10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56" l="1"/>
  <c r="I16" i="56"/>
  <c r="I21" i="56"/>
  <c r="I15" i="56"/>
  <c r="I10" i="56"/>
  <c r="I19" i="56"/>
  <c r="I13" i="56"/>
  <c r="I7" i="56"/>
  <c r="I9" i="56"/>
  <c r="Z52" i="61" l="1"/>
  <c r="AK40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83" i="55" l="1"/>
  <c r="C81" i="55"/>
  <c r="C80" i="55"/>
  <c r="C78" i="55"/>
  <c r="C77" i="55"/>
  <c r="C75" i="55"/>
  <c r="C73" i="55"/>
  <c r="C72" i="55"/>
  <c r="C70" i="55"/>
  <c r="C69" i="55"/>
  <c r="C68" i="55"/>
  <c r="C67" i="55"/>
  <c r="C66" i="55"/>
  <c r="C65" i="55"/>
  <c r="C64" i="55"/>
  <c r="C62" i="55"/>
  <c r="C58" i="55"/>
  <c r="C57" i="55"/>
  <c r="C56" i="55"/>
  <c r="C55" i="55"/>
  <c r="C54" i="55"/>
  <c r="C53" i="55"/>
  <c r="C52" i="55"/>
  <c r="C51" i="55"/>
  <c r="C50" i="55"/>
  <c r="C49" i="55"/>
  <c r="C48" i="55"/>
  <c r="C47" i="55"/>
  <c r="C46" i="55"/>
  <c r="C45" i="55"/>
  <c r="C106" i="55"/>
  <c r="C105" i="55"/>
  <c r="Z108" i="55"/>
  <c r="S108" i="55"/>
  <c r="R108" i="55"/>
  <c r="Q108" i="55"/>
  <c r="P108" i="55"/>
  <c r="Z107" i="55"/>
  <c r="S106" i="55"/>
  <c r="R106" i="55"/>
  <c r="Q106" i="55"/>
  <c r="P106" i="55"/>
  <c r="AF59" i="55" l="1"/>
  <c r="S58" i="55"/>
  <c r="R58" i="55"/>
  <c r="Q58" i="55"/>
  <c r="P58" i="55"/>
  <c r="Z60" i="55"/>
  <c r="Z59" i="55"/>
  <c r="Z102" i="55" l="1"/>
  <c r="Z101" i="55"/>
  <c r="Z54" i="55"/>
  <c r="Z53" i="55"/>
  <c r="Z12" i="55"/>
  <c r="Z11" i="55"/>
  <c r="W11" i="55"/>
  <c r="X11" i="55"/>
  <c r="Y11" i="55"/>
  <c r="V11" i="55"/>
  <c r="I14" i="56" l="1"/>
  <c r="I18" i="56"/>
  <c r="I8" i="56"/>
  <c r="I12" i="56"/>
  <c r="AH24" i="56"/>
  <c r="AH23" i="56"/>
  <c r="I6" i="56" l="1"/>
  <c r="AI123" i="55" l="1"/>
  <c r="AF106" i="55"/>
  <c r="AF105" i="55"/>
  <c r="AF48" i="55"/>
  <c r="AI75" i="55"/>
  <c r="AI28" i="55"/>
  <c r="AF73" i="55"/>
  <c r="AF58" i="55"/>
  <c r="AF57" i="55"/>
  <c r="AM106" i="55"/>
  <c r="AM105" i="55"/>
  <c r="AM57" i="55"/>
  <c r="AM58" i="55"/>
  <c r="I123" i="55"/>
  <c r="J123" i="55"/>
  <c r="K123" i="55"/>
  <c r="H123" i="55"/>
  <c r="I75" i="55"/>
  <c r="J75" i="55"/>
  <c r="K75" i="55"/>
  <c r="H75" i="55"/>
  <c r="H28" i="55"/>
  <c r="I28" i="55"/>
  <c r="J28" i="55"/>
  <c r="K28" i="55"/>
  <c r="I121" i="55" l="1"/>
  <c r="J121" i="55"/>
  <c r="K121" i="55"/>
  <c r="H121" i="55"/>
  <c r="H73" i="55"/>
  <c r="I120" i="55"/>
  <c r="J120" i="55"/>
  <c r="K120" i="55"/>
  <c r="H120" i="55"/>
  <c r="H72" i="55"/>
  <c r="P28" i="55"/>
  <c r="I73" i="55"/>
  <c r="J73" i="55"/>
  <c r="K73" i="55"/>
  <c r="H26" i="55"/>
  <c r="I26" i="55"/>
  <c r="J26" i="55"/>
  <c r="K26" i="55"/>
  <c r="I72" i="55"/>
  <c r="J72" i="55"/>
  <c r="K72" i="55"/>
  <c r="H25" i="55"/>
  <c r="I25" i="55"/>
  <c r="J25" i="55"/>
  <c r="K25" i="55"/>
  <c r="Q28" i="55"/>
  <c r="I18" i="55" l="1"/>
  <c r="I17" i="55" s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F131" i="55"/>
  <c r="AF129" i="55"/>
  <c r="AF128" i="55"/>
  <c r="AF126" i="55"/>
  <c r="AF125" i="55"/>
  <c r="AF123" i="55"/>
  <c r="AF121" i="55"/>
  <c r="AF120" i="55"/>
  <c r="AF118" i="55"/>
  <c r="AF117" i="55"/>
  <c r="AF116" i="55"/>
  <c r="AF115" i="55"/>
  <c r="AF114" i="55"/>
  <c r="AF113" i="55"/>
  <c r="AF112" i="55"/>
  <c r="AF110" i="55"/>
  <c r="AF108" i="55"/>
  <c r="AF107" i="55"/>
  <c r="AF104" i="55"/>
  <c r="AF103" i="55"/>
  <c r="AF102" i="55"/>
  <c r="AF101" i="55"/>
  <c r="AF100" i="55"/>
  <c r="AF99" i="55"/>
  <c r="AF98" i="55"/>
  <c r="AF97" i="55"/>
  <c r="AF96" i="55"/>
  <c r="AF95" i="55"/>
  <c r="AF94" i="55"/>
  <c r="AF93" i="55"/>
  <c r="AF83" i="55"/>
  <c r="AF81" i="55"/>
  <c r="AF80" i="55"/>
  <c r="AF78" i="55"/>
  <c r="AF77" i="55"/>
  <c r="AF75" i="55"/>
  <c r="AF72" i="55"/>
  <c r="AF70" i="55"/>
  <c r="AF69" i="55"/>
  <c r="AF68" i="55"/>
  <c r="AF67" i="55"/>
  <c r="AF66" i="55"/>
  <c r="AF65" i="55"/>
  <c r="AF64" i="55"/>
  <c r="AF62" i="55"/>
  <c r="AF60" i="55"/>
  <c r="AF56" i="55"/>
  <c r="AF55" i="55"/>
  <c r="AF54" i="55"/>
  <c r="AF53" i="55"/>
  <c r="AF52" i="55"/>
  <c r="AF51" i="55"/>
  <c r="AF50" i="55"/>
  <c r="AF49" i="55"/>
  <c r="AF47" i="55"/>
  <c r="AF46" i="55"/>
  <c r="AF45" i="55"/>
  <c r="AF37" i="55"/>
  <c r="AF36" i="55"/>
  <c r="AF34" i="55"/>
  <c r="AF33" i="55"/>
  <c r="AF31" i="55"/>
  <c r="AF30" i="55"/>
  <c r="AF28" i="55"/>
  <c r="AF26" i="55"/>
  <c r="AF25" i="55"/>
  <c r="AF23" i="55"/>
  <c r="AF22" i="55"/>
  <c r="AF21" i="55"/>
  <c r="AF20" i="55"/>
  <c r="AF19" i="55"/>
  <c r="AF18" i="55"/>
  <c r="AF16" i="55"/>
  <c r="AF14" i="55"/>
  <c r="AF13" i="55"/>
  <c r="AF12" i="55"/>
  <c r="AF11" i="55"/>
  <c r="AF10" i="55"/>
  <c r="AF9" i="55"/>
  <c r="AF8" i="55"/>
  <c r="AF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03" i="55" l="1"/>
  <c r="X103" i="55"/>
  <c r="W103" i="55"/>
  <c r="Y55" i="55"/>
  <c r="X55" i="55"/>
  <c r="W55" i="55"/>
  <c r="Y99" i="55"/>
  <c r="X99" i="55"/>
  <c r="W99" i="55"/>
  <c r="W97" i="55"/>
  <c r="W101" i="55" s="1"/>
  <c r="X97" i="55"/>
  <c r="X101" i="55" s="1"/>
  <c r="Y97" i="55"/>
  <c r="Y101" i="55" s="1"/>
  <c r="V97" i="55"/>
  <c r="V101" i="55" s="1"/>
  <c r="Y114" i="55"/>
  <c r="W114" i="55"/>
  <c r="X114" i="55" s="1"/>
  <c r="Y66" i="55"/>
  <c r="W66" i="55"/>
  <c r="Y51" i="55"/>
  <c r="X51" i="55"/>
  <c r="W51" i="55"/>
  <c r="W49" i="55"/>
  <c r="X49" i="55"/>
  <c r="Y49" i="55"/>
  <c r="V49" i="55"/>
  <c r="Z47" i="55"/>
  <c r="Z48" i="55"/>
  <c r="Y20" i="55"/>
  <c r="W20" i="55"/>
  <c r="X20" i="55" s="1"/>
  <c r="Y53" i="55" l="1"/>
  <c r="X53" i="55"/>
  <c r="V53" i="55"/>
  <c r="W45" i="55"/>
  <c r="W59" i="55" s="1"/>
  <c r="W53" i="55"/>
  <c r="W93" i="55"/>
  <c r="W107" i="55" s="1"/>
  <c r="V93" i="55"/>
  <c r="V107" i="55" s="1"/>
  <c r="X93" i="55"/>
  <c r="X107" i="55" s="1"/>
  <c r="Y93" i="55"/>
  <c r="Y107" i="55" s="1"/>
  <c r="V45" i="55"/>
  <c r="V59" i="55" s="1"/>
  <c r="Y45" i="55"/>
  <c r="Y59" i="55" s="1"/>
  <c r="X45" i="55"/>
  <c r="X59" i="55" s="1"/>
  <c r="X66" i="55"/>
  <c r="Y13" i="55"/>
  <c r="X13" i="55"/>
  <c r="W9" i="55" l="1"/>
  <c r="W7" i="55" s="1"/>
  <c r="X9" i="55"/>
  <c r="X7" i="55" s="1"/>
  <c r="Y9" i="55"/>
  <c r="Y7" i="55" s="1"/>
  <c r="Z131" i="55" l="1"/>
  <c r="Z83" i="55"/>
  <c r="Z129" i="55"/>
  <c r="Z128" i="55"/>
  <c r="Z80" i="55"/>
  <c r="Z126" i="55"/>
  <c r="Z125" i="55"/>
  <c r="Z77" i="55"/>
  <c r="Z123" i="55"/>
  <c r="Z75" i="55"/>
  <c r="Z121" i="55"/>
  <c r="Z120" i="55"/>
  <c r="Z72" i="55"/>
  <c r="Z118" i="55"/>
  <c r="Z117" i="55"/>
  <c r="Z69" i="55"/>
  <c r="Z116" i="55"/>
  <c r="Z68" i="55"/>
  <c r="Z113" i="55"/>
  <c r="Z112" i="55"/>
  <c r="Z64" i="55"/>
  <c r="Z110" i="55"/>
  <c r="Z62" i="55"/>
  <c r="Z100" i="55"/>
  <c r="Z96" i="55"/>
  <c r="Z95" i="55"/>
  <c r="S121" i="55"/>
  <c r="R120" i="55"/>
  <c r="R115" i="55"/>
  <c r="AM93" i="55"/>
  <c r="P94" i="55"/>
  <c r="Q94" i="55"/>
  <c r="R94" i="55"/>
  <c r="S94" i="55"/>
  <c r="AM94" i="55"/>
  <c r="P95" i="55"/>
  <c r="Q95" i="55"/>
  <c r="R95" i="55"/>
  <c r="S95" i="55"/>
  <c r="AM95" i="55"/>
  <c r="P96" i="55"/>
  <c r="Q96" i="55"/>
  <c r="R96" i="55"/>
  <c r="S96" i="55"/>
  <c r="AM96" i="55"/>
  <c r="Q120" i="55"/>
  <c r="S115" i="55"/>
  <c r="S120" i="55"/>
  <c r="P121" i="55"/>
  <c r="C131" i="55"/>
  <c r="AL124" i="55" s="1"/>
  <c r="C129" i="55"/>
  <c r="AL123" i="55" s="1"/>
  <c r="C128" i="55"/>
  <c r="AL122" i="55" s="1"/>
  <c r="C126" i="55"/>
  <c r="AL121" i="55" s="1"/>
  <c r="C125" i="55"/>
  <c r="AL120" i="55" s="1"/>
  <c r="C123" i="55"/>
  <c r="AL119" i="55" s="1"/>
  <c r="C121" i="55"/>
  <c r="AL118" i="55" s="1"/>
  <c r="C120" i="55"/>
  <c r="AL117" i="55" s="1"/>
  <c r="C118" i="55"/>
  <c r="AL116" i="55" s="1"/>
  <c r="C117" i="55"/>
  <c r="C116" i="55"/>
  <c r="AL114" i="55" s="1"/>
  <c r="C115" i="55"/>
  <c r="AL113" i="55" s="1"/>
  <c r="C114" i="55"/>
  <c r="AL112" i="55" s="1"/>
  <c r="C113" i="55"/>
  <c r="AL111" i="55" s="1"/>
  <c r="C112" i="55"/>
  <c r="AL110" i="55" s="1"/>
  <c r="C110" i="55"/>
  <c r="AL109" i="55" s="1"/>
  <c r="C104" i="55"/>
  <c r="AL104" i="55" s="1"/>
  <c r="C103" i="55"/>
  <c r="C102" i="55"/>
  <c r="AL102" i="55" s="1"/>
  <c r="C101" i="55"/>
  <c r="AL101" i="55" s="1"/>
  <c r="C100" i="55"/>
  <c r="AL100" i="55" s="1"/>
  <c r="C99" i="55"/>
  <c r="AL99" i="55" s="1"/>
  <c r="C98" i="55"/>
  <c r="AL98" i="55" s="1"/>
  <c r="C97" i="55"/>
  <c r="AL97" i="55" s="1"/>
  <c r="C96" i="55"/>
  <c r="AL96" i="55" s="1"/>
  <c r="C95" i="55"/>
  <c r="AL95" i="55" s="1"/>
  <c r="C94" i="55"/>
  <c r="AL94" i="55" s="1"/>
  <c r="C93" i="55"/>
  <c r="AL93" i="55" s="1"/>
  <c r="AM124" i="55"/>
  <c r="AM123" i="55"/>
  <c r="S123" i="55"/>
  <c r="R123" i="55"/>
  <c r="Q123" i="55"/>
  <c r="P123" i="55"/>
  <c r="AM122" i="55"/>
  <c r="AM121" i="55"/>
  <c r="R121" i="55"/>
  <c r="Q121" i="55"/>
  <c r="AM120" i="55"/>
  <c r="P120" i="55"/>
  <c r="AM119" i="55"/>
  <c r="AM118" i="55"/>
  <c r="AM117" i="55"/>
  <c r="AM116" i="55"/>
  <c r="S116" i="55"/>
  <c r="R116" i="55"/>
  <c r="Q116" i="55"/>
  <c r="P116" i="55"/>
  <c r="AM115" i="55"/>
  <c r="AL115" i="55"/>
  <c r="P115" i="55"/>
  <c r="Q115" i="55"/>
  <c r="AM114" i="55"/>
  <c r="AM113" i="55"/>
  <c r="AM112" i="55"/>
  <c r="AM111" i="55"/>
  <c r="AM110" i="55"/>
  <c r="AM109" i="55"/>
  <c r="AM108" i="55"/>
  <c r="AL108" i="55"/>
  <c r="AM107" i="55"/>
  <c r="AL107" i="55"/>
  <c r="AM104" i="55"/>
  <c r="S104" i="55"/>
  <c r="R104" i="55"/>
  <c r="Q104" i="55"/>
  <c r="P104" i="55"/>
  <c r="AM103" i="55"/>
  <c r="AL103" i="55"/>
  <c r="AM102" i="55"/>
  <c r="S102" i="55"/>
  <c r="R102" i="55"/>
  <c r="Q102" i="55"/>
  <c r="P102" i="55"/>
  <c r="AM101" i="55"/>
  <c r="AM100" i="55"/>
  <c r="S100" i="55"/>
  <c r="R100" i="55"/>
  <c r="Q100" i="55"/>
  <c r="P100" i="55"/>
  <c r="AM99" i="55"/>
  <c r="S99" i="55"/>
  <c r="R99" i="55"/>
  <c r="Q99" i="55"/>
  <c r="P99" i="55"/>
  <c r="AM98" i="55"/>
  <c r="S98" i="55"/>
  <c r="R98" i="55"/>
  <c r="Q98" i="55"/>
  <c r="P98" i="55"/>
  <c r="AM97" i="55"/>
  <c r="Z36" i="55"/>
  <c r="N83" i="55"/>
  <c r="O83" i="55"/>
  <c r="M83" i="55"/>
  <c r="M36" i="55"/>
  <c r="Z33" i="55"/>
  <c r="Z81" i="55"/>
  <c r="Z34" i="55"/>
  <c r="Z78" i="55"/>
  <c r="Z30" i="55"/>
  <c r="Z28" i="55"/>
  <c r="Z73" i="55"/>
  <c r="Z25" i="55"/>
  <c r="Z70" i="55"/>
  <c r="M70" i="55"/>
  <c r="N70" i="55"/>
  <c r="O70" i="55"/>
  <c r="L70" i="55"/>
  <c r="I70" i="55"/>
  <c r="J70" i="55"/>
  <c r="K70" i="55"/>
  <c r="H70" i="55"/>
  <c r="I69" i="55"/>
  <c r="J69" i="55"/>
  <c r="K69" i="55"/>
  <c r="H69" i="55"/>
  <c r="H23" i="55"/>
  <c r="J67" i="55"/>
  <c r="K67" i="55"/>
  <c r="I67" i="55"/>
  <c r="J66" i="55"/>
  <c r="K66" i="55"/>
  <c r="I66" i="55"/>
  <c r="I20" i="55"/>
  <c r="N65" i="55"/>
  <c r="O65" i="55"/>
  <c r="M65" i="55"/>
  <c r="J65" i="55"/>
  <c r="K65" i="55"/>
  <c r="I65" i="55"/>
  <c r="J64" i="55"/>
  <c r="K64" i="55"/>
  <c r="I64" i="55"/>
  <c r="Z65" i="55"/>
  <c r="Z18" i="55"/>
  <c r="Z16" i="55"/>
  <c r="Z52" i="55" l="1"/>
  <c r="AL59" i="55"/>
  <c r="AM59" i="55"/>
  <c r="AL60" i="55"/>
  <c r="AM60" i="55"/>
  <c r="P60" i="55"/>
  <c r="Q60" i="55"/>
  <c r="R60" i="55"/>
  <c r="S60" i="55"/>
  <c r="AM30" i="55"/>
  <c r="C37" i="55"/>
  <c r="AL30" i="55" s="1"/>
  <c r="Z37" i="55"/>
  <c r="W37" i="55"/>
  <c r="X37" i="55"/>
  <c r="Y37" i="55"/>
  <c r="V37" i="55"/>
  <c r="N37" i="55"/>
  <c r="O37" i="55"/>
  <c r="M37" i="55"/>
  <c r="N36" i="55"/>
  <c r="O36" i="55"/>
  <c r="Z31" i="55"/>
  <c r="C31" i="55"/>
  <c r="Z26" i="55"/>
  <c r="Z23" i="55"/>
  <c r="Z22" i="55"/>
  <c r="Z19" i="55"/>
  <c r="N23" i="55"/>
  <c r="O23" i="55"/>
  <c r="M23" i="55"/>
  <c r="I23" i="55"/>
  <c r="N19" i="55"/>
  <c r="O19" i="55"/>
  <c r="M19" i="55"/>
  <c r="I19" i="55"/>
  <c r="J23" i="55"/>
  <c r="K23" i="55"/>
  <c r="I22" i="55"/>
  <c r="J22" i="55"/>
  <c r="K22" i="55"/>
  <c r="H22" i="55"/>
  <c r="H20" i="55"/>
  <c r="I21" i="55"/>
  <c r="J21" i="55"/>
  <c r="K21" i="55"/>
  <c r="H21" i="55"/>
  <c r="J20" i="55"/>
  <c r="K20" i="55"/>
  <c r="J19" i="55"/>
  <c r="K19" i="55"/>
  <c r="K18" i="55"/>
  <c r="J18" i="55"/>
  <c r="J17" i="55" s="1"/>
  <c r="V151" i="55"/>
  <c r="U151" i="55" s="1"/>
  <c r="U150" i="55"/>
  <c r="U152" i="55"/>
  <c r="U153" i="55"/>
  <c r="U154" i="55"/>
  <c r="U149" i="55"/>
  <c r="V12" i="55" l="1"/>
  <c r="V25" i="55"/>
  <c r="V57" i="55"/>
  <c r="W57" i="55"/>
  <c r="X57" i="55"/>
  <c r="Y57" i="55"/>
  <c r="X58" i="55"/>
  <c r="Y58" i="55"/>
  <c r="V58" i="55"/>
  <c r="V47" i="55"/>
  <c r="W58" i="55"/>
  <c r="V54" i="55"/>
  <c r="Y54" i="55"/>
  <c r="W54" i="55"/>
  <c r="X54" i="55"/>
  <c r="V50" i="55"/>
  <c r="W106" i="55"/>
  <c r="X106" i="55"/>
  <c r="Y106" i="55"/>
  <c r="V106" i="55"/>
  <c r="V105" i="55"/>
  <c r="W105" i="55"/>
  <c r="X105" i="55"/>
  <c r="Y105" i="55"/>
  <c r="V110" i="55"/>
  <c r="K17" i="55"/>
  <c r="V104" i="55"/>
  <c r="X47" i="55"/>
  <c r="Y47" i="55"/>
  <c r="X48" i="55"/>
  <c r="X50" i="55"/>
  <c r="V48" i="55"/>
  <c r="W48" i="55"/>
  <c r="X56" i="55"/>
  <c r="Y56" i="55"/>
  <c r="V52" i="55"/>
  <c r="Y48" i="55"/>
  <c r="V56" i="55"/>
  <c r="W47" i="55"/>
  <c r="W50" i="55"/>
  <c r="Y50" i="55"/>
  <c r="X104" i="55"/>
  <c r="W56" i="55"/>
  <c r="W104" i="55"/>
  <c r="Y104" i="55"/>
  <c r="V115" i="55"/>
  <c r="V67" i="55"/>
  <c r="V21" i="55"/>
  <c r="V28" i="55" s="1"/>
  <c r="V10" i="55"/>
  <c r="V8" i="55" s="1"/>
  <c r="X115" i="55"/>
  <c r="W21" i="55"/>
  <c r="X21" i="55"/>
  <c r="Y67" i="55"/>
  <c r="Y75" i="55" s="1"/>
  <c r="W67" i="55"/>
  <c r="W115" i="55"/>
  <c r="Y21" i="55"/>
  <c r="Y28" i="55" s="1"/>
  <c r="Y115" i="55"/>
  <c r="Y123" i="55" s="1"/>
  <c r="X67" i="55"/>
  <c r="W12" i="55"/>
  <c r="X12" i="55"/>
  <c r="Y12" i="55"/>
  <c r="Y10" i="55"/>
  <c r="Y8" i="55" s="1"/>
  <c r="X10" i="55"/>
  <c r="X8" i="55" s="1"/>
  <c r="W10" i="55"/>
  <c r="W8" i="55" s="1"/>
  <c r="W98" i="55"/>
  <c r="X98" i="55"/>
  <c r="Y98" i="55"/>
  <c r="V98" i="55"/>
  <c r="W117" i="55"/>
  <c r="X117" i="55"/>
  <c r="V112" i="55"/>
  <c r="Y117" i="55"/>
  <c r="W112" i="55"/>
  <c r="X112" i="55"/>
  <c r="Y112" i="55"/>
  <c r="W110" i="55"/>
  <c r="X110" i="55"/>
  <c r="V117" i="55"/>
  <c r="Y110" i="55"/>
  <c r="Y120" i="55"/>
  <c r="V113" i="55"/>
  <c r="X96" i="55"/>
  <c r="W95" i="55"/>
  <c r="W121" i="55"/>
  <c r="Y96" i="55"/>
  <c r="X95" i="55"/>
  <c r="X121" i="55"/>
  <c r="V96" i="55"/>
  <c r="Y95" i="55"/>
  <c r="Y100" i="55"/>
  <c r="Y121" i="55"/>
  <c r="W118" i="55"/>
  <c r="V95" i="55"/>
  <c r="V121" i="55"/>
  <c r="X118" i="55"/>
  <c r="W116" i="55"/>
  <c r="V100" i="55"/>
  <c r="W100" i="55"/>
  <c r="Y118" i="55"/>
  <c r="X116" i="55"/>
  <c r="W113" i="55"/>
  <c r="X100" i="55"/>
  <c r="W120" i="55"/>
  <c r="V120" i="55"/>
  <c r="V118" i="55"/>
  <c r="Y116" i="55"/>
  <c r="X113" i="55"/>
  <c r="X120" i="55"/>
  <c r="V116" i="55"/>
  <c r="Y113" i="55"/>
  <c r="W96" i="55"/>
  <c r="V68" i="55"/>
  <c r="V62" i="55"/>
  <c r="V73" i="55"/>
  <c r="V72" i="55"/>
  <c r="V64" i="55"/>
  <c r="V69" i="55"/>
  <c r="W52" i="55"/>
  <c r="X52" i="55"/>
  <c r="V26" i="55"/>
  <c r="V19" i="55"/>
  <c r="V22" i="55"/>
  <c r="V16" i="55"/>
  <c r="V18" i="55"/>
  <c r="X70" i="55"/>
  <c r="X68" i="55"/>
  <c r="V65" i="55"/>
  <c r="W72" i="55"/>
  <c r="X72" i="55"/>
  <c r="W70" i="55"/>
  <c r="W68" i="55"/>
  <c r="Y72" i="55"/>
  <c r="W73" i="55"/>
  <c r="Y70" i="55"/>
  <c r="Y68" i="55"/>
  <c r="Y62" i="55"/>
  <c r="X73" i="55"/>
  <c r="V70" i="55"/>
  <c r="W65" i="55"/>
  <c r="Y73" i="55"/>
  <c r="X65" i="55"/>
  <c r="Y65" i="55"/>
  <c r="W62" i="55"/>
  <c r="X62" i="55"/>
  <c r="X69" i="55"/>
  <c r="W64" i="55"/>
  <c r="X64" i="55"/>
  <c r="Y69" i="55"/>
  <c r="Y64" i="55"/>
  <c r="W69" i="55"/>
  <c r="Y52" i="55"/>
  <c r="V148" i="55"/>
  <c r="W25" i="55"/>
  <c r="X19" i="55"/>
  <c r="V23" i="55"/>
  <c r="W19" i="55"/>
  <c r="Y23" i="55"/>
  <c r="X23" i="55"/>
  <c r="Y26" i="55"/>
  <c r="Y19" i="55"/>
  <c r="Y18" i="55"/>
  <c r="W23" i="55"/>
  <c r="X26" i="55"/>
  <c r="X18" i="55"/>
  <c r="Y22" i="55"/>
  <c r="Y25" i="55"/>
  <c r="W26" i="55"/>
  <c r="W18" i="55"/>
  <c r="X22" i="55"/>
  <c r="X25" i="55"/>
  <c r="W22" i="55"/>
  <c r="V14" i="55"/>
  <c r="Y16" i="55"/>
  <c r="X16" i="55"/>
  <c r="W16" i="55"/>
  <c r="W14" i="55"/>
  <c r="Y14" i="55"/>
  <c r="X14" i="55"/>
  <c r="W123" i="55" l="1"/>
  <c r="V75" i="55"/>
  <c r="W75" i="55"/>
  <c r="V123" i="55"/>
  <c r="X28" i="55"/>
  <c r="W28" i="55"/>
  <c r="X75" i="55"/>
  <c r="X123" i="55"/>
  <c r="X46" i="55"/>
  <c r="X60" i="55" s="1"/>
  <c r="V94" i="55"/>
  <c r="V108" i="55" s="1"/>
  <c r="V102" i="55"/>
  <c r="Y102" i="55"/>
  <c r="Y94" i="55"/>
  <c r="Y108" i="55" s="1"/>
  <c r="X94" i="55"/>
  <c r="X108" i="55" s="1"/>
  <c r="X102" i="55"/>
  <c r="Y46" i="55"/>
  <c r="Y60" i="55" s="1"/>
  <c r="W46" i="55"/>
  <c r="W60" i="55" s="1"/>
  <c r="W94" i="55"/>
  <c r="W108" i="55" s="1"/>
  <c r="W102" i="55"/>
  <c r="V46" i="55"/>
  <c r="V60" i="55" s="1"/>
  <c r="V147" i="55"/>
  <c r="U148" i="55"/>
  <c r="V125" i="55" l="1"/>
  <c r="Y125" i="55"/>
  <c r="V126" i="55"/>
  <c r="X125" i="55"/>
  <c r="W125" i="55"/>
  <c r="W126" i="55"/>
  <c r="X126" i="55"/>
  <c r="Y126" i="55"/>
  <c r="W131" i="55"/>
  <c r="X131" i="55"/>
  <c r="Y131" i="55"/>
  <c r="V131" i="55"/>
  <c r="V77" i="55"/>
  <c r="W77" i="55"/>
  <c r="X78" i="55"/>
  <c r="V78" i="55"/>
  <c r="V30" i="55"/>
  <c r="X77" i="55"/>
  <c r="W78" i="55"/>
  <c r="Y77" i="55"/>
  <c r="Y78" i="55"/>
  <c r="Y30" i="55"/>
  <c r="W31" i="55"/>
  <c r="W30" i="55"/>
  <c r="V31" i="55"/>
  <c r="X30" i="55"/>
  <c r="Y31" i="55"/>
  <c r="X31" i="55"/>
  <c r="U147" i="55"/>
  <c r="V146" i="55"/>
  <c r="V83" i="55" l="1"/>
  <c r="W83" i="55"/>
  <c r="Y83" i="55"/>
  <c r="X83" i="55"/>
  <c r="V145" i="55"/>
  <c r="U145" i="55" s="1"/>
  <c r="U146" i="55"/>
  <c r="X129" i="55" s="1"/>
  <c r="V81" i="55" l="1"/>
  <c r="V80" i="55"/>
  <c r="W129" i="55"/>
  <c r="Y128" i="55"/>
  <c r="X128" i="55"/>
  <c r="V128" i="55"/>
  <c r="W128" i="55"/>
  <c r="Y129" i="55"/>
  <c r="V129" i="55"/>
  <c r="Y81" i="55"/>
  <c r="X81" i="55"/>
  <c r="W80" i="55"/>
  <c r="X80" i="55"/>
  <c r="W81" i="55"/>
  <c r="V36" i="55"/>
  <c r="Y80" i="55"/>
  <c r="V34" i="55"/>
  <c r="V33" i="55"/>
  <c r="X36" i="55"/>
  <c r="Y36" i="55"/>
  <c r="W36" i="55"/>
  <c r="W33" i="55"/>
  <c r="X33" i="55"/>
  <c r="Y33" i="55"/>
  <c r="W34" i="55"/>
  <c r="X34" i="55"/>
  <c r="Y34" i="55"/>
  <c r="Q151" i="55" l="1"/>
  <c r="P151" i="55"/>
  <c r="P152" i="55"/>
  <c r="Q152" i="55"/>
  <c r="P153" i="55"/>
  <c r="Q153" i="55"/>
  <c r="P154" i="55"/>
  <c r="Q15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75" i="55"/>
  <c r="R75" i="55"/>
  <c r="Q75" i="55"/>
  <c r="P75" i="55"/>
  <c r="S73" i="55"/>
  <c r="R73" i="55"/>
  <c r="Q73" i="55"/>
  <c r="P73" i="55"/>
  <c r="S72" i="55"/>
  <c r="R72" i="55"/>
  <c r="Q72" i="55"/>
  <c r="P72" i="55"/>
  <c r="S68" i="55"/>
  <c r="R68" i="55"/>
  <c r="Q68" i="55"/>
  <c r="P68" i="55"/>
  <c r="S67" i="55"/>
  <c r="R67" i="55"/>
  <c r="Q67" i="55"/>
  <c r="P67" i="55"/>
  <c r="S56" i="55"/>
  <c r="R56" i="55"/>
  <c r="Q56" i="55"/>
  <c r="P56" i="55"/>
  <c r="S54" i="55"/>
  <c r="R54" i="55"/>
  <c r="Q54" i="55"/>
  <c r="P54" i="55"/>
  <c r="S52" i="55"/>
  <c r="R52" i="55"/>
  <c r="Q52" i="55"/>
  <c r="P52" i="55"/>
  <c r="S51" i="55"/>
  <c r="R51" i="55"/>
  <c r="Q51" i="55"/>
  <c r="P51" i="55"/>
  <c r="S50" i="55"/>
  <c r="R50" i="55"/>
  <c r="Q50" i="55"/>
  <c r="P50" i="55"/>
  <c r="S48" i="55"/>
  <c r="R48" i="55"/>
  <c r="Q48" i="55"/>
  <c r="P48" i="55"/>
  <c r="S47" i="55"/>
  <c r="R47" i="55"/>
  <c r="Q47" i="55"/>
  <c r="P47" i="55"/>
  <c r="S46" i="55"/>
  <c r="R46" i="55"/>
  <c r="Q46" i="55"/>
  <c r="P46" i="55"/>
  <c r="Q21" i="55"/>
  <c r="R21" i="55"/>
  <c r="S21" i="55"/>
  <c r="P21" i="55"/>
  <c r="S10" i="55"/>
  <c r="R10" i="55"/>
  <c r="Q10" i="55"/>
  <c r="P10" i="55"/>
  <c r="BD3" i="60" l="1"/>
  <c r="AZ3" i="60"/>
  <c r="AX3" i="60"/>
  <c r="AR3" i="60"/>
  <c r="AV3" i="60"/>
  <c r="AK37" i="56"/>
  <c r="BE3" i="60" l="1"/>
  <c r="AW3" i="60"/>
  <c r="BC3" i="60"/>
  <c r="BI3" i="60"/>
  <c r="BA3" i="60"/>
  <c r="AJ22" i="56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I20" i="56" s="1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AI23" i="56"/>
  <c r="AI24" i="56"/>
  <c r="AI25" i="56"/>
  <c r="AI26" i="56"/>
  <c r="AI27" i="56"/>
  <c r="AI28" i="56"/>
  <c r="AI29" i="56"/>
  <c r="AI30" i="56"/>
  <c r="AH25" i="56"/>
  <c r="AH26" i="56"/>
  <c r="AH27" i="56"/>
  <c r="AH28" i="56"/>
  <c r="AH29" i="56"/>
  <c r="AH30" i="56"/>
  <c r="AH31" i="56" l="1"/>
  <c r="BN3" i="60"/>
  <c r="BB3" i="60"/>
  <c r="BF3" i="60"/>
  <c r="BJ3" i="60"/>
  <c r="BH3" i="60"/>
  <c r="AH60" i="56"/>
  <c r="AJ31" i="56"/>
  <c r="AI31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AM62" i="55"/>
  <c r="AM61" i="55"/>
  <c r="AM56" i="55"/>
  <c r="AM55" i="55"/>
  <c r="AM54" i="55"/>
  <c r="AM53" i="55"/>
  <c r="AM52" i="55"/>
  <c r="AM51" i="55"/>
  <c r="AM50" i="55"/>
  <c r="AM49" i="55"/>
  <c r="AM48" i="55"/>
  <c r="AM47" i="55"/>
  <c r="AM46" i="55"/>
  <c r="AM45" i="55"/>
  <c r="AM8" i="55"/>
  <c r="AM9" i="55"/>
  <c r="AM10" i="55"/>
  <c r="AM11" i="55"/>
  <c r="AM12" i="55"/>
  <c r="AM13" i="55"/>
  <c r="AM14" i="55"/>
  <c r="AM15" i="55"/>
  <c r="AM16" i="55"/>
  <c r="AM17" i="55"/>
  <c r="AM18" i="55"/>
  <c r="AM19" i="55"/>
  <c r="AM20" i="55"/>
  <c r="AM21" i="55"/>
  <c r="AM22" i="55"/>
  <c r="AM23" i="55"/>
  <c r="AM24" i="55"/>
  <c r="AM25" i="55"/>
  <c r="AM26" i="55"/>
  <c r="AM27" i="55"/>
  <c r="AM28" i="55"/>
  <c r="AM29" i="55"/>
  <c r="AM7" i="55"/>
  <c r="AL76" i="55"/>
  <c r="AL75" i="55"/>
  <c r="AL74" i="55"/>
  <c r="AL73" i="55"/>
  <c r="AL72" i="55"/>
  <c r="AL71" i="55"/>
  <c r="AL70" i="55"/>
  <c r="AL69" i="55"/>
  <c r="AL68" i="55"/>
  <c r="AL67" i="55"/>
  <c r="AL66" i="55"/>
  <c r="AL65" i="55"/>
  <c r="AL64" i="55"/>
  <c r="AL63" i="55"/>
  <c r="AL62" i="55"/>
  <c r="AL61" i="55"/>
  <c r="AL56" i="55"/>
  <c r="AL55" i="55"/>
  <c r="AL54" i="55"/>
  <c r="AL53" i="55"/>
  <c r="AL52" i="55"/>
  <c r="AL51" i="55"/>
  <c r="AL50" i="55"/>
  <c r="AL49" i="55"/>
  <c r="AL48" i="55"/>
  <c r="AL47" i="55"/>
  <c r="AL46" i="55"/>
  <c r="AL4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28" i="55"/>
  <c r="S28" i="55"/>
  <c r="AL24" i="55" l="1"/>
  <c r="AL29" i="55"/>
  <c r="AL28" i="55"/>
  <c r="AL27" i="55"/>
  <c r="AL26" i="55" l="1"/>
  <c r="AL25" i="55"/>
  <c r="AL23" i="55"/>
  <c r="S26" i="55"/>
  <c r="R26" i="55"/>
  <c r="Q26" i="55"/>
  <c r="P26" i="55"/>
  <c r="AL22" i="55"/>
  <c r="S25" i="55"/>
  <c r="R25" i="55"/>
  <c r="Q25" i="55"/>
  <c r="P25" i="55"/>
  <c r="AL21" i="55"/>
  <c r="AL20" i="55"/>
  <c r="AL18" i="55"/>
  <c r="AL19" i="55"/>
  <c r="AL17" i="55" l="1"/>
  <c r="AL16" i="55"/>
  <c r="AL15" i="55"/>
  <c r="AL11" i="55"/>
  <c r="AL14" i="55"/>
  <c r="AL13" i="55"/>
  <c r="AL12" i="55"/>
  <c r="AL9" i="55"/>
  <c r="AL10" i="55"/>
  <c r="AL8" i="55"/>
  <c r="AL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G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H5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G6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72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75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75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77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80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93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93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94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9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112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2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G12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<sst xmlns="http://schemas.openxmlformats.org/spreadsheetml/2006/main" count="2207" uniqueCount="747">
  <si>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</si>
  <si>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</si>
  <si>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</si>
  <si>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</si>
  <si>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</si>
  <si>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</si>
  <si>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</si>
  <si>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</si>
  <si>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</si>
  <si>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</si>
  <si>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</si>
  <si>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</si>
  <si>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</si>
  <si>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</si>
  <si>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</si>
  <si>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</si>
  <si>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</si>
  <si>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</si>
  <si>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</si>
  <si>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</si>
  <si>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</si>
  <si>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</si>
  <si>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</si>
  <si>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</si>
  <si>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</si>
  <si>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</si>
  <si>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</si>
  <si>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</si>
  <si>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</si>
  <si>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</si>
  <si>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</si>
  <si>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</si>
  <si>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</si>
  <si>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</si>
  <si>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</si>
  <si>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</si>
  <si>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</si>
  <si>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</si>
  <si>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Sector:</t>
  </si>
  <si>
    <t>Jason Mc Guire + Energy Policy Modelling Group, UCC</t>
  </si>
  <si>
    <t>Version: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</si>
  <si>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</si>
  <si>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</si>
  <si>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</si>
  <si>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</si>
  <si>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</si>
  <si>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</si>
  <si>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</si>
  <si>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</si>
  <si>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</si>
  <si>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</si>
  <si>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</si>
  <si>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</si>
  <si>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</si>
  <si>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</si>
  <si>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</si>
  <si>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</si>
  <si>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</si>
  <si>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</si>
  <si>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</si>
  <si>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</si>
  <si>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</si>
  <si>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</si>
  <si>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</si>
  <si>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</si>
  <si>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</si>
  <si>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</si>
  <si>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</si>
  <si>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</si>
  <si>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</si>
  <si>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</si>
  <si>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</si>
  <si>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</si>
  <si>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</si>
  <si>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</si>
  <si>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</si>
  <si>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</si>
  <si>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</si>
  <si>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</si>
  <si>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</si>
  <si>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</si>
  <si>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</si>
  <si>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</si>
  <si>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</si>
  <si>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</si>
  <si>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</si>
  <si>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</si>
  <si>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</si>
  <si>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</si>
  <si>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</si>
  <si>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</si>
  <si>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</si>
  <si>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</si>
  <si>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</si>
  <si>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</si>
  <si>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</si>
  <si>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</si>
  <si>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</si>
  <si>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</si>
  <si>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</si>
  <si>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</si>
  <si>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</si>
  <si>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</si>
  <si>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</si>
  <si>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</si>
  <si>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</si>
  <si>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</si>
  <si>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</si>
  <si>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</si>
  <si>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</si>
  <si>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</si>
  <si>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</si>
  <si>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</si>
  <si>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</si>
  <si>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</si>
  <si>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</si>
  <si>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</si>
  <si>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</si>
  <si>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</si>
  <si>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</si>
  <si>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</si>
  <si>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</si>
  <si>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</si>
  <si>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</si>
  <si>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</si>
  <si>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</si>
  <si>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</si>
  <si>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</si>
  <si>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</si>
  <si>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</si>
  <si>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</si>
  <si>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</si>
  <si>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</si>
  <si>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</si>
  <si>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</si>
  <si>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</si>
  <si>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</si>
  <si>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</si>
  <si>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</si>
  <si>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</si>
  <si>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</si>
  <si>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</si>
  <si>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</si>
  <si>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</si>
  <si>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</si>
  <si>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</si>
  <si>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</si>
  <si>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</si>
  <si>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</si>
  <si>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</si>
  <si>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</si>
  <si>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</si>
  <si>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</si>
  <si>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</si>
  <si>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</si>
  <si>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</si>
  <si>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</si>
  <si>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</si>
  <si>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</si>
  <si>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</si>
  <si>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</si>
  <si>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</si>
  <si>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</si>
  <si>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</si>
  <si>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</si>
  <si>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</si>
  <si>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</si>
  <si>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</si>
  <si>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</si>
  <si>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</si>
  <si>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</si>
  <si>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</si>
  <si>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</si>
  <si>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</si>
  <si>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</si>
  <si>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</si>
  <si>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</si>
  <si>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</si>
  <si>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</si>
  <si>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</si>
  <si>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</si>
  <si>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</si>
  <si>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</si>
  <si>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</si>
  <si>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</si>
  <si>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</si>
  <si>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</si>
  <si>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</si>
  <si>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</si>
  <si>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</si>
  <si>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 xml:space="preserve">TIMES-Ireland Residential 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</si>
  <si>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</si>
  <si>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</si>
  <si>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</si>
  <si>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</si>
  <si>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</si>
  <si>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</si>
  <si>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</si>
  <si>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</si>
  <si>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</si>
  <si>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</si>
  <si>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</si>
  <si>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</si>
  <si>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</si>
  <si>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</si>
  <si>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</si>
  <si>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</si>
  <si>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</si>
  <si>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</si>
  <si>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</si>
  <si>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</si>
  <si>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</si>
  <si>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</si>
  <si>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</si>
  <si>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</si>
  <si>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</si>
  <si>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</si>
  <si>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</si>
  <si>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</si>
  <si>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</si>
  <si>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</si>
  <si>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</si>
  <si>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</si>
  <si>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</si>
  <si>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</si>
  <si>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</si>
  <si>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</si>
  <si>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</si>
  <si>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</si>
  <si>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</si>
  <si>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</si>
  <si>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</si>
  <si>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</si>
  <si>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</si>
  <si>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</si>
  <si>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</si>
  <si>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</si>
  <si>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</si>
  <si>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</si>
  <si>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</si>
  <si>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</si>
  <si>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</si>
  <si>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</si>
  <si>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</si>
  <si>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</si>
  <si>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</si>
  <si>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</si>
  <si>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</si>
  <si>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</si>
  <si>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</si>
  <si>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</si>
  <si>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</si>
  <si>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</si>
  <si>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</si>
  <si>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</si>
  <si>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</si>
  <si>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</si>
  <si>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</si>
  <si>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</si>
  <si>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INPUT~2020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</si>
  <si>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</si>
  <si>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</si>
  <si>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</si>
  <si>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</si>
  <si>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</si>
  <si>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</si>
  <si>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</si>
  <si>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</si>
  <si>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</si>
  <si>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</si>
  <si>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</si>
  <si>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</si>
  <si>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</si>
  <si>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</si>
  <si>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</si>
  <si>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</si>
  <si>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</si>
  <si>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</si>
  <si>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</si>
  <si>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</si>
  <si>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</si>
  <si>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</si>
  <si>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</si>
  <si>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</si>
  <si>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</si>
  <si>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</si>
  <si>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</si>
  <si>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</si>
  <si>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</si>
  <si>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</si>
  <si>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</si>
  <si>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</si>
  <si>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</si>
  <si>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</si>
  <si>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</si>
  <si>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</si>
  <si>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Residential  Hydrotreated vegetable oil - New 1 SH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</si>
  <si>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</si>
  <si>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</si>
  <si>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</si>
  <si>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</si>
  <si>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</si>
  <si>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</si>
  <si>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</si>
  <si>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</si>
  <si>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</si>
  <si>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</si>
  <si>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</si>
  <si>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</si>
  <si>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</si>
  <si>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</si>
  <si>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</si>
  <si>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</si>
  <si>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</si>
  <si>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</si>
  <si>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</si>
  <si>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</si>
  <si>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</si>
  <si>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</si>
  <si>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</si>
  <si>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</si>
  <si>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</si>
  <si>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</si>
  <si>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</si>
  <si>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</si>
  <si>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</si>
  <si>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</si>
  <si>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</si>
  <si>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</si>
  <si>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</si>
  <si>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</si>
  <si>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</si>
  <si>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</si>
  <si>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</si>
  <si>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</si>
  <si>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</si>
  <si>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</si>
  <si>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</si>
  <si>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</si>
  <si>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</si>
  <si>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</si>
  <si>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</si>
  <si>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</si>
  <si>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</si>
  <si>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</si>
  <si>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</si>
  <si>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</si>
  <si>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</si>
  <si>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</si>
  <si>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</si>
  <si>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</si>
  <si>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</si>
  <si>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</si>
  <si>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</si>
  <si>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</si>
  <si>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</si>
  <si>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</si>
  <si>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</si>
  <si>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</si>
  <si>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</si>
  <si>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</si>
  <si>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</si>
  <si>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</si>
  <si>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</si>
  <si>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</si>
  <si>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</si>
  <si>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</si>
  <si>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</si>
  <si>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</si>
  <si>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</si>
  <si>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</si>
  <si>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</si>
  <si>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</si>
  <si>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</si>
  <si>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</si>
  <si>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</si>
  <si>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</si>
  <si>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</si>
  <si>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</si>
  <si>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</si>
  <si>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</si>
  <si>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</si>
  <si>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</si>
  <si>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</si>
  <si>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</si>
  <si>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</si>
  <si>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</si>
  <si>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</si>
  <si>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</si>
  <si>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</si>
  <si>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</si>
  <si>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</si>
  <si>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</si>
  <si>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</si>
  <si>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</si>
  <si>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</si>
  <si>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</si>
  <si>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</si>
  <si>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</si>
  <si>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</si>
  <si>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</si>
  <si>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</si>
  <si>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</si>
  <si>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</si>
  <si>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</si>
  <si>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</si>
  <si>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</si>
  <si>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</si>
  <si>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</si>
  <si>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</si>
  <si>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</si>
  <si>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</si>
  <si>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</si>
  <si>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</si>
  <si>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</si>
  <si>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</si>
  <si>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</si>
  <si>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</si>
  <si>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</si>
  <si>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</si>
  <si>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</si>
  <si>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</si>
  <si>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</si>
  <si>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</si>
  <si>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</si>
  <si>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</si>
  <si>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</si>
  <si>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</si>
  <si>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</si>
  <si>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</si>
  <si>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</si>
  <si>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</si>
  <si>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</si>
  <si>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</si>
  <si>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</si>
  <si>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</si>
  <si>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</si>
  <si>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</si>
  <si>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</si>
  <si>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</si>
  <si>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</si>
  <si>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</si>
  <si>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</si>
  <si>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</si>
  <si>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</si>
  <si>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</si>
  <si>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</si>
  <si>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</si>
  <si>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</si>
  <si>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</si>
  <si>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</si>
  <si>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</si>
  <si>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</si>
  <si>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</si>
  <si>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</si>
  <si>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</si>
  <si>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</si>
  <si>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</si>
  <si>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</si>
  <si>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</si>
  <si>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</si>
  <si>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</si>
  <si>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</si>
  <si>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</si>
  <si>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</si>
  <si>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</si>
  <si>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</si>
  <si>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</si>
  <si>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</si>
  <si>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</si>
  <si>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</si>
  <si>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</si>
  <si>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</si>
  <si>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</si>
  <si>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</si>
  <si>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</si>
  <si>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</si>
  <si>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</si>
  <si>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</si>
  <si>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</si>
  <si>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</si>
  <si>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</si>
  <si>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</si>
  <si>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</si>
  <si>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</si>
  <si>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</si>
  <si>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</si>
  <si>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</si>
  <si>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</si>
  <si>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</si>
  <si>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</si>
  <si>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</si>
  <si>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</si>
  <si>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</si>
  <si>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</si>
  <si>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</si>
  <si>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</si>
  <si>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</si>
  <si>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</si>
  <si>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</si>
  <si>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</si>
  <si>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</si>
  <si>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</si>
  <si>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</si>
  <si>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</si>
  <si>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</si>
  <si>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</si>
  <si>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</si>
  <si>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</si>
  <si>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</si>
  <si>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</si>
  <si>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</si>
  <si>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</si>
  <si>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</si>
  <si>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</si>
  <si>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</si>
  <si>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</si>
  <si>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</si>
  <si>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</si>
  <si>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</si>
  <si>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</si>
  <si>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</si>
  <si>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</si>
  <si>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</si>
  <si>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</si>
  <si>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</si>
  <si>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</si>
  <si>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</si>
  <si>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</si>
  <si>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</si>
  <si>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</si>
  <si>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</si>
  <si>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</si>
  <si>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</si>
  <si>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</si>
  <si>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</si>
  <si>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</si>
  <si>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</si>
  <si>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</si>
  <si>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</si>
  <si>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</si>
  <si>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</si>
  <si>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</si>
  <si>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</si>
  <si>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</si>
  <si>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</si>
  <si>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</si>
  <si>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</si>
  <si>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</si>
  <si>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</si>
  <si>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</si>
  <si>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</si>
  <si>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</si>
  <si>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</si>
  <si>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</si>
  <si>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</si>
  <si>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</si>
  <si>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</si>
  <si>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</si>
  <si>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</si>
  <si>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</si>
  <si>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</si>
  <si>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</si>
  <si>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</si>
  <si>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</si>
  <si>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</si>
  <si>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</si>
  <si>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</si>
  <si>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</si>
  <si>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</si>
  <si>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</si>
  <si>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</si>
  <si>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</si>
  <si>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</si>
  <si>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</si>
  <si>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</si>
  <si>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</si>
  <si>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</si>
  <si>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</si>
  <si>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</si>
  <si>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</si>
  <si>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</si>
  <si>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</si>
  <si>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</si>
  <si>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</si>
  <si>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</si>
  <si>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</si>
  <si>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</si>
  <si>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</si>
  <si>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</si>
  <si>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</si>
  <si>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</si>
  <si>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</si>
  <si>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</si>
  <si>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</si>
  <si>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</si>
  <si>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</si>
  <si>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</si>
  <si>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</si>
  <si>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</si>
  <si>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</si>
  <si>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</si>
  <si>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</si>
  <si>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</si>
  <si>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</si>
  <si>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</si>
  <si>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</si>
  <si>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</si>
  <si>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</si>
  <si>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</si>
  <si>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</si>
  <si>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</si>
  <si>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</si>
  <si>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</si>
  <si>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</si>
  <si>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</si>
  <si>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</si>
  <si>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</si>
  <si>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</si>
  <si>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</si>
  <si>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</si>
  <si>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</si>
  <si>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</si>
  <si>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</si>
  <si>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</si>
  <si>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</si>
  <si>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</si>
  <si>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</si>
  <si>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</si>
  <si>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</si>
  <si>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</si>
  <si>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</si>
  <si>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</si>
  <si>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</si>
  <si>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</si>
  <si>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</si>
  <si>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</si>
  <si>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</si>
  <si>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</si>
  <si>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</si>
  <si>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</si>
  <si>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</si>
  <si>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</si>
  <si>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</si>
  <si>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</si>
  <si>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</si>
  <si>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</si>
  <si>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</si>
  <si>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</si>
  <si>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</si>
  <si>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</si>
  <si>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</si>
  <si>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</si>
  <si>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</si>
  <si>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</si>
  <si>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</si>
  <si>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</si>
  <si>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</si>
  <si>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</si>
  <si>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</si>
  <si>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</si>
  <si>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</si>
  <si>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</si>
  <si>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</si>
  <si>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</si>
  <si>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</si>
  <si>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</si>
  <si>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</si>
  <si>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</si>
  <si>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</si>
  <si>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</si>
  <si>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</si>
  <si>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</si>
  <si>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</si>
  <si>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</si>
  <si>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</si>
  <si>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</si>
  <si>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</si>
  <si>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</si>
  <si>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</si>
  <si>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</si>
  <si>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</si>
  <si>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</si>
  <si>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</si>
  <si>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</si>
  <si>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</si>
  <si>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</si>
  <si>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</si>
  <si>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</si>
  <si>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</si>
  <si>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</si>
  <si>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</si>
  <si>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</si>
  <si>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</si>
  <si>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</si>
  <si>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</si>
  <si>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</si>
  <si>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</si>
  <si>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</si>
  <si>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</si>
  <si>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</si>
  <si>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</si>
  <si>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</si>
  <si>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</si>
  <si>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</si>
  <si>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</si>
  <si>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</si>
  <si>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</si>
  <si>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</si>
  <si>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</si>
  <si>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</si>
  <si>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</si>
  <si>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</si>
  <si>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Ambient Heat to Residential (2)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</si>
  <si>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</si>
  <si>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</si>
  <si>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</si>
  <si>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</si>
  <si>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</si>
  <si>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</si>
  <si>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</si>
  <si>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Residential 1.0</t>
  </si>
  <si>
    <t>19th July 2021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</si>
  <si>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</si>
  <si>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</si>
  <si>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</si>
  <si>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</si>
  <si>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</si>
  <si>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</si>
  <si>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</si>
  <si>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</si>
  <si>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</si>
  <si>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</si>
  <si>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Template type</t>
  </si>
  <si>
    <t>Sector(s):</t>
  </si>
  <si>
    <t>Sector name</t>
  </si>
  <si>
    <t>Purpose:</t>
  </si>
  <si>
    <t>Brief description of what this file is for</t>
  </si>
  <si>
    <t>Original developer(s):</t>
  </si>
  <si>
    <t>Full Name(s) (Affiliation, email)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</si>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</sst>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6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22" fillId="0" borderId="0" applyNumberFormat="0" applyFill="0" applyBorder="0" applyAlignment="0" applyProtection="0"/>
    <xf numFmtId="164" fontId="23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57" fillId="35" borderId="0" applyNumberFormat="0" applyBorder="0" applyAlignment="0" applyProtection="0"/>
    <xf numFmtId="0" fontId="6" fillId="0" borderId="0"/>
    <xf numFmtId="0" fontId="1" fillId="0" borderId="0"/>
    <xf numFmtId="0" fontId="16" fillId="0" borderId="0" applyNumberFormat="0" applyFill="0" applyBorder="0" applyAlignment="0" applyProtection="0"/>
  </cellStyleXfs>
  <cellXfs count="582">
    <xf numFmtId="0" fontId="0" fillId="0" borderId="0" xfId="0"/>
    <xf numFmtId="2" fontId="0" fillId="0" borderId="0" xfId="0" applyNumberFormat="1"/>
    <xf numFmtId="0" fontId="21" fillId="4" borderId="0" xfId="0" applyFont="1" applyFill="1" applyAlignment="1">
      <alignment vertical="center"/>
    </xf>
    <xf numFmtId="0" fontId="21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5" fillId="4" borderId="0" xfId="0" applyFont="1" applyFill="1" applyAlignment="1">
      <alignment vertical="center"/>
    </xf>
    <xf numFmtId="0" fontId="0" fillId="0" borderId="0" xfId="0"/>
    <xf numFmtId="0" fontId="0" fillId="16" borderId="0" xfId="0" applyFill="1"/>
    <xf numFmtId="0" fontId="26" fillId="0" borderId="0" xfId="0" applyFont="1" applyAlignment="1">
      <alignment horizontal="center"/>
    </xf>
    <xf numFmtId="0" fontId="2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6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5" fillId="2" borderId="3" xfId="0" applyNumberFormat="1" applyFont="1" applyFill="1" applyBorder="1" applyAlignment="1">
      <alignment horizontal="left" vertical="center" wrapText="1"/>
    </xf>
    <xf numFmtId="167" fontId="27" fillId="5" borderId="2" xfId="0" quotePrefix="1" applyNumberFormat="1" applyFont="1" applyFill="1" applyBorder="1" applyAlignment="1">
      <alignment horizontal="left" vertical="top" wrapText="1"/>
    </xf>
    <xf numFmtId="0" fontId="28" fillId="17" borderId="22" xfId="0" applyFont="1" applyFill="1" applyBorder="1" applyAlignment="1">
      <alignment horizontal="left" vertical="center"/>
    </xf>
    <xf numFmtId="0" fontId="28" fillId="17" borderId="22" xfId="0" applyFont="1" applyFill="1" applyBorder="1" applyAlignment="1">
      <alignment vertical="center" wrapText="1"/>
    </xf>
    <xf numFmtId="0" fontId="17" fillId="18" borderId="5" xfId="0" applyFont="1" applyFill="1" applyBorder="1" applyAlignment="1">
      <alignment vertical="center" wrapText="1"/>
    </xf>
    <xf numFmtId="3" fontId="28" fillId="17" borderId="23" xfId="0" applyNumberFormat="1" applyFont="1" applyFill="1" applyBorder="1" applyAlignment="1">
      <alignment horizontal="left" vertical="center" wrapText="1"/>
    </xf>
    <xf numFmtId="3" fontId="28" fillId="17" borderId="23" xfId="0" applyNumberFormat="1" applyFont="1" applyFill="1" applyBorder="1" applyAlignment="1">
      <alignment horizontal="left" vertical="center"/>
    </xf>
    <xf numFmtId="2" fontId="17" fillId="19" borderId="9" xfId="0" applyNumberFormat="1" applyFont="1" applyFill="1" applyBorder="1"/>
    <xf numFmtId="2" fontId="17" fillId="19" borderId="3" xfId="0" applyNumberFormat="1" applyFont="1" applyFill="1" applyBorder="1"/>
    <xf numFmtId="0" fontId="17" fillId="19" borderId="16" xfId="0" applyFont="1" applyFill="1" applyBorder="1"/>
    <xf numFmtId="2" fontId="17" fillId="0" borderId="25" xfId="0" applyNumberFormat="1" applyFont="1" applyBorder="1"/>
    <xf numFmtId="2" fontId="17" fillId="0" borderId="0" xfId="0" applyNumberFormat="1" applyFont="1" applyBorder="1"/>
    <xf numFmtId="0" fontId="17" fillId="0" borderId="0" xfId="0" applyFont="1" applyBorder="1"/>
    <xf numFmtId="0" fontId="17" fillId="0" borderId="10" xfId="0" applyFont="1" applyBorder="1"/>
    <xf numFmtId="2" fontId="17" fillId="0" borderId="5" xfId="0" applyNumberFormat="1" applyFont="1" applyBorder="1"/>
    <xf numFmtId="0" fontId="17" fillId="0" borderId="5" xfId="0" applyFont="1" applyBorder="1"/>
    <xf numFmtId="0" fontId="17" fillId="0" borderId="14" xfId="0" applyFont="1" applyBorder="1"/>
    <xf numFmtId="2" fontId="17" fillId="19" borderId="0" xfId="0" applyNumberFormat="1" applyFont="1" applyFill="1" applyBorder="1"/>
    <xf numFmtId="0" fontId="17" fillId="19" borderId="0" xfId="0" applyFont="1" applyFill="1" applyBorder="1"/>
    <xf numFmtId="9" fontId="17" fillId="19" borderId="0" xfId="0" applyNumberFormat="1" applyFont="1" applyFill="1" applyBorder="1"/>
    <xf numFmtId="9" fontId="17" fillId="0" borderId="0" xfId="0" applyNumberFormat="1" applyFont="1" applyBorder="1"/>
    <xf numFmtId="2" fontId="17" fillId="20" borderId="0" xfId="0" applyNumberFormat="1" applyFont="1" applyFill="1" applyBorder="1"/>
    <xf numFmtId="0" fontId="17" fillId="20" borderId="0" xfId="0" applyFont="1" applyFill="1" applyBorder="1"/>
    <xf numFmtId="9" fontId="17" fillId="20" borderId="0" xfId="0" applyNumberFormat="1" applyFont="1" applyFill="1" applyBorder="1"/>
    <xf numFmtId="0" fontId="0" fillId="21" borderId="0" xfId="0" applyFill="1"/>
    <xf numFmtId="0" fontId="17" fillId="21" borderId="9" xfId="0" applyFont="1" applyFill="1" applyBorder="1" applyAlignment="1">
      <alignment vertical="center" wrapText="1"/>
    </xf>
    <xf numFmtId="0" fontId="17" fillId="21" borderId="3" xfId="0" applyFont="1" applyFill="1" applyBorder="1" applyAlignment="1">
      <alignment vertical="center" wrapText="1"/>
    </xf>
    <xf numFmtId="0" fontId="17" fillId="21" borderId="16" xfId="0" applyFont="1" applyFill="1" applyBorder="1" applyAlignment="1">
      <alignment vertical="center" wrapText="1"/>
    </xf>
    <xf numFmtId="2" fontId="17" fillId="19" borderId="25" xfId="0" applyNumberFormat="1" applyFont="1" applyFill="1" applyBorder="1"/>
    <xf numFmtId="0" fontId="17" fillId="19" borderId="10" xfId="0" applyFont="1" applyFill="1" applyBorder="1"/>
    <xf numFmtId="9" fontId="17" fillId="19" borderId="25" xfId="0" applyNumberFormat="1" applyFont="1" applyFill="1" applyBorder="1"/>
    <xf numFmtId="9" fontId="17" fillId="19" borderId="10" xfId="0" applyNumberFormat="1" applyFont="1" applyFill="1" applyBorder="1"/>
    <xf numFmtId="9" fontId="17" fillId="0" borderId="25" xfId="0" applyNumberFormat="1" applyFont="1" applyBorder="1"/>
    <xf numFmtId="9" fontId="17" fillId="0" borderId="10" xfId="0" applyNumberFormat="1" applyFont="1" applyBorder="1"/>
    <xf numFmtId="9" fontId="17" fillId="19" borderId="9" xfId="0" applyNumberFormat="1" applyFont="1" applyFill="1" applyBorder="1"/>
    <xf numFmtId="9" fontId="17" fillId="19" borderId="3" xfId="0" applyNumberFormat="1" applyFont="1" applyFill="1" applyBorder="1"/>
    <xf numFmtId="9" fontId="17" fillId="19" borderId="16" xfId="0" applyNumberFormat="1" applyFont="1" applyFill="1" applyBorder="1"/>
    <xf numFmtId="9" fontId="17" fillId="0" borderId="26" xfId="0" applyNumberFormat="1" applyFont="1" applyBorder="1"/>
    <xf numFmtId="9" fontId="17" fillId="0" borderId="5" xfId="0" applyNumberFormat="1" applyFont="1" applyBorder="1"/>
    <xf numFmtId="9" fontId="17" fillId="0" borderId="14" xfId="0" applyNumberFormat="1" applyFont="1" applyBorder="1"/>
    <xf numFmtId="0" fontId="17" fillId="19" borderId="9" xfId="0" applyFont="1" applyFill="1" applyBorder="1"/>
    <xf numFmtId="0" fontId="17" fillId="0" borderId="25" xfId="0" applyFont="1" applyBorder="1"/>
    <xf numFmtId="0" fontId="17" fillId="19" borderId="25" xfId="0" applyFont="1" applyFill="1" applyBorder="1"/>
    <xf numFmtId="0" fontId="17" fillId="0" borderId="26" xfId="0" applyFont="1" applyBorder="1"/>
    <xf numFmtId="2" fontId="17" fillId="19" borderId="16" xfId="0" applyNumberFormat="1" applyFont="1" applyFill="1" applyBorder="1"/>
    <xf numFmtId="2" fontId="17" fillId="0" borderId="10" xfId="0" applyNumberFormat="1" applyFont="1" applyBorder="1"/>
    <xf numFmtId="2" fontId="17" fillId="19" borderId="10" xfId="0" applyNumberFormat="1" applyFont="1" applyFill="1" applyBorder="1"/>
    <xf numFmtId="2" fontId="17" fillId="0" borderId="14" xfId="0" applyNumberFormat="1" applyFont="1" applyBorder="1"/>
    <xf numFmtId="0" fontId="17" fillId="18" borderId="1" xfId="0" applyFont="1" applyFill="1" applyBorder="1" applyAlignment="1">
      <alignment vertical="center" wrapText="1"/>
    </xf>
    <xf numFmtId="0" fontId="17" fillId="21" borderId="6" xfId="0" applyFont="1" applyFill="1" applyBorder="1" applyAlignment="1">
      <alignment vertical="center" wrapText="1"/>
    </xf>
    <xf numFmtId="2" fontId="17" fillId="19" borderId="6" xfId="0" applyNumberFormat="1" applyFont="1" applyFill="1" applyBorder="1"/>
    <xf numFmtId="2" fontId="17" fillId="0" borderId="6" xfId="0" applyNumberFormat="1" applyFont="1" applyBorder="1"/>
    <xf numFmtId="2" fontId="17" fillId="0" borderId="15" xfId="0" applyNumberFormat="1" applyFont="1" applyBorder="1"/>
    <xf numFmtId="0" fontId="17" fillId="19" borderId="6" xfId="0" applyFont="1" applyFill="1" applyBorder="1"/>
    <xf numFmtId="0" fontId="17" fillId="0" borderId="6" xfId="0" applyFont="1" applyBorder="1"/>
    <xf numFmtId="0" fontId="17" fillId="0" borderId="15" xfId="0" applyFont="1" applyBorder="1"/>
    <xf numFmtId="0" fontId="17" fillId="18" borderId="11" xfId="0" applyFont="1" applyFill="1" applyBorder="1" applyAlignment="1">
      <alignment horizontal="left" vertical="center" wrapText="1"/>
    </xf>
    <xf numFmtId="0" fontId="17" fillId="21" borderId="25" xfId="0" applyFont="1" applyFill="1" applyBorder="1" applyAlignment="1">
      <alignment vertical="center" wrapText="1"/>
    </xf>
    <xf numFmtId="0" fontId="11" fillId="21" borderId="7" xfId="0" applyFont="1" applyFill="1" applyBorder="1" applyAlignment="1">
      <alignment vertical="center"/>
    </xf>
    <xf numFmtId="0" fontId="17" fillId="18" borderId="1" xfId="0" applyFont="1" applyFill="1" applyBorder="1" applyAlignment="1">
      <alignment horizontal="left" vertical="center" wrapText="1"/>
    </xf>
    <xf numFmtId="9" fontId="17" fillId="19" borderId="6" xfId="0" applyNumberFormat="1" applyFont="1" applyFill="1" applyBorder="1"/>
    <xf numFmtId="9" fontId="17" fillId="0" borderId="6" xfId="0" applyNumberFormat="1" applyFont="1" applyBorder="1"/>
    <xf numFmtId="9" fontId="17" fillId="0" borderId="11" xfId="0" applyNumberFormat="1" applyFont="1" applyBorder="1"/>
    <xf numFmtId="9" fontId="17" fillId="0" borderId="24" xfId="0" applyNumberFormat="1" applyFont="1" applyBorder="1"/>
    <xf numFmtId="9" fontId="17" fillId="0" borderId="8" xfId="0" applyNumberFormat="1" applyFont="1" applyBorder="1"/>
    <xf numFmtId="0" fontId="17" fillId="0" borderId="11" xfId="0" applyFont="1" applyBorder="1"/>
    <xf numFmtId="0" fontId="17" fillId="0" borderId="8" xfId="0" applyFont="1" applyBorder="1"/>
    <xf numFmtId="2" fontId="17" fillId="0" borderId="11" xfId="0" applyNumberFormat="1" applyFont="1" applyBorder="1"/>
    <xf numFmtId="2" fontId="17" fillId="0" borderId="24" xfId="0" applyNumberFormat="1" applyFont="1" applyBorder="1"/>
    <xf numFmtId="2" fontId="17" fillId="0" borderId="8" xfId="0" applyNumberFormat="1" applyFont="1" applyBorder="1"/>
    <xf numFmtId="2" fontId="17" fillId="0" borderId="1" xfId="0" applyNumberFormat="1" applyFont="1" applyBorder="1"/>
    <xf numFmtId="0" fontId="17" fillId="0" borderId="1" xfId="0" applyFont="1" applyBorder="1"/>
    <xf numFmtId="9" fontId="17" fillId="0" borderId="1" xfId="0" applyNumberFormat="1" applyFont="1" applyBorder="1"/>
    <xf numFmtId="2" fontId="17" fillId="19" borderId="7" xfId="0" applyNumberFormat="1" applyFont="1" applyFill="1" applyBorder="1"/>
    <xf numFmtId="2" fontId="17" fillId="19" borderId="15" xfId="0" applyNumberFormat="1" applyFont="1" applyFill="1" applyBorder="1"/>
    <xf numFmtId="0" fontId="17" fillId="20" borderId="7" xfId="0" applyFont="1" applyFill="1" applyBorder="1"/>
    <xf numFmtId="0" fontId="17" fillId="19" borderId="7" xfId="0" applyFont="1" applyFill="1" applyBorder="1"/>
    <xf numFmtId="0" fontId="17" fillId="19" borderId="3" xfId="0" applyFont="1" applyFill="1" applyBorder="1"/>
    <xf numFmtId="2" fontId="17" fillId="19" borderId="5" xfId="0" applyNumberFormat="1" applyFont="1" applyFill="1" applyBorder="1"/>
    <xf numFmtId="0" fontId="17" fillId="19" borderId="15" xfId="0" applyFont="1" applyFill="1" applyBorder="1"/>
    <xf numFmtId="0" fontId="17" fillId="19" borderId="1" xfId="0" applyFont="1" applyFill="1" applyBorder="1"/>
    <xf numFmtId="2" fontId="17" fillId="19" borderId="1" xfId="0" applyNumberFormat="1" applyFont="1" applyFill="1" applyBorder="1"/>
    <xf numFmtId="2" fontId="17" fillId="19" borderId="26" xfId="0" applyNumberFormat="1" applyFont="1" applyFill="1" applyBorder="1"/>
    <xf numFmtId="2" fontId="17" fillId="19" borderId="14" xfId="0" applyNumberFormat="1" applyFont="1" applyFill="1" applyBorder="1"/>
    <xf numFmtId="2" fontId="17" fillId="19" borderId="11" xfId="0" applyNumberFormat="1" applyFont="1" applyFill="1" applyBorder="1"/>
    <xf numFmtId="2" fontId="17" fillId="19" borderId="24" xfId="0" applyNumberFormat="1" applyFont="1" applyFill="1" applyBorder="1"/>
    <xf numFmtId="2" fontId="17" fillId="19" borderId="8" xfId="0" applyNumberFormat="1" applyFont="1" applyFill="1" applyBorder="1"/>
    <xf numFmtId="0" fontId="17" fillId="19" borderId="11" xfId="0" applyFont="1" applyFill="1" applyBorder="1"/>
    <xf numFmtId="9" fontId="17" fillId="19" borderId="8" xfId="0" applyNumberFormat="1" applyFont="1" applyFill="1" applyBorder="1"/>
    <xf numFmtId="0" fontId="17" fillId="19" borderId="26" xfId="0" applyFont="1" applyFill="1" applyBorder="1"/>
    <xf numFmtId="9" fontId="17" fillId="19" borderId="14" xfId="0" applyNumberFormat="1" applyFont="1" applyFill="1" applyBorder="1"/>
    <xf numFmtId="167" fontId="0" fillId="0" borderId="28" xfId="0" applyNumberFormat="1" applyBorder="1"/>
    <xf numFmtId="167" fontId="12" fillId="0" borderId="28" xfId="0" applyNumberFormat="1" applyFont="1" applyBorder="1"/>
    <xf numFmtId="167" fontId="0" fillId="0" borderId="0" xfId="0" applyNumberFormat="1" applyBorder="1"/>
    <xf numFmtId="167" fontId="12" fillId="0" borderId="0" xfId="0" applyNumberFormat="1" applyFont="1" applyBorder="1"/>
    <xf numFmtId="167" fontId="6" fillId="0" borderId="0" xfId="0" applyNumberFormat="1" applyFont="1" applyBorder="1"/>
    <xf numFmtId="167" fontId="0" fillId="0" borderId="2" xfId="0" applyNumberFormat="1" applyBorder="1"/>
    <xf numFmtId="167" fontId="12" fillId="0" borderId="2" xfId="0" applyNumberFormat="1" applyFont="1" applyBorder="1"/>
    <xf numFmtId="167" fontId="12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7" fillId="19" borderId="11" xfId="0" applyNumberFormat="1" applyFont="1" applyFill="1" applyBorder="1"/>
    <xf numFmtId="9" fontId="17" fillId="19" borderId="24" xfId="0" applyNumberFormat="1" applyFont="1" applyFill="1" applyBorder="1"/>
    <xf numFmtId="0" fontId="17" fillId="19" borderId="24" xfId="0" applyFont="1" applyFill="1" applyBorder="1"/>
    <xf numFmtId="0" fontId="17" fillId="19" borderId="8" xfId="0" applyFont="1" applyFill="1" applyBorder="1"/>
    <xf numFmtId="0" fontId="17" fillId="19" borderId="5" xfId="0" applyFont="1" applyFill="1" applyBorder="1"/>
    <xf numFmtId="0" fontId="17" fillId="19" borderId="14" xfId="0" applyFont="1" applyFill="1" applyBorder="1"/>
    <xf numFmtId="0" fontId="17" fillId="0" borderId="24" xfId="0" applyFont="1" applyBorder="1"/>
    <xf numFmtId="0" fontId="29" fillId="0" borderId="29" xfId="0" applyFont="1" applyBorder="1"/>
    <xf numFmtId="0" fontId="29" fillId="0" borderId="30" xfId="0" applyFont="1" applyBorder="1"/>
    <xf numFmtId="0" fontId="29" fillId="0" borderId="31" xfId="0" applyFont="1" applyBorder="1"/>
    <xf numFmtId="0" fontId="29" fillId="0" borderId="32" xfId="0" applyFont="1" applyBorder="1"/>
    <xf numFmtId="0" fontId="29" fillId="0" borderId="33" xfId="0" applyFont="1" applyBorder="1"/>
    <xf numFmtId="0" fontId="17" fillId="18" borderId="11" xfId="0" applyFont="1" applyFill="1" applyBorder="1" applyAlignment="1">
      <alignment vertical="center"/>
    </xf>
    <xf numFmtId="3" fontId="0" fillId="0" borderId="0" xfId="0" applyNumberFormat="1"/>
    <xf numFmtId="0" fontId="10" fillId="10" borderId="4" xfId="0" applyFont="1" applyFill="1" applyBorder="1" applyAlignment="1">
      <alignment vertical="center"/>
    </xf>
    <xf numFmtId="1" fontId="17" fillId="19" borderId="16" xfId="0" applyNumberFormat="1" applyFont="1" applyFill="1" applyBorder="1"/>
    <xf numFmtId="0" fontId="6" fillId="0" borderId="0" xfId="0" applyFont="1"/>
    <xf numFmtId="1" fontId="17" fillId="19" borderId="7" xfId="0" applyNumberFormat="1" applyFont="1" applyFill="1" applyBorder="1"/>
    <xf numFmtId="0" fontId="29" fillId="19" borderId="34" xfId="0" applyFont="1" applyFill="1" applyBorder="1"/>
    <xf numFmtId="0" fontId="29" fillId="0" borderId="34" xfId="0" applyFont="1" applyBorder="1"/>
    <xf numFmtId="0" fontId="30" fillId="22" borderId="29" xfId="0" applyFont="1" applyFill="1" applyBorder="1"/>
    <xf numFmtId="0" fontId="30" fillId="22" borderId="30" xfId="0" applyFont="1" applyFill="1" applyBorder="1"/>
    <xf numFmtId="0" fontId="30" fillId="22" borderId="31" xfId="0" applyFont="1" applyFill="1" applyBorder="1"/>
    <xf numFmtId="0" fontId="17" fillId="21" borderId="10" xfId="0" applyFont="1" applyFill="1" applyBorder="1" applyAlignment="1">
      <alignment horizontal="center" vertical="center" wrapText="1"/>
    </xf>
    <xf numFmtId="0" fontId="29" fillId="0" borderId="9" xfId="0" applyFont="1" applyBorder="1"/>
    <xf numFmtId="0" fontId="29" fillId="0" borderId="3" xfId="0" applyFont="1" applyBorder="1"/>
    <xf numFmtId="0" fontId="29" fillId="0" borderId="16" xfId="0" applyFont="1" applyBorder="1"/>
    <xf numFmtId="0" fontId="29" fillId="19" borderId="35" xfId="0" applyFont="1" applyFill="1" applyBorder="1"/>
    <xf numFmtId="0" fontId="29" fillId="19" borderId="36" xfId="0" applyFont="1" applyFill="1" applyBorder="1"/>
    <xf numFmtId="0" fontId="29" fillId="0" borderId="35" xfId="0" applyFont="1" applyBorder="1"/>
    <xf numFmtId="0" fontId="29" fillId="0" borderId="36" xfId="0" applyFont="1" applyBorder="1"/>
    <xf numFmtId="0" fontId="29" fillId="0" borderId="37" xfId="0" applyFont="1" applyBorder="1"/>
    <xf numFmtId="0" fontId="29" fillId="0" borderId="38" xfId="0" applyFont="1" applyBorder="1"/>
    <xf numFmtId="0" fontId="29" fillId="0" borderId="39" xfId="0" applyFont="1" applyBorder="1"/>
    <xf numFmtId="0" fontId="29" fillId="0" borderId="7" xfId="0" applyFont="1" applyBorder="1"/>
    <xf numFmtId="0" fontId="29" fillId="19" borderId="40" xfId="0" applyFont="1" applyFill="1" applyBorder="1"/>
    <xf numFmtId="0" fontId="29" fillId="0" borderId="40" xfId="0" applyFont="1" applyBorder="1"/>
    <xf numFmtId="0" fontId="29" fillId="0" borderId="41" xfId="0" applyFont="1" applyBorder="1"/>
    <xf numFmtId="0" fontId="5" fillId="4" borderId="0" xfId="0" applyFont="1" applyFill="1" applyAlignment="1">
      <alignment vertical="center"/>
    </xf>
    <xf numFmtId="0" fontId="5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6" fillId="12" borderId="0" xfId="0" applyFont="1" applyFill="1" applyAlignment="1">
      <alignment vertical="center"/>
    </xf>
    <xf numFmtId="0" fontId="5" fillId="7" borderId="0" xfId="0" applyFont="1" applyFill="1" applyAlignment="1">
      <alignment vertical="center"/>
    </xf>
    <xf numFmtId="0" fontId="10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2" fillId="12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31" fillId="0" borderId="0" xfId="0" applyFont="1"/>
    <xf numFmtId="0" fontId="3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4" fillId="0" borderId="43" xfId="0" applyFont="1" applyBorder="1" applyAlignment="1">
      <alignment vertical="center"/>
    </xf>
    <xf numFmtId="0" fontId="34" fillId="0" borderId="44" xfId="0" applyFont="1" applyBorder="1" applyAlignment="1">
      <alignment vertical="center"/>
    </xf>
    <xf numFmtId="0" fontId="34" fillId="0" borderId="45" xfId="0" applyFont="1" applyBorder="1" applyAlignment="1">
      <alignment vertical="center"/>
    </xf>
    <xf numFmtId="0" fontId="33" fillId="8" borderId="17" xfId="0" applyFont="1" applyFill="1" applyBorder="1" applyAlignment="1">
      <alignment vertical="center"/>
    </xf>
    <xf numFmtId="0" fontId="29" fillId="0" borderId="19" xfId="0" applyFont="1" applyBorder="1" applyAlignment="1">
      <alignment vertical="center"/>
    </xf>
    <xf numFmtId="0" fontId="6" fillId="0" borderId="46" xfId="0" applyFont="1" applyBorder="1" applyAlignment="1">
      <alignment vertical="center"/>
    </xf>
    <xf numFmtId="0" fontId="6" fillId="0" borderId="47" xfId="0" applyFont="1" applyBorder="1" applyAlignment="1">
      <alignment vertical="center"/>
    </xf>
    <xf numFmtId="17" fontId="31" fillId="0" borderId="47" xfId="0" applyNumberFormat="1" applyFont="1" applyBorder="1"/>
    <xf numFmtId="0" fontId="31" fillId="0" borderId="48" xfId="0" applyFont="1" applyBorder="1"/>
    <xf numFmtId="0" fontId="33" fillId="9" borderId="18" xfId="0" applyFont="1" applyFill="1" applyBorder="1" applyAlignment="1">
      <alignment vertical="center"/>
    </xf>
    <xf numFmtId="0" fontId="29" fillId="0" borderId="20" xfId="0" applyFont="1" applyBorder="1" applyAlignment="1">
      <alignment vertical="center"/>
    </xf>
    <xf numFmtId="0" fontId="6" fillId="0" borderId="49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5" fontId="31" fillId="0" borderId="1" xfId="0" applyNumberFormat="1" applyFont="1" applyBorder="1"/>
    <xf numFmtId="0" fontId="31" fillId="0" borderId="50" xfId="0" applyFont="1" applyBorder="1"/>
    <xf numFmtId="165" fontId="6" fillId="10" borderId="18" xfId="0" applyNumberFormat="1" applyFont="1" applyFill="1" applyBorder="1" applyAlignment="1">
      <alignment vertical="center"/>
    </xf>
    <xf numFmtId="0" fontId="35" fillId="12" borderId="18" xfId="0" applyFont="1" applyFill="1" applyBorder="1" applyAlignment="1">
      <alignment vertical="center"/>
    </xf>
    <xf numFmtId="17" fontId="31" fillId="0" borderId="1" xfId="0" applyNumberFormat="1" applyFont="1" applyBorder="1"/>
    <xf numFmtId="0" fontId="35" fillId="13" borderId="18" xfId="0" applyFont="1" applyFill="1" applyBorder="1" applyAlignment="1">
      <alignment vertical="center"/>
    </xf>
    <xf numFmtId="0" fontId="6" fillId="3" borderId="18" xfId="0" applyFont="1" applyFill="1" applyBorder="1"/>
    <xf numFmtId="0" fontId="31" fillId="14" borderId="12" xfId="0" applyFont="1" applyFill="1" applyBorder="1"/>
    <xf numFmtId="0" fontId="29" fillId="0" borderId="21" xfId="0" applyFont="1" applyBorder="1" applyAlignment="1">
      <alignment vertical="center"/>
    </xf>
    <xf numFmtId="0" fontId="6" fillId="0" borderId="51" xfId="0" applyFont="1" applyBorder="1" applyAlignment="1">
      <alignment vertical="center"/>
    </xf>
    <xf numFmtId="0" fontId="6" fillId="0" borderId="52" xfId="0" applyFont="1" applyBorder="1" applyAlignment="1">
      <alignment vertical="center"/>
    </xf>
    <xf numFmtId="17" fontId="31" fillId="0" borderId="52" xfId="0" applyNumberFormat="1" applyFont="1" applyBorder="1"/>
    <xf numFmtId="0" fontId="31" fillId="0" borderId="53" xfId="0" applyFont="1" applyBorder="1"/>
    <xf numFmtId="0" fontId="34" fillId="0" borderId="56" xfId="0" applyFont="1" applyBorder="1" applyAlignment="1">
      <alignment vertical="center"/>
    </xf>
    <xf numFmtId="0" fontId="34" fillId="0" borderId="57" xfId="0" applyFont="1" applyBorder="1" applyAlignment="1">
      <alignment vertical="center"/>
    </xf>
    <xf numFmtId="0" fontId="34" fillId="0" borderId="58" xfId="0" applyFont="1" applyBorder="1" applyAlignment="1">
      <alignment vertical="center"/>
    </xf>
    <xf numFmtId="0" fontId="34" fillId="0" borderId="59" xfId="0" applyFont="1" applyBorder="1" applyAlignment="1">
      <alignment vertical="center"/>
    </xf>
    <xf numFmtId="0" fontId="38" fillId="0" borderId="7" xfId="0" applyFont="1" applyBorder="1"/>
    <xf numFmtId="0" fontId="31" fillId="0" borderId="16" xfId="0" quotePrefix="1" applyFont="1" applyBorder="1"/>
    <xf numFmtId="0" fontId="38" fillId="0" borderId="49" xfId="0" applyFont="1" applyBorder="1"/>
    <xf numFmtId="0" fontId="31" fillId="0" borderId="1" xfId="0" quotePrefix="1" applyFont="1" applyBorder="1"/>
    <xf numFmtId="0" fontId="38" fillId="0" borderId="6" xfId="0" applyFont="1" applyBorder="1"/>
    <xf numFmtId="0" fontId="31" fillId="0" borderId="10" xfId="0" applyFont="1" applyBorder="1"/>
    <xf numFmtId="0" fontId="31" fillId="0" borderId="1" xfId="0" applyFont="1" applyBorder="1"/>
    <xf numFmtId="0" fontId="31" fillId="0" borderId="1" xfId="0" applyFont="1" applyBorder="1" applyAlignment="1">
      <alignment horizontal="right"/>
    </xf>
    <xf numFmtId="0" fontId="38" fillId="0" borderId="15" xfId="0" applyFont="1" applyBorder="1"/>
    <xf numFmtId="0" fontId="31" fillId="0" borderId="14" xfId="0" applyFont="1" applyBorder="1" applyAlignment="1">
      <alignment horizontal="left"/>
    </xf>
    <xf numFmtId="17" fontId="31" fillId="0" borderId="1" xfId="0" applyNumberFormat="1" applyFont="1" applyBorder="1" applyAlignment="1">
      <alignment horizontal="right"/>
    </xf>
    <xf numFmtId="0" fontId="22" fillId="0" borderId="1" xfId="1" applyBorder="1" applyAlignment="1">
      <alignment horizontal="left"/>
    </xf>
    <xf numFmtId="0" fontId="34" fillId="0" borderId="7" xfId="0" applyFont="1" applyBorder="1" applyAlignment="1">
      <alignment vertical="center"/>
    </xf>
    <xf numFmtId="0" fontId="34" fillId="0" borderId="16" xfId="0" applyFont="1" applyBorder="1" applyAlignment="1">
      <alignment vertical="center"/>
    </xf>
    <xf numFmtId="0" fontId="34" fillId="0" borderId="1" xfId="0" applyFont="1" applyBorder="1" applyAlignment="1">
      <alignment vertical="center"/>
    </xf>
    <xf numFmtId="0" fontId="38" fillId="0" borderId="1" xfId="0" applyFont="1" applyBorder="1"/>
    <xf numFmtId="17" fontId="31" fillId="0" borderId="1" xfId="0" quotePrefix="1" applyNumberFormat="1" applyFont="1" applyBorder="1"/>
    <xf numFmtId="15" fontId="31" fillId="0" borderId="1" xfId="0" applyNumberFormat="1" applyFont="1" applyBorder="1" applyAlignment="1">
      <alignment horizontal="left"/>
    </xf>
    <xf numFmtId="0" fontId="38" fillId="0" borderId="0" xfId="0" applyFont="1"/>
    <xf numFmtId="0" fontId="31" fillId="0" borderId="0" xfId="0" applyFont="1" applyAlignment="1">
      <alignment horizontal="right"/>
    </xf>
    <xf numFmtId="0" fontId="31" fillId="0" borderId="0" xfId="0" applyFont="1" applyAlignment="1">
      <alignment horizontal="left"/>
    </xf>
    <xf numFmtId="17" fontId="31" fillId="0" borderId="0" xfId="0" applyNumberFormat="1" applyFont="1" applyAlignment="1">
      <alignment horizontal="right"/>
    </xf>
    <xf numFmtId="0" fontId="22" fillId="0" borderId="0" xfId="1"/>
    <xf numFmtId="0" fontId="0" fillId="0" borderId="1" xfId="0" applyBorder="1"/>
    <xf numFmtId="0" fontId="17" fillId="0" borderId="0" xfId="0" applyFont="1" applyAlignment="1">
      <alignment wrapText="1"/>
    </xf>
    <xf numFmtId="0" fontId="6" fillId="6" borderId="0" xfId="0" applyFont="1" applyFill="1"/>
    <xf numFmtId="167" fontId="27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7" fillId="19" borderId="6" xfId="0" applyNumberFormat="1" applyFont="1" applyFill="1" applyBorder="1"/>
    <xf numFmtId="0" fontId="8" fillId="9" borderId="54" xfId="0" applyFont="1" applyFill="1" applyBorder="1" applyAlignment="1">
      <alignment vertical="center"/>
    </xf>
    <xf numFmtId="0" fontId="8" fillId="9" borderId="60" xfId="0" applyFont="1" applyFill="1" applyBorder="1" applyAlignment="1">
      <alignment vertical="center"/>
    </xf>
    <xf numFmtId="0" fontId="8" fillId="9" borderId="59" xfId="0" applyFont="1" applyFill="1" applyBorder="1" applyAlignment="1">
      <alignment vertical="center"/>
    </xf>
    <xf numFmtId="1" fontId="8" fillId="25" borderId="46" xfId="0" applyNumberFormat="1" applyFont="1" applyFill="1" applyBorder="1" applyAlignment="1">
      <alignment horizontal="right" vertical="center"/>
    </xf>
    <xf numFmtId="3" fontId="4" fillId="25" borderId="47" xfId="0" applyNumberFormat="1" applyFont="1" applyFill="1" applyBorder="1" applyAlignment="1">
      <alignment vertical="center"/>
    </xf>
    <xf numFmtId="3" fontId="8" fillId="25" borderId="48" xfId="0" applyNumberFormat="1" applyFont="1" applyFill="1" applyBorder="1" applyAlignment="1">
      <alignment vertical="center"/>
    </xf>
    <xf numFmtId="1" fontId="8" fillId="26" borderId="49" xfId="0" quotePrefix="1" applyNumberFormat="1" applyFont="1" applyFill="1" applyBorder="1" applyAlignment="1">
      <alignment horizontal="right" vertical="top"/>
    </xf>
    <xf numFmtId="3" fontId="4" fillId="26" borderId="1" xfId="0" quotePrefix="1" applyNumberFormat="1" applyFont="1" applyFill="1" applyBorder="1" applyAlignment="1">
      <alignment horizontal="right" vertical="top"/>
    </xf>
    <xf numFmtId="3" fontId="8" fillId="26" borderId="50" xfId="0" quotePrefix="1" applyNumberFormat="1" applyFont="1" applyFill="1" applyBorder="1" applyAlignment="1">
      <alignment horizontal="right" vertical="top"/>
    </xf>
    <xf numFmtId="1" fontId="8" fillId="25" borderId="49" xfId="0" applyNumberFormat="1" applyFont="1" applyFill="1" applyBorder="1" applyAlignment="1">
      <alignment horizontal="right" vertical="center"/>
    </xf>
    <xf numFmtId="3" fontId="4" fillId="25" borderId="1" xfId="0" applyNumberFormat="1" applyFont="1" applyFill="1" applyBorder="1" applyAlignment="1">
      <alignment vertical="center"/>
    </xf>
    <xf numFmtId="3" fontId="8" fillId="25" borderId="50" xfId="0" applyNumberFormat="1" applyFont="1" applyFill="1" applyBorder="1" applyAlignment="1">
      <alignment vertical="center"/>
    </xf>
    <xf numFmtId="1" fontId="8" fillId="25" borderId="61" xfId="0" applyNumberFormat="1" applyFont="1" applyFill="1" applyBorder="1" applyAlignment="1">
      <alignment horizontal="right" vertical="center"/>
    </xf>
    <xf numFmtId="3" fontId="4" fillId="25" borderId="7" xfId="0" applyNumberFormat="1" applyFont="1" applyFill="1" applyBorder="1" applyAlignment="1">
      <alignment vertical="center"/>
    </xf>
    <xf numFmtId="1" fontId="8" fillId="26" borderId="43" xfId="0" quotePrefix="1" applyNumberFormat="1" applyFont="1" applyFill="1" applyBorder="1" applyAlignment="1">
      <alignment horizontal="right" vertical="top"/>
    </xf>
    <xf numFmtId="3" fontId="4" fillId="26" borderId="44" xfId="0" quotePrefix="1" applyNumberFormat="1" applyFont="1" applyFill="1" applyBorder="1" applyAlignment="1">
      <alignment horizontal="right" vertical="top"/>
    </xf>
    <xf numFmtId="3" fontId="28" fillId="27" borderId="45" xfId="0" applyNumberFormat="1" applyFont="1" applyFill="1" applyBorder="1" applyAlignment="1">
      <alignment vertical="center"/>
    </xf>
    <xf numFmtId="171" fontId="28" fillId="27" borderId="62" xfId="0" applyNumberFormat="1" applyFont="1" applyFill="1" applyBorder="1" applyAlignment="1">
      <alignment vertical="center"/>
    </xf>
    <xf numFmtId="1" fontId="8" fillId="25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6" fillId="0" borderId="0" xfId="0" applyFont="1" applyAlignment="1"/>
    <xf numFmtId="170" fontId="17" fillId="19" borderId="7" xfId="0" applyNumberFormat="1" applyFont="1" applyFill="1" applyBorder="1"/>
    <xf numFmtId="170" fontId="17" fillId="0" borderId="6" xfId="0" applyNumberFormat="1" applyFont="1" applyBorder="1"/>
    <xf numFmtId="170" fontId="17" fillId="19" borderId="6" xfId="0" applyNumberFormat="1" applyFont="1" applyFill="1" applyBorder="1"/>
    <xf numFmtId="170" fontId="17" fillId="19" borderId="15" xfId="0" applyNumberFormat="1" applyFont="1" applyFill="1" applyBorder="1"/>
    <xf numFmtId="0" fontId="17" fillId="19" borderId="25" xfId="0" applyNumberFormat="1" applyFont="1" applyFill="1" applyBorder="1"/>
    <xf numFmtId="0" fontId="17" fillId="19" borderId="0" xfId="0" applyNumberFormat="1" applyFont="1" applyFill="1" applyBorder="1"/>
    <xf numFmtId="0" fontId="17" fillId="19" borderId="10" xfId="0" applyNumberFormat="1" applyFont="1" applyFill="1" applyBorder="1"/>
    <xf numFmtId="0" fontId="17" fillId="0" borderId="25" xfId="0" applyNumberFormat="1" applyFont="1" applyBorder="1"/>
    <xf numFmtId="0" fontId="17" fillId="0" borderId="0" xfId="0" applyNumberFormat="1" applyFont="1" applyBorder="1"/>
    <xf numFmtId="0" fontId="17" fillId="0" borderId="10" xfId="0" applyNumberFormat="1" applyFont="1" applyBorder="1"/>
    <xf numFmtId="0" fontId="17" fillId="19" borderId="9" xfId="0" applyNumberFormat="1" applyFont="1" applyFill="1" applyBorder="1"/>
    <xf numFmtId="0" fontId="17" fillId="19" borderId="3" xfId="0" applyNumberFormat="1" applyFont="1" applyFill="1" applyBorder="1"/>
    <xf numFmtId="0" fontId="17" fillId="19" borderId="16" xfId="0" applyNumberFormat="1" applyFont="1" applyFill="1" applyBorder="1"/>
    <xf numFmtId="0" fontId="17" fillId="0" borderId="11" xfId="0" applyNumberFormat="1" applyFont="1" applyBorder="1"/>
    <xf numFmtId="0" fontId="17" fillId="0" borderId="24" xfId="0" applyNumberFormat="1" applyFont="1" applyBorder="1"/>
    <xf numFmtId="0" fontId="17" fillId="0" borderId="8" xfId="0" applyNumberFormat="1" applyFont="1" applyBorder="1"/>
    <xf numFmtId="2" fontId="17" fillId="0" borderId="26" xfId="0" applyNumberFormat="1" applyFont="1" applyBorder="1"/>
    <xf numFmtId="0" fontId="17" fillId="0" borderId="26" xfId="0" applyNumberFormat="1" applyFont="1" applyBorder="1"/>
    <xf numFmtId="0" fontId="17" fillId="0" borderId="5" xfId="0" applyNumberFormat="1" applyFont="1" applyBorder="1"/>
    <xf numFmtId="0" fontId="17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7" fillId="19" borderId="11" xfId="0" applyNumberFormat="1" applyFont="1" applyFill="1" applyBorder="1"/>
    <xf numFmtId="0" fontId="17" fillId="19" borderId="24" xfId="0" applyNumberFormat="1" applyFont="1" applyFill="1" applyBorder="1"/>
    <xf numFmtId="9" fontId="17" fillId="19" borderId="7" xfId="0" applyNumberFormat="1" applyFont="1" applyFill="1" applyBorder="1"/>
    <xf numFmtId="2" fontId="0" fillId="0" borderId="1" xfId="0" applyNumberFormat="1" applyBorder="1"/>
    <xf numFmtId="2" fontId="29" fillId="0" borderId="9" xfId="0" applyNumberFormat="1" applyFont="1" applyBorder="1"/>
    <xf numFmtId="2" fontId="29" fillId="19" borderId="35" xfId="0" applyNumberFormat="1" applyFont="1" applyFill="1" applyBorder="1"/>
    <xf numFmtId="2" fontId="29" fillId="0" borderId="35" xfId="0" applyNumberFormat="1" applyFont="1" applyBorder="1"/>
    <xf numFmtId="172" fontId="24" fillId="19" borderId="40" xfId="0" applyNumberFormat="1" applyFont="1" applyFill="1" applyBorder="1"/>
    <xf numFmtId="2" fontId="24" fillId="19" borderId="35" xfId="0" applyNumberFormat="1" applyFont="1" applyFill="1" applyBorder="1"/>
    <xf numFmtId="2" fontId="24" fillId="0" borderId="37" xfId="0" applyNumberFormat="1" applyFont="1" applyBorder="1"/>
    <xf numFmtId="0" fontId="41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left" vertical="center"/>
    </xf>
    <xf numFmtId="2" fontId="45" fillId="0" borderId="0" xfId="0" applyNumberFormat="1" applyFont="1" applyAlignment="1">
      <alignment horizontal="center" vertical="center"/>
    </xf>
    <xf numFmtId="0" fontId="46" fillId="28" borderId="9" xfId="0" applyFont="1" applyFill="1" applyBorder="1" applyAlignment="1">
      <alignment vertical="center" wrapText="1"/>
    </xf>
    <xf numFmtId="0" fontId="46" fillId="28" borderId="3" xfId="0" applyFont="1" applyFill="1" applyBorder="1" applyAlignment="1">
      <alignment vertical="center" wrapText="1"/>
    </xf>
    <xf numFmtId="0" fontId="46" fillId="28" borderId="16" xfId="0" applyFont="1" applyFill="1" applyBorder="1" applyAlignment="1">
      <alignment vertical="center" wrapText="1"/>
    </xf>
    <xf numFmtId="0" fontId="46" fillId="28" borderId="7" xfId="0" applyFont="1" applyFill="1" applyBorder="1" applyAlignment="1">
      <alignment vertical="center" wrapText="1"/>
    </xf>
    <xf numFmtId="0" fontId="47" fillId="0" borderId="0" xfId="0" applyFont="1" applyAlignment="1">
      <alignment vertical="center" wrapText="1"/>
    </xf>
    <xf numFmtId="0" fontId="48" fillId="28" borderId="26" xfId="0" applyFont="1" applyFill="1" applyBorder="1" applyAlignment="1">
      <alignment vertical="center"/>
    </xf>
    <xf numFmtId="0" fontId="48" fillId="28" borderId="5" xfId="0" applyFont="1" applyFill="1" applyBorder="1" applyAlignment="1">
      <alignment vertical="center"/>
    </xf>
    <xf numFmtId="0" fontId="48" fillId="28" borderId="14" xfId="0" applyFont="1" applyFill="1" applyBorder="1" applyAlignment="1">
      <alignment vertical="center"/>
    </xf>
    <xf numFmtId="0" fontId="49" fillId="28" borderId="26" xfId="0" applyFont="1" applyFill="1" applyBorder="1" applyAlignment="1">
      <alignment horizontal="center" vertical="center"/>
    </xf>
    <xf numFmtId="0" fontId="49" fillId="28" borderId="5" xfId="0" applyFont="1" applyFill="1" applyBorder="1" applyAlignment="1">
      <alignment horizontal="center" vertical="center"/>
    </xf>
    <xf numFmtId="0" fontId="49" fillId="28" borderId="14" xfId="0" applyFont="1" applyFill="1" applyBorder="1" applyAlignment="1">
      <alignment horizontal="center" vertical="center"/>
    </xf>
    <xf numFmtId="0" fontId="48" fillId="28" borderId="15" xfId="0" applyFont="1" applyFill="1" applyBorder="1" applyAlignment="1">
      <alignment vertical="center"/>
    </xf>
    <xf numFmtId="0" fontId="49" fillId="29" borderId="26" xfId="0" applyFont="1" applyFill="1" applyBorder="1" applyAlignment="1">
      <alignment horizontal="center" vertical="center"/>
    </xf>
    <xf numFmtId="0" fontId="49" fillId="29" borderId="5" xfId="0" applyFont="1" applyFill="1" applyBorder="1" applyAlignment="1">
      <alignment horizontal="center" vertical="center"/>
    </xf>
    <xf numFmtId="0" fontId="49" fillId="29" borderId="14" xfId="0" applyFont="1" applyFill="1" applyBorder="1" applyAlignment="1">
      <alignment horizontal="center" vertical="center"/>
    </xf>
    <xf numFmtId="0" fontId="50" fillId="9" borderId="25" xfId="0" applyFont="1" applyFill="1" applyBorder="1" applyAlignment="1">
      <alignment vertical="center"/>
    </xf>
    <xf numFmtId="0" fontId="50" fillId="9" borderId="0" xfId="0" applyFont="1" applyFill="1" applyAlignment="1">
      <alignment vertical="center"/>
    </xf>
    <xf numFmtId="0" fontId="50" fillId="9" borderId="10" xfId="0" applyFont="1" applyFill="1" applyBorder="1" applyAlignment="1">
      <alignment vertical="center"/>
    </xf>
    <xf numFmtId="0" fontId="50" fillId="9" borderId="25" xfId="0" applyFont="1" applyFill="1" applyBorder="1" applyAlignment="1">
      <alignment horizontal="center" vertical="center"/>
    </xf>
    <xf numFmtId="0" fontId="50" fillId="9" borderId="0" xfId="0" applyFont="1" applyFill="1" applyAlignment="1">
      <alignment horizontal="center" vertical="center"/>
    </xf>
    <xf numFmtId="0" fontId="50" fillId="9" borderId="10" xfId="0" applyFont="1" applyFill="1" applyBorder="1" applyAlignment="1">
      <alignment horizontal="center" vertical="center"/>
    </xf>
    <xf numFmtId="0" fontId="50" fillId="9" borderId="6" xfId="0" applyFont="1" applyFill="1" applyBorder="1" applyAlignment="1">
      <alignment vertical="center"/>
    </xf>
    <xf numFmtId="0" fontId="51" fillId="0" borderId="0" xfId="0" applyFont="1" applyAlignment="1">
      <alignment vertical="center"/>
    </xf>
    <xf numFmtId="0" fontId="51" fillId="0" borderId="25" xfId="0" applyFont="1" applyBorder="1" applyAlignment="1">
      <alignment vertical="center"/>
    </xf>
    <xf numFmtId="1" fontId="51" fillId="0" borderId="0" xfId="0" applyNumberFormat="1" applyFont="1" applyAlignment="1">
      <alignment vertical="center"/>
    </xf>
    <xf numFmtId="1" fontId="51" fillId="0" borderId="10" xfId="0" applyNumberFormat="1" applyFont="1" applyBorder="1" applyAlignment="1">
      <alignment vertical="center"/>
    </xf>
    <xf numFmtId="1" fontId="51" fillId="0" borderId="25" xfId="0" applyNumberFormat="1" applyFont="1" applyBorder="1" applyAlignment="1">
      <alignment horizontal="center" vertical="center"/>
    </xf>
    <xf numFmtId="1" fontId="51" fillId="0" borderId="0" xfId="0" applyNumberFormat="1" applyFont="1" applyAlignment="1">
      <alignment horizontal="center" vertical="center"/>
    </xf>
    <xf numFmtId="1" fontId="51" fillId="0" borderId="10" xfId="0" applyNumberFormat="1" applyFont="1" applyBorder="1" applyAlignment="1">
      <alignment horizontal="center" vertical="center"/>
    </xf>
    <xf numFmtId="165" fontId="51" fillId="0" borderId="0" xfId="0" applyNumberFormat="1" applyFont="1" applyAlignment="1">
      <alignment horizontal="center" vertical="center"/>
    </xf>
    <xf numFmtId="165" fontId="51" fillId="0" borderId="10" xfId="0" applyNumberFormat="1" applyFont="1" applyBorder="1" applyAlignment="1">
      <alignment horizontal="center" vertical="center"/>
    </xf>
    <xf numFmtId="3" fontId="51" fillId="0" borderId="0" xfId="0" applyNumberFormat="1" applyFont="1" applyAlignment="1">
      <alignment horizontal="center" vertical="center"/>
    </xf>
    <xf numFmtId="3" fontId="51" fillId="0" borderId="10" xfId="0" applyNumberFormat="1" applyFont="1" applyBorder="1" applyAlignment="1">
      <alignment horizontal="center" vertical="center"/>
    </xf>
    <xf numFmtId="3" fontId="51" fillId="0" borderId="25" xfId="0" applyNumberFormat="1" applyFont="1" applyBorder="1" applyAlignment="1">
      <alignment horizontal="center" vertical="center"/>
    </xf>
    <xf numFmtId="0" fontId="51" fillId="0" borderId="6" xfId="0" applyFont="1" applyBorder="1" applyAlignment="1">
      <alignment vertical="center"/>
    </xf>
    <xf numFmtId="3" fontId="52" fillId="0" borderId="0" xfId="0" applyNumberFormat="1" applyFont="1" applyAlignment="1">
      <alignment horizontal="center" vertical="center"/>
    </xf>
    <xf numFmtId="3" fontId="52" fillId="0" borderId="10" xfId="0" applyNumberFormat="1" applyFont="1" applyBorder="1" applyAlignment="1">
      <alignment horizontal="center" vertical="center"/>
    </xf>
    <xf numFmtId="3" fontId="52" fillId="0" borderId="25" xfId="0" applyNumberFormat="1" applyFont="1" applyBorder="1" applyAlignment="1">
      <alignment horizontal="center" vertical="center"/>
    </xf>
    <xf numFmtId="3" fontId="53" fillId="0" borderId="0" xfId="0" applyNumberFormat="1" applyFont="1" applyAlignment="1">
      <alignment horizontal="center" vertical="center"/>
    </xf>
    <xf numFmtId="3" fontId="53" fillId="0" borderId="10" xfId="0" applyNumberFormat="1" applyFont="1" applyBorder="1" applyAlignment="1">
      <alignment horizontal="center" vertical="center"/>
    </xf>
    <xf numFmtId="3" fontId="54" fillId="0" borderId="0" xfId="0" applyNumberFormat="1" applyFont="1" applyAlignment="1">
      <alignment horizontal="center" vertical="center"/>
    </xf>
    <xf numFmtId="3" fontId="54" fillId="0" borderId="10" xfId="0" applyNumberFormat="1" applyFont="1" applyBorder="1" applyAlignment="1">
      <alignment horizontal="center" vertical="center"/>
    </xf>
    <xf numFmtId="1" fontId="52" fillId="0" borderId="0" xfId="0" applyNumberFormat="1" applyFont="1" applyAlignment="1">
      <alignment horizontal="center" vertical="center"/>
    </xf>
    <xf numFmtId="1" fontId="52" fillId="0" borderId="10" xfId="0" applyNumberFormat="1" applyFont="1" applyBorder="1" applyAlignment="1">
      <alignment horizontal="center" vertical="center"/>
    </xf>
    <xf numFmtId="165" fontId="50" fillId="9" borderId="0" xfId="0" applyNumberFormat="1" applyFont="1" applyFill="1" applyAlignment="1">
      <alignment horizontal="center" vertical="center"/>
    </xf>
    <xf numFmtId="165" fontId="50" fillId="9" borderId="10" xfId="0" applyNumberFormat="1" applyFont="1" applyFill="1" applyBorder="1" applyAlignment="1">
      <alignment horizontal="center" vertical="center"/>
    </xf>
    <xf numFmtId="1" fontId="52" fillId="0" borderId="25" xfId="0" applyNumberFormat="1" applyFont="1" applyBorder="1" applyAlignment="1">
      <alignment horizontal="center" vertical="center"/>
    </xf>
    <xf numFmtId="3" fontId="52" fillId="0" borderId="0" xfId="0" applyNumberFormat="1" applyFont="1"/>
    <xf numFmtId="3" fontId="52" fillId="0" borderId="10" xfId="0" applyNumberFormat="1" applyFont="1" applyBorder="1"/>
    <xf numFmtId="169" fontId="52" fillId="0" borderId="0" xfId="0" applyNumberFormat="1" applyFont="1" applyAlignment="1">
      <alignment horizontal="center" vertical="center"/>
    </xf>
    <xf numFmtId="1" fontId="51" fillId="0" borderId="6" xfId="0" applyNumberFormat="1" applyFont="1" applyBorder="1" applyAlignment="1">
      <alignment vertical="center"/>
    </xf>
    <xf numFmtId="1" fontId="52" fillId="0" borderId="10" xfId="0" applyNumberFormat="1" applyFont="1" applyBorder="1" applyAlignment="1">
      <alignment vertical="center"/>
    </xf>
    <xf numFmtId="9" fontId="52" fillId="0" borderId="0" xfId="3" applyFont="1" applyBorder="1"/>
    <xf numFmtId="9" fontId="52" fillId="0" borderId="10" xfId="3" applyFont="1" applyBorder="1"/>
    <xf numFmtId="9" fontId="52" fillId="0" borderId="25" xfId="3" applyFont="1" applyBorder="1"/>
    <xf numFmtId="2" fontId="51" fillId="0" borderId="0" xfId="0" applyNumberFormat="1" applyFont="1" applyAlignment="1">
      <alignment horizontal="center" vertical="center"/>
    </xf>
    <xf numFmtId="2" fontId="52" fillId="0" borderId="0" xfId="0" applyNumberFormat="1" applyFont="1" applyAlignment="1">
      <alignment horizontal="center" vertical="center"/>
    </xf>
    <xf numFmtId="165" fontId="52" fillId="0" borderId="25" xfId="0" applyNumberFormat="1" applyFont="1" applyBorder="1" applyAlignment="1">
      <alignment horizontal="center" vertical="center"/>
    </xf>
    <xf numFmtId="165" fontId="52" fillId="0" borderId="0" xfId="0" applyNumberFormat="1" applyFont="1" applyAlignment="1">
      <alignment horizontal="center" vertical="center"/>
    </xf>
    <xf numFmtId="3" fontId="45" fillId="0" borderId="0" xfId="0" applyNumberFormat="1" applyFont="1" applyAlignment="1">
      <alignment horizontal="center" vertical="center"/>
    </xf>
    <xf numFmtId="169" fontId="51" fillId="0" borderId="0" xfId="0" applyNumberFormat="1" applyFont="1" applyAlignment="1">
      <alignment horizontal="center" vertical="center"/>
    </xf>
    <xf numFmtId="169" fontId="51" fillId="0" borderId="10" xfId="0" applyNumberFormat="1" applyFont="1" applyBorder="1" applyAlignment="1">
      <alignment horizontal="center" vertical="center"/>
    </xf>
    <xf numFmtId="9" fontId="52" fillId="0" borderId="0" xfId="3" applyFont="1" applyAlignment="1">
      <alignment vertical="center"/>
    </xf>
    <xf numFmtId="9" fontId="52" fillId="0" borderId="0" xfId="3" applyFont="1"/>
    <xf numFmtId="165" fontId="51" fillId="0" borderId="25" xfId="0" applyNumberFormat="1" applyFont="1" applyBorder="1" applyAlignment="1">
      <alignment horizontal="center" vertical="center"/>
    </xf>
    <xf numFmtId="0" fontId="51" fillId="12" borderId="25" xfId="0" applyFont="1" applyFill="1" applyBorder="1" applyAlignment="1">
      <alignment vertical="center"/>
    </xf>
    <xf numFmtId="1" fontId="51" fillId="12" borderId="0" xfId="0" applyNumberFormat="1" applyFont="1" applyFill="1" applyAlignment="1">
      <alignment vertical="center"/>
    </xf>
    <xf numFmtId="1" fontId="51" fillId="12" borderId="10" xfId="0" applyNumberFormat="1" applyFont="1" applyFill="1" applyBorder="1" applyAlignment="1">
      <alignment vertical="center"/>
    </xf>
    <xf numFmtId="1" fontId="51" fillId="12" borderId="25" xfId="0" applyNumberFormat="1" applyFont="1" applyFill="1" applyBorder="1" applyAlignment="1">
      <alignment horizontal="center" vertical="center"/>
    </xf>
    <xf numFmtId="1" fontId="51" fillId="12" borderId="0" xfId="0" applyNumberFormat="1" applyFont="1" applyFill="1" applyAlignment="1">
      <alignment horizontal="center" vertical="center"/>
    </xf>
    <xf numFmtId="1" fontId="51" fillId="12" borderId="10" xfId="0" applyNumberFormat="1" applyFont="1" applyFill="1" applyBorder="1" applyAlignment="1">
      <alignment horizontal="center" vertical="center"/>
    </xf>
    <xf numFmtId="165" fontId="51" fillId="12" borderId="0" xfId="0" applyNumberFormat="1" applyFont="1" applyFill="1" applyAlignment="1">
      <alignment horizontal="center" vertical="center"/>
    </xf>
    <xf numFmtId="165" fontId="51" fillId="12" borderId="10" xfId="0" applyNumberFormat="1" applyFont="1" applyFill="1" applyBorder="1" applyAlignment="1">
      <alignment horizontal="center" vertical="center"/>
    </xf>
    <xf numFmtId="3" fontId="51" fillId="12" borderId="25" xfId="0" applyNumberFormat="1" applyFont="1" applyFill="1" applyBorder="1" applyAlignment="1">
      <alignment horizontal="center" vertical="center"/>
    </xf>
    <xf numFmtId="3" fontId="51" fillId="12" borderId="0" xfId="0" applyNumberFormat="1" applyFont="1" applyFill="1" applyAlignment="1">
      <alignment horizontal="center" vertical="center"/>
    </xf>
    <xf numFmtId="3" fontId="51" fillId="12" borderId="10" xfId="0" applyNumberFormat="1" applyFont="1" applyFill="1" applyBorder="1" applyAlignment="1">
      <alignment horizontal="center" vertical="center"/>
    </xf>
    <xf numFmtId="0" fontId="51" fillId="12" borderId="6" xfId="0" applyFont="1" applyFill="1" applyBorder="1" applyAlignment="1">
      <alignment vertical="center"/>
    </xf>
    <xf numFmtId="0" fontId="51" fillId="12" borderId="26" xfId="0" applyFont="1" applyFill="1" applyBorder="1" applyAlignment="1">
      <alignment vertical="center"/>
    </xf>
    <xf numFmtId="1" fontId="51" fillId="12" borderId="5" xfId="0" applyNumberFormat="1" applyFont="1" applyFill="1" applyBorder="1" applyAlignment="1">
      <alignment vertical="center"/>
    </xf>
    <xf numFmtId="1" fontId="51" fillId="12" borderId="14" xfId="0" applyNumberFormat="1" applyFont="1" applyFill="1" applyBorder="1" applyAlignment="1">
      <alignment vertical="center"/>
    </xf>
    <xf numFmtId="1" fontId="51" fillId="12" borderId="26" xfId="0" applyNumberFormat="1" applyFont="1" applyFill="1" applyBorder="1" applyAlignment="1">
      <alignment horizontal="center" vertical="center"/>
    </xf>
    <xf numFmtId="1" fontId="51" fillId="12" borderId="5" xfId="0" applyNumberFormat="1" applyFont="1" applyFill="1" applyBorder="1" applyAlignment="1">
      <alignment horizontal="center" vertical="center"/>
    </xf>
    <xf numFmtId="1" fontId="51" fillId="12" borderId="14" xfId="0" applyNumberFormat="1" applyFont="1" applyFill="1" applyBorder="1" applyAlignment="1">
      <alignment horizontal="center" vertical="center"/>
    </xf>
    <xf numFmtId="165" fontId="51" fillId="12" borderId="5" xfId="0" applyNumberFormat="1" applyFont="1" applyFill="1" applyBorder="1" applyAlignment="1">
      <alignment horizontal="center" vertical="center"/>
    </xf>
    <xf numFmtId="165" fontId="51" fillId="12" borderId="14" xfId="0" applyNumberFormat="1" applyFont="1" applyFill="1" applyBorder="1" applyAlignment="1">
      <alignment horizontal="center" vertical="center"/>
    </xf>
    <xf numFmtId="0" fontId="51" fillId="12" borderId="15" xfId="0" applyFont="1" applyFill="1" applyBorder="1" applyAlignment="1">
      <alignment vertical="center"/>
    </xf>
    <xf numFmtId="3" fontId="51" fillId="12" borderId="5" xfId="0" applyNumberFormat="1" applyFont="1" applyFill="1" applyBorder="1" applyAlignment="1">
      <alignment horizontal="center" vertical="center"/>
    </xf>
    <xf numFmtId="3" fontId="51" fillId="12" borderId="14" xfId="0" applyNumberFormat="1" applyFont="1" applyFill="1" applyBorder="1" applyAlignment="1">
      <alignment horizontal="center" vertical="center"/>
    </xf>
    <xf numFmtId="2" fontId="42" fillId="0" borderId="0" xfId="0" applyNumberFormat="1" applyFont="1" applyAlignment="1">
      <alignment horizontal="center" vertical="center"/>
    </xf>
    <xf numFmtId="0" fontId="0" fillId="0" borderId="0" xfId="0" applyFill="1"/>
    <xf numFmtId="10" fontId="0" fillId="0" borderId="0" xfId="3" applyNumberFormat="1" applyFont="1"/>
    <xf numFmtId="165" fontId="51" fillId="0" borderId="0" xfId="3" applyNumberFormat="1" applyFont="1" applyBorder="1" applyAlignment="1">
      <alignment horizontal="center" vertical="center"/>
    </xf>
    <xf numFmtId="165" fontId="51" fillId="0" borderId="10" xfId="3" applyNumberFormat="1" applyFont="1" applyBorder="1" applyAlignment="1">
      <alignment horizontal="center" vertical="center"/>
    </xf>
    <xf numFmtId="165" fontId="52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8" fillId="17" borderId="23" xfId="0" applyFont="1" applyFill="1" applyBorder="1" applyAlignment="1">
      <alignment horizontal="left" vertical="center"/>
    </xf>
    <xf numFmtId="0" fontId="17" fillId="21" borderId="1" xfId="0" applyFont="1" applyFill="1" applyBorder="1" applyAlignment="1">
      <alignment vertical="center" wrapText="1"/>
    </xf>
    <xf numFmtId="0" fontId="17" fillId="21" borderId="11" xfId="0" applyFont="1" applyFill="1" applyBorder="1" applyAlignment="1">
      <alignment vertical="center" wrapText="1"/>
    </xf>
    <xf numFmtId="0" fontId="11" fillId="21" borderId="1" xfId="0" applyFont="1" applyFill="1" applyBorder="1" applyAlignment="1">
      <alignment vertical="center"/>
    </xf>
    <xf numFmtId="0" fontId="0" fillId="3" borderId="0" xfId="0" applyFill="1"/>
    <xf numFmtId="10" fontId="0" fillId="3" borderId="0" xfId="3" applyNumberFormat="1" applyFont="1" applyFill="1"/>
    <xf numFmtId="1" fontId="0" fillId="3" borderId="0" xfId="0" applyNumberFormat="1" applyFill="1"/>
    <xf numFmtId="2" fontId="17" fillId="30" borderId="25" xfId="0" applyNumberFormat="1" applyFont="1" applyFill="1" applyBorder="1"/>
    <xf numFmtId="2" fontId="17" fillId="31" borderId="25" xfId="0" applyNumberFormat="1" applyFont="1" applyFill="1" applyBorder="1"/>
    <xf numFmtId="0" fontId="17" fillId="21" borderId="9" xfId="0" applyFont="1" applyFill="1" applyBorder="1" applyAlignment="1">
      <alignment horizontal="center" vertical="center" wrapText="1"/>
    </xf>
    <xf numFmtId="0" fontId="17" fillId="21" borderId="6" xfId="0" applyFont="1" applyFill="1" applyBorder="1" applyAlignment="1">
      <alignment horizontal="center" vertical="center" wrapText="1"/>
    </xf>
    <xf numFmtId="0" fontId="11" fillId="21" borderId="7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29" fillId="0" borderId="0" xfId="0" applyFont="1"/>
    <xf numFmtId="1" fontId="29" fillId="0" borderId="54" xfId="0" applyNumberFormat="1" applyFont="1" applyBorder="1"/>
    <xf numFmtId="2" fontId="29" fillId="0" borderId="54" xfId="0" applyNumberFormat="1" applyFont="1" applyBorder="1"/>
    <xf numFmtId="2" fontId="29" fillId="0" borderId="60" xfId="0" applyNumberFormat="1" applyFont="1" applyBorder="1"/>
    <xf numFmtId="2" fontId="29" fillId="0" borderId="59" xfId="0" applyNumberFormat="1" applyFont="1" applyBorder="1"/>
    <xf numFmtId="1" fontId="29" fillId="19" borderId="66" xfId="0" applyNumberFormat="1" applyFont="1" applyFill="1" applyBorder="1"/>
    <xf numFmtId="2" fontId="29" fillId="19" borderId="66" xfId="0" applyNumberFormat="1" applyFont="1" applyFill="1" applyBorder="1"/>
    <xf numFmtId="2" fontId="29" fillId="19" borderId="67" xfId="0" applyNumberFormat="1" applyFont="1" applyFill="1" applyBorder="1"/>
    <xf numFmtId="173" fontId="0" fillId="0" borderId="0" xfId="3" applyNumberFormat="1" applyFont="1"/>
    <xf numFmtId="9" fontId="0" fillId="0" borderId="0" xfId="0" applyNumberFormat="1"/>
    <xf numFmtId="173" fontId="0" fillId="0" borderId="0" xfId="0" applyNumberFormat="1"/>
    <xf numFmtId="1" fontId="29" fillId="0" borderId="68" xfId="0" applyNumberFormat="1" applyFont="1" applyBorder="1"/>
    <xf numFmtId="2" fontId="29" fillId="0" borderId="68" xfId="0" applyNumberFormat="1" applyFont="1" applyBorder="1"/>
    <xf numFmtId="2" fontId="29" fillId="0" borderId="69" xfId="0" applyNumberFormat="1" applyFont="1" applyBorder="1"/>
    <xf numFmtId="1" fontId="29" fillId="19" borderId="70" xfId="0" applyNumberFormat="1" applyFont="1" applyFill="1" applyBorder="1"/>
    <xf numFmtId="2" fontId="29" fillId="19" borderId="70" xfId="0" applyNumberFormat="1" applyFont="1" applyFill="1" applyBorder="1"/>
    <xf numFmtId="2" fontId="29" fillId="19" borderId="71" xfId="0" applyNumberFormat="1" applyFont="1" applyFill="1" applyBorder="1"/>
    <xf numFmtId="2" fontId="29" fillId="19" borderId="72" xfId="0" applyNumberFormat="1" applyFont="1" applyFill="1" applyBorder="1"/>
    <xf numFmtId="173" fontId="30" fillId="33" borderId="0" xfId="0" applyNumberFormat="1" applyFont="1" applyFill="1"/>
    <xf numFmtId="172" fontId="0" fillId="0" borderId="0" xfId="0" applyNumberFormat="1"/>
    <xf numFmtId="172" fontId="24" fillId="0" borderId="41" xfId="0" applyNumberFormat="1" applyFont="1" applyBorder="1"/>
    <xf numFmtId="172" fontId="6" fillId="0" borderId="6" xfId="0" applyNumberFormat="1" applyFont="1" applyBorder="1"/>
    <xf numFmtId="172" fontId="6" fillId="19" borderId="40" xfId="0" applyNumberFormat="1" applyFont="1" applyFill="1" applyBorder="1"/>
    <xf numFmtId="172" fontId="6" fillId="0" borderId="40" xfId="0" applyNumberFormat="1" applyFont="1" applyBorder="1"/>
    <xf numFmtId="0" fontId="29" fillId="0" borderId="56" xfId="0" applyFont="1" applyBorder="1"/>
    <xf numFmtId="0" fontId="29" fillId="0" borderId="58" xfId="0" applyFont="1" applyBorder="1"/>
    <xf numFmtId="0" fontId="29" fillId="0" borderId="59" xfId="0" applyFont="1" applyBorder="1"/>
    <xf numFmtId="0" fontId="29" fillId="19" borderId="73" xfId="0" applyFont="1" applyFill="1" applyBorder="1"/>
    <xf numFmtId="0" fontId="29" fillId="19" borderId="74" xfId="0" applyFont="1" applyFill="1" applyBorder="1"/>
    <xf numFmtId="0" fontId="29" fillId="19" borderId="72" xfId="0" applyFont="1" applyFill="1" applyBorder="1"/>
    <xf numFmtId="0" fontId="29" fillId="0" borderId="63" xfId="0" applyFont="1" applyBorder="1"/>
    <xf numFmtId="0" fontId="29" fillId="0" borderId="6" xfId="0" applyFont="1" applyBorder="1"/>
    <xf numFmtId="0" fontId="29" fillId="0" borderId="75" xfId="0" applyFont="1" applyBorder="1"/>
    <xf numFmtId="0" fontId="29" fillId="19" borderId="76" xfId="0" applyFont="1" applyFill="1" applyBorder="1"/>
    <xf numFmtId="0" fontId="29" fillId="19" borderId="41" xfId="0" applyFont="1" applyFill="1" applyBorder="1"/>
    <xf numFmtId="0" fontId="29" fillId="19" borderId="77" xfId="0" applyFont="1" applyFill="1" applyBorder="1"/>
    <xf numFmtId="0" fontId="29" fillId="0" borderId="61" xfId="0" applyFont="1" applyBorder="1"/>
    <xf numFmtId="0" fontId="29" fillId="0" borderId="69" xfId="0" applyFont="1" applyBorder="1"/>
    <xf numFmtId="166" fontId="6" fillId="0" borderId="58" xfId="0" applyNumberFormat="1" applyFont="1" applyBorder="1"/>
    <xf numFmtId="166" fontId="6" fillId="19" borderId="41" xfId="0" applyNumberFormat="1" applyFont="1" applyFill="1" applyBorder="1"/>
    <xf numFmtId="166" fontId="6" fillId="0" borderId="7" xfId="0" applyNumberFormat="1" applyFont="1" applyBorder="1"/>
    <xf numFmtId="166" fontId="6" fillId="0" borderId="6" xfId="0" applyNumberFormat="1" applyFont="1" applyBorder="1"/>
    <xf numFmtId="166" fontId="6" fillId="19" borderId="74" xfId="0" applyNumberFormat="1" applyFont="1" applyFill="1" applyBorder="1"/>
    <xf numFmtId="0" fontId="29" fillId="0" borderId="54" xfId="0" applyFont="1" applyBorder="1"/>
    <xf numFmtId="0" fontId="29" fillId="0" borderId="60" xfId="0" applyFont="1" applyBorder="1"/>
    <xf numFmtId="0" fontId="29" fillId="0" borderId="28" xfId="0" applyFont="1" applyBorder="1"/>
    <xf numFmtId="0" fontId="29" fillId="0" borderId="55" xfId="0" applyFont="1" applyBorder="1"/>
    <xf numFmtId="0" fontId="29" fillId="19" borderId="66" xfId="0" applyFont="1" applyFill="1" applyBorder="1"/>
    <xf numFmtId="0" fontId="29" fillId="0" borderId="68" xfId="0" applyFont="1" applyBorder="1"/>
    <xf numFmtId="0" fontId="29" fillId="0" borderId="0" xfId="0" applyFont="1" applyBorder="1"/>
    <xf numFmtId="0" fontId="29" fillId="19" borderId="70" xfId="0" applyFont="1" applyFill="1" applyBorder="1"/>
    <xf numFmtId="0" fontId="29" fillId="19" borderId="71" xfId="0" applyFont="1" applyFill="1" applyBorder="1"/>
    <xf numFmtId="0" fontId="29" fillId="19" borderId="78" xfId="0" applyFont="1" applyFill="1" applyBorder="1"/>
    <xf numFmtId="0" fontId="29" fillId="19" borderId="79" xfId="0" applyFont="1" applyFill="1" applyBorder="1"/>
    <xf numFmtId="0" fontId="29" fillId="0" borderId="80" xfId="0" applyFont="1" applyBorder="1"/>
    <xf numFmtId="0" fontId="29" fillId="19" borderId="38" xfId="0" applyFont="1" applyFill="1" applyBorder="1"/>
    <xf numFmtId="0" fontId="29" fillId="19" borderId="81" xfId="0" applyFont="1" applyFill="1" applyBorder="1"/>
    <xf numFmtId="2" fontId="17" fillId="31" borderId="0" xfId="0" applyNumberFormat="1" applyFont="1" applyFill="1" applyBorder="1"/>
    <xf numFmtId="167" fontId="6" fillId="0" borderId="2" xfId="0" applyNumberFormat="1" applyFont="1" applyBorder="1"/>
    <xf numFmtId="1" fontId="0" fillId="0" borderId="1" xfId="0" applyNumberFormat="1" applyBorder="1"/>
    <xf numFmtId="1" fontId="8" fillId="0" borderId="1" xfId="0" applyNumberFormat="1" applyFont="1" applyBorder="1"/>
    <xf numFmtId="1" fontId="8" fillId="0" borderId="1" xfId="0" applyNumberFormat="1" applyFont="1" applyBorder="1" applyAlignment="1">
      <alignment wrapText="1"/>
    </xf>
    <xf numFmtId="9" fontId="0" fillId="0" borderId="1" xfId="3" applyFont="1" applyBorder="1"/>
    <xf numFmtId="165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0" fillId="0" borderId="25" xfId="0" applyBorder="1"/>
    <xf numFmtId="165" fontId="0" fillId="0" borderId="0" xfId="0" applyNumberFormat="1"/>
    <xf numFmtId="0" fontId="8" fillId="0" borderId="0" xfId="0" applyFont="1"/>
    <xf numFmtId="165" fontId="0" fillId="0" borderId="0" xfId="0" applyNumberFormat="1"/>
    <xf numFmtId="10" fontId="0" fillId="0" borderId="0" xfId="0" applyNumberFormat="1"/>
    <xf numFmtId="10" fontId="12" fillId="6" borderId="0" xfId="0" applyNumberFormat="1" applyFont="1" applyFill="1"/>
    <xf numFmtId="0" fontId="14" fillId="0" borderId="0" xfId="0" applyFont="1"/>
    <xf numFmtId="9" fontId="14" fillId="0" borderId="0" xfId="0" applyNumberFormat="1" applyFont="1"/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5" fontId="0" fillId="0" borderId="86" xfId="0" applyNumberFormat="1" applyBorder="1" applyAlignment="1">
      <alignment horizontal="center"/>
    </xf>
    <xf numFmtId="0" fontId="8" fillId="0" borderId="15" xfId="0" applyFont="1" applyBorder="1" applyAlignment="1">
      <alignment horizontal="center"/>
    </xf>
    <xf numFmtId="165" fontId="8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3" applyFont="1" applyFill="1" applyBorder="1"/>
    <xf numFmtId="9" fontId="0" fillId="6" borderId="0" xfId="0" applyNumberFormat="1" applyFill="1"/>
    <xf numFmtId="165" fontId="0" fillId="34" borderId="0" xfId="0" applyNumberFormat="1" applyFill="1"/>
    <xf numFmtId="2" fontId="0" fillId="34" borderId="0" xfId="0" applyNumberFormat="1" applyFill="1"/>
    <xf numFmtId="2" fontId="3" fillId="34" borderId="0" xfId="0" applyNumberFormat="1" applyFont="1" applyFill="1"/>
    <xf numFmtId="0" fontId="0" fillId="0" borderId="0" xfId="0" applyFill="1" applyBorder="1"/>
    <xf numFmtId="167" fontId="57" fillId="35" borderId="0" xfId="4" applyNumberFormat="1"/>
    <xf numFmtId="167" fontId="57" fillId="35" borderId="0" xfId="4" applyNumberFormat="1" applyBorder="1" applyAlignment="1" applyProtection="1"/>
    <xf numFmtId="0" fontId="57" fillId="35" borderId="0" xfId="4"/>
    <xf numFmtId="167" fontId="58" fillId="5" borderId="2" xfId="0" applyNumberFormat="1" applyFont="1" applyFill="1" applyBorder="1" applyAlignment="1">
      <alignment horizontal="center" vertical="center" wrapText="1"/>
    </xf>
    <xf numFmtId="167" fontId="58" fillId="5" borderId="4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11" fillId="0" borderId="0" xfId="0" quotePrefix="1" applyFont="1"/>
    <xf numFmtId="0" fontId="12" fillId="4" borderId="0" xfId="0" applyFont="1" applyFill="1" applyAlignment="1">
      <alignment vertical="center"/>
    </xf>
    <xf numFmtId="0" fontId="59" fillId="0" borderId="50" xfId="0" applyFont="1" applyBorder="1" applyAlignment="1">
      <alignment horizontal="center"/>
    </xf>
    <xf numFmtId="0" fontId="38" fillId="11" borderId="49" xfId="0" applyFont="1" applyFill="1" applyBorder="1"/>
    <xf numFmtId="17" fontId="31" fillId="11" borderId="1" xfId="0" applyNumberFormat="1" applyFont="1" applyFill="1" applyBorder="1" applyAlignment="1">
      <alignment horizontal="right"/>
    </xf>
    <xf numFmtId="0" fontId="31" fillId="11" borderId="50" xfId="0" applyFont="1" applyFill="1" applyBorder="1"/>
    <xf numFmtId="0" fontId="31" fillId="4" borderId="1" xfId="0" applyFont="1" applyFill="1" applyBorder="1"/>
    <xf numFmtId="0" fontId="59" fillId="15" borderId="50" xfId="0" applyFont="1" applyFill="1" applyBorder="1" applyAlignment="1">
      <alignment horizontal="center"/>
    </xf>
    <xf numFmtId="0" fontId="2" fillId="4" borderId="0" xfId="0" applyFont="1" applyFill="1" applyAlignment="1">
      <alignment vertical="center"/>
    </xf>
    <xf numFmtId="17" fontId="31" fillId="0" borderId="0" xfId="0" applyNumberFormat="1" applyFont="1"/>
    <xf numFmtId="0" fontId="59" fillId="34" borderId="0" xfId="0" applyFont="1" applyFill="1" applyAlignment="1">
      <alignment horizontal="center"/>
    </xf>
    <xf numFmtId="0" fontId="17" fillId="4" borderId="0" xfId="0" applyFont="1" applyFill="1" applyAlignment="1">
      <alignment horizontal="left" vertical="center"/>
    </xf>
    <xf numFmtId="0" fontId="18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/>
    </xf>
    <xf numFmtId="165" fontId="32" fillId="23" borderId="42" xfId="0" applyNumberFormat="1" applyFont="1" applyFill="1" applyBorder="1" applyAlignment="1">
      <alignment horizontal="center" vertical="center"/>
    </xf>
    <xf numFmtId="165" fontId="32" fillId="23" borderId="27" xfId="0" applyNumberFormat="1" applyFont="1" applyFill="1" applyBorder="1" applyAlignment="1">
      <alignment horizontal="center" vertical="center"/>
    </xf>
    <xf numFmtId="165" fontId="32" fillId="23" borderId="13" xfId="0" applyNumberFormat="1" applyFont="1" applyFill="1" applyBorder="1" applyAlignment="1">
      <alignment horizontal="center" vertical="center"/>
    </xf>
    <xf numFmtId="0" fontId="37" fillId="8" borderId="54" xfId="0" applyFont="1" applyFill="1" applyBorder="1" applyAlignment="1">
      <alignment horizontal="center" vertical="center"/>
    </xf>
    <xf numFmtId="0" fontId="37" fillId="8" borderId="28" xfId="0" applyFont="1" applyFill="1" applyBorder="1" applyAlignment="1">
      <alignment horizontal="center" vertical="center"/>
    </xf>
    <xf numFmtId="0" fontId="37" fillId="8" borderId="55" xfId="0" applyFont="1" applyFill="1" applyBorder="1" applyAlignment="1">
      <alignment horizontal="center" vertical="center"/>
    </xf>
    <xf numFmtId="165" fontId="32" fillId="10" borderId="54" xfId="0" applyNumberFormat="1" applyFont="1" applyFill="1" applyBorder="1" applyAlignment="1">
      <alignment horizontal="center" vertical="center"/>
    </xf>
    <xf numFmtId="165" fontId="32" fillId="10" borderId="55" xfId="0" applyNumberFormat="1" applyFont="1" applyFill="1" applyBorder="1" applyAlignment="1">
      <alignment horizontal="center" vertical="center"/>
    </xf>
    <xf numFmtId="0" fontId="39" fillId="24" borderId="2" xfId="0" applyFont="1" applyFill="1" applyBorder="1" applyAlignment="1">
      <alignment horizontal="center" vertical="center"/>
    </xf>
    <xf numFmtId="0" fontId="17" fillId="21" borderId="9" xfId="0" applyFont="1" applyFill="1" applyBorder="1" applyAlignment="1">
      <alignment horizontal="center" vertical="center" wrapText="1"/>
    </xf>
    <xf numFmtId="0" fontId="17" fillId="21" borderId="3" xfId="0" applyFont="1" applyFill="1" applyBorder="1" applyAlignment="1">
      <alignment horizontal="center" vertical="center" wrapText="1"/>
    </xf>
    <xf numFmtId="0" fontId="17" fillId="21" borderId="16" xfId="0" applyFont="1" applyFill="1" applyBorder="1" applyAlignment="1">
      <alignment horizontal="center" vertical="center" wrapText="1"/>
    </xf>
    <xf numFmtId="0" fontId="17" fillId="21" borderId="11" xfId="0" applyFont="1" applyFill="1" applyBorder="1" applyAlignment="1">
      <alignment horizontal="center" vertical="center" wrapText="1"/>
    </xf>
    <xf numFmtId="0" fontId="17" fillId="21" borderId="8" xfId="0" applyFont="1" applyFill="1" applyBorder="1" applyAlignment="1">
      <alignment horizontal="center" vertical="center" wrapText="1"/>
    </xf>
    <xf numFmtId="0" fontId="17" fillId="21" borderId="24" xfId="0" applyFont="1" applyFill="1" applyBorder="1" applyAlignment="1">
      <alignment horizontal="center" vertical="center" wrapText="1"/>
    </xf>
    <xf numFmtId="0" fontId="17" fillId="18" borderId="11" xfId="0" applyFont="1" applyFill="1" applyBorder="1" applyAlignment="1">
      <alignment horizontal="center" vertical="center"/>
    </xf>
    <xf numFmtId="0" fontId="17" fillId="18" borderId="24" xfId="0" applyFont="1" applyFill="1" applyBorder="1" applyAlignment="1">
      <alignment horizontal="center" vertical="center"/>
    </xf>
    <xf numFmtId="0" fontId="17" fillId="18" borderId="8" xfId="0" applyFont="1" applyFill="1" applyBorder="1" applyAlignment="1">
      <alignment horizontal="center" vertical="center"/>
    </xf>
    <xf numFmtId="0" fontId="17" fillId="18" borderId="11" xfId="0" applyFont="1" applyFill="1" applyBorder="1" applyAlignment="1">
      <alignment horizontal="center" vertical="center" wrapText="1"/>
    </xf>
    <xf numFmtId="0" fontId="17" fillId="18" borderId="24" xfId="0" applyFont="1" applyFill="1" applyBorder="1" applyAlignment="1">
      <alignment horizontal="center" vertical="center" wrapText="1"/>
    </xf>
    <xf numFmtId="0" fontId="17" fillId="18" borderId="8" xfId="0" applyFont="1" applyFill="1" applyBorder="1" applyAlignment="1">
      <alignment horizontal="center" vertical="center" wrapText="1"/>
    </xf>
    <xf numFmtId="0" fontId="0" fillId="32" borderId="0" xfId="0" applyFill="1" applyAlignment="1">
      <alignment horizontal="center"/>
    </xf>
    <xf numFmtId="0" fontId="6" fillId="32" borderId="0" xfId="0" applyFont="1" applyFill="1" applyAlignment="1">
      <alignment horizontal="center"/>
    </xf>
    <xf numFmtId="0" fontId="55" fillId="33" borderId="0" xfId="0" applyFont="1" applyFill="1" applyAlignment="1">
      <alignment horizontal="center"/>
    </xf>
    <xf numFmtId="0" fontId="17" fillId="21" borderId="64" xfId="0" applyFont="1" applyFill="1" applyBorder="1" applyAlignment="1">
      <alignment horizontal="center" vertical="center" wrapText="1"/>
    </xf>
    <xf numFmtId="0" fontId="17" fillId="21" borderId="4" xfId="0" applyFont="1" applyFill="1" applyBorder="1" applyAlignment="1">
      <alignment horizontal="center" vertical="center" wrapText="1"/>
    </xf>
    <xf numFmtId="0" fontId="17" fillId="21" borderId="65" xfId="0" applyFont="1" applyFill="1" applyBorder="1" applyAlignment="1">
      <alignment horizontal="center" vertical="center" wrapText="1"/>
    </xf>
    <xf numFmtId="0" fontId="46" fillId="28" borderId="3" xfId="0" applyFont="1" applyFill="1" applyBorder="1" applyAlignment="1">
      <alignment horizontal="center" vertical="center" wrapText="1"/>
    </xf>
    <xf numFmtId="0" fontId="46" fillId="28" borderId="9" xfId="0" applyFont="1" applyFill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6" fillId="29" borderId="9" xfId="0" applyFont="1" applyFill="1" applyBorder="1" applyAlignment="1">
      <alignment horizontal="center" vertical="center" wrapText="1"/>
    </xf>
    <xf numFmtId="0" fontId="46" fillId="29" borderId="3" xfId="0" applyFont="1" applyFill="1" applyBorder="1" applyAlignment="1">
      <alignment horizontal="center" vertical="center" wrapText="1"/>
    </xf>
    <xf numFmtId="0" fontId="46" fillId="29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1" fontId="8" fillId="0" borderId="25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4" borderId="0" xfId="5" applyFont="1" applyFill="1" applyAlignment="1">
      <alignment vertical="center"/>
    </xf>
    <xf numFmtId="0" fontId="1" fillId="12" borderId="0" xfId="5" applyFont="1" applyFill="1" applyAlignment="1">
      <alignment vertical="center"/>
    </xf>
    <xf numFmtId="0" fontId="1" fillId="0" borderId="0" xfId="6"/>
    <xf numFmtId="0" fontId="18" fillId="4" borderId="0" xfId="5" applyFont="1" applyFill="1" applyAlignment="1">
      <alignment horizontal="center" vertical="center"/>
    </xf>
    <xf numFmtId="0" fontId="18" fillId="12" borderId="0" xfId="5" applyFont="1" applyFill="1" applyAlignment="1">
      <alignment vertical="center"/>
    </xf>
    <xf numFmtId="0" fontId="16" fillId="12" borderId="0" xfId="5" applyFont="1" applyFill="1" applyAlignment="1">
      <alignment vertical="center"/>
    </xf>
    <xf numFmtId="0" fontId="1" fillId="7" borderId="0" xfId="5" applyFont="1" applyFill="1" applyAlignment="1">
      <alignment vertical="center"/>
    </xf>
    <xf numFmtId="0" fontId="10" fillId="12" borderId="0" xfId="5" applyFont="1" applyFill="1" applyAlignment="1">
      <alignment vertical="center"/>
    </xf>
    <xf numFmtId="0" fontId="19" fillId="12" borderId="0" xfId="5" applyFont="1" applyFill="1" applyAlignment="1">
      <alignment vertical="center"/>
    </xf>
    <xf numFmtId="0" fontId="15" fillId="4" borderId="0" xfId="5" applyFont="1" applyFill="1" applyAlignment="1">
      <alignment vertical="center"/>
    </xf>
    <xf numFmtId="0" fontId="12" fillId="4" borderId="0" xfId="5" applyFont="1" applyFill="1" applyAlignment="1">
      <alignment vertical="center"/>
    </xf>
    <xf numFmtId="0" fontId="12" fillId="12" borderId="0" xfId="5" applyFont="1" applyFill="1" applyAlignment="1">
      <alignment vertical="center"/>
    </xf>
    <xf numFmtId="0" fontId="20" fillId="12" borderId="0" xfId="5" applyFont="1" applyFill="1" applyAlignment="1">
      <alignment vertical="center"/>
    </xf>
    <xf numFmtId="0" fontId="12" fillId="4" borderId="0" xfId="5" applyFont="1" applyFill="1" applyAlignment="1">
      <alignment vertical="center"/>
    </xf>
    <xf numFmtId="165" fontId="12" fillId="4" borderId="0" xfId="5" applyNumberFormat="1" applyFont="1" applyFill="1" applyAlignment="1">
      <alignment horizontal="left" vertical="center"/>
    </xf>
    <xf numFmtId="0" fontId="16" fillId="4" borderId="0" xfId="7" applyFill="1" applyAlignment="1">
      <alignment vertical="center"/>
    </xf>
    <xf numFmtId="0" fontId="21" fillId="12" borderId="0" xfId="5" applyFont="1" applyFill="1" applyAlignment="1">
      <alignment vertical="center"/>
    </xf>
    <xf numFmtId="0" fontId="17" fillId="4" borderId="0" xfId="5" applyFont="1" applyFill="1" applyAlignment="1">
      <alignment vertical="center"/>
    </xf>
    <xf numFmtId="0" fontId="16" fillId="4" borderId="0" xfId="7" applyFill="1" applyAlignment="1">
      <alignment vertical="center"/>
    </xf>
  </cellXfs>
  <cellStyles count="8">
    <cellStyle name="Accent1" xfId="4" builtinId="29"/>
    <cellStyle name="Comma" xfId="2" builtinId="3"/>
    <cellStyle name="Hyperlink" xfId="1" builtinId="8"/>
    <cellStyle name="Hyperlink 2" xfId="7" xr:uid="{644956F0-ADA1-4AAD-89A4-D8A6538D1218}"/>
    <cellStyle name="Normal" xfId="0" builtinId="0"/>
    <cellStyle name="Normal 2" xfId="5" xr:uid="{6626E82B-0C03-4AD9-9218-C622D50801DA}"/>
    <cellStyle name="Normal 3" xfId="6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132</xdr:row>
      <xdr:rowOff>87313</xdr:rowOff>
    </xdr:from>
    <xdr:to>
      <xdr:col>35</xdr:col>
      <xdr:colOff>462225</xdr:colOff>
      <xdr:row>142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ex/Documents/MANRID/ResLab/Playground/Excel%20VBA%20Tools/Cover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showGridLines="0" tabSelected="1" zoomScaleNormal="100" workbookViewId="0">
      <selection activeCell="I10" sqref="I10"/>
    </sheetView>
  </sheetViews>
  <sheetFormatPr defaultColWidth="8.85546875" defaultRowHeight="15" x14ac:dyDescent="0.25"/>
  <cols>
    <col min="1" max="4" width="21.7109375" style="565" customWidth="1"/>
    <col min="5" max="6" width="14.140625" style="565" customWidth="1"/>
    <col min="7" max="7" width="12.140625" style="565" customWidth="1"/>
    <col min="8" max="10" width="8.140625" style="565" customWidth="1"/>
    <col min="11" max="11" width="9.7109375" style="565" customWidth="1"/>
    <col min="12" max="12" width="8.140625" style="565" customWidth="1"/>
    <col min="13" max="13" width="10" style="565" customWidth="1"/>
    <col min="14" max="14" width="11.42578125" style="565" customWidth="1"/>
    <col min="15" max="15" width="13.42578125" style="565" customWidth="1"/>
    <col min="16" max="16384" width="8.85546875" style="565"/>
  </cols>
  <sheetData>
    <row r="1" spans="1:26" x14ac:dyDescent="0.25">
      <c r="A1" s="563"/>
      <c r="B1" s="563"/>
      <c r="C1" s="563"/>
      <c r="D1" s="563"/>
      <c r="E1" s="564"/>
      <c r="F1" s="564"/>
      <c r="G1" s="564"/>
      <c r="H1" s="564"/>
      <c r="I1" s="564"/>
      <c r="J1" s="564"/>
      <c r="K1" s="564"/>
      <c r="L1" s="564"/>
      <c r="M1" s="564"/>
      <c r="N1" s="564"/>
      <c r="O1" s="564"/>
      <c r="P1" s="564"/>
      <c r="Q1" s="564"/>
      <c r="R1" s="564"/>
      <c r="S1" s="564"/>
      <c r="T1" s="564"/>
      <c r="U1" s="564"/>
      <c r="V1" s="564"/>
      <c r="W1" s="564"/>
      <c r="X1" s="564"/>
      <c r="Y1" s="564"/>
      <c r="Z1" s="564"/>
    </row>
    <row r="2" spans="1:26" x14ac:dyDescent="0.25">
      <c r="A2" s="563"/>
      <c r="B2" s="563"/>
      <c r="C2" s="563"/>
      <c r="D2" s="563"/>
      <c r="E2" s="564"/>
      <c r="F2" s="564"/>
      <c r="G2" s="564"/>
      <c r="H2" s="564"/>
      <c r="I2" s="564"/>
      <c r="J2" s="564"/>
      <c r="K2" s="564"/>
      <c r="L2" s="564"/>
      <c r="M2" s="564"/>
      <c r="N2" s="564"/>
      <c r="O2" s="564"/>
      <c r="P2" s="564"/>
      <c r="Q2" s="564"/>
      <c r="R2" s="564"/>
      <c r="S2" s="564"/>
      <c r="T2" s="564"/>
      <c r="U2" s="564"/>
      <c r="V2" s="564"/>
      <c r="W2" s="564"/>
      <c r="X2" s="564"/>
      <c r="Y2" s="564"/>
      <c r="Z2" s="564"/>
    </row>
    <row r="3" spans="1:26" x14ac:dyDescent="0.25">
      <c r="A3" s="563"/>
      <c r="B3" s="563"/>
      <c r="C3" s="563"/>
      <c r="D3" s="563"/>
      <c r="E3" s="564"/>
      <c r="F3" s="564"/>
      <c r="G3" s="564"/>
      <c r="H3" s="564"/>
      <c r="I3" s="564"/>
      <c r="J3" s="564"/>
      <c r="K3" s="564"/>
      <c r="L3" s="564"/>
      <c r="M3" s="564"/>
      <c r="N3" s="564"/>
      <c r="O3" s="564"/>
      <c r="P3" s="564"/>
      <c r="Q3" s="564"/>
      <c r="R3" s="564"/>
      <c r="S3" s="564"/>
      <c r="T3" s="564"/>
      <c r="U3" s="564"/>
      <c r="V3" s="564"/>
      <c r="W3" s="564"/>
      <c r="X3" s="564"/>
      <c r="Y3" s="564"/>
      <c r="Z3" s="564"/>
    </row>
    <row r="4" spans="1:26" x14ac:dyDescent="0.25">
      <c r="A4" s="563"/>
      <c r="B4" s="563"/>
      <c r="C4" s="563"/>
      <c r="D4" s="563"/>
      <c r="E4" s="564"/>
      <c r="F4" s="564"/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4"/>
      <c r="R4" s="564"/>
      <c r="S4" s="564"/>
      <c r="T4" s="564"/>
      <c r="U4" s="564"/>
      <c r="V4" s="564"/>
      <c r="W4" s="564"/>
      <c r="X4" s="564"/>
      <c r="Y4" s="564"/>
      <c r="Z4" s="564"/>
    </row>
    <row r="5" spans="1:26" x14ac:dyDescent="0.25">
      <c r="A5" s="563"/>
      <c r="B5" s="563"/>
      <c r="C5" s="563"/>
      <c r="D5" s="563"/>
      <c r="E5" s="564"/>
      <c r="F5" s="564"/>
      <c r="G5" s="564"/>
      <c r="H5" s="564"/>
      <c r="I5" s="564"/>
      <c r="J5" s="564"/>
      <c r="K5" s="564"/>
      <c r="L5" s="564"/>
      <c r="M5" s="564"/>
      <c r="N5" s="564"/>
      <c r="O5" s="564"/>
      <c r="P5" s="564"/>
      <c r="Q5" s="564"/>
      <c r="R5" s="564"/>
      <c r="S5" s="564"/>
      <c r="T5" s="564"/>
      <c r="U5" s="564"/>
      <c r="V5" s="564"/>
      <c r="W5" s="564"/>
      <c r="X5" s="564"/>
      <c r="Y5" s="564"/>
      <c r="Z5" s="564"/>
    </row>
    <row r="6" spans="1:26" x14ac:dyDescent="0.25">
      <c r="A6" s="563"/>
      <c r="B6" s="563"/>
      <c r="C6" s="563"/>
      <c r="D6" s="563"/>
      <c r="E6" s="564"/>
      <c r="F6" s="564"/>
      <c r="G6" s="564"/>
      <c r="H6" s="564"/>
      <c r="I6" s="564"/>
      <c r="J6" s="564"/>
      <c r="K6" s="564"/>
      <c r="L6" s="564"/>
      <c r="M6" s="564"/>
      <c r="N6" s="564"/>
      <c r="O6" s="564"/>
      <c r="P6" s="564"/>
      <c r="Q6" s="564"/>
      <c r="R6" s="564"/>
      <c r="S6" s="564"/>
      <c r="T6" s="564"/>
      <c r="U6" s="564"/>
      <c r="V6" s="564"/>
      <c r="W6" s="564"/>
      <c r="X6" s="564"/>
      <c r="Y6" s="564"/>
      <c r="Z6" s="564"/>
    </row>
    <row r="7" spans="1:26" x14ac:dyDescent="0.25">
      <c r="A7" s="563"/>
      <c r="B7" s="563"/>
      <c r="C7" s="563"/>
      <c r="D7" s="563"/>
      <c r="E7" s="564"/>
      <c r="F7" s="564"/>
      <c r="G7" s="564"/>
      <c r="H7" s="564"/>
      <c r="I7" s="564"/>
      <c r="J7" s="564"/>
      <c r="K7" s="564"/>
      <c r="L7" s="564"/>
      <c r="M7" s="564"/>
      <c r="N7" s="564"/>
      <c r="O7" s="564"/>
      <c r="P7" s="564"/>
      <c r="Q7" s="564"/>
      <c r="R7" s="564"/>
      <c r="S7" s="564"/>
      <c r="T7" s="564"/>
      <c r="U7" s="564"/>
      <c r="V7" s="564"/>
      <c r="W7" s="564"/>
      <c r="X7" s="564"/>
      <c r="Y7" s="564"/>
      <c r="Z7" s="564"/>
    </row>
    <row r="8" spans="1:26" x14ac:dyDescent="0.25">
      <c r="A8" s="563"/>
      <c r="B8" s="563"/>
      <c r="C8" s="563"/>
      <c r="D8" s="563"/>
      <c r="E8" s="564"/>
      <c r="F8" s="564"/>
      <c r="G8" s="564"/>
      <c r="H8" s="564"/>
      <c r="I8" s="564"/>
      <c r="J8" s="564"/>
      <c r="K8" s="564"/>
      <c r="L8" s="564"/>
      <c r="M8" s="564"/>
      <c r="N8" s="564"/>
      <c r="O8" s="564"/>
      <c r="P8" s="564"/>
      <c r="Q8" s="564"/>
      <c r="R8" s="564"/>
      <c r="S8" s="564"/>
      <c r="T8" s="564"/>
      <c r="U8" s="564"/>
      <c r="V8" s="564"/>
      <c r="W8" s="564"/>
      <c r="X8" s="564"/>
      <c r="Y8" s="564"/>
      <c r="Z8" s="564"/>
    </row>
    <row r="9" spans="1:26" x14ac:dyDescent="0.25">
      <c r="A9" s="563"/>
      <c r="B9" s="563"/>
      <c r="C9" s="563"/>
      <c r="D9" s="563"/>
      <c r="E9" s="564"/>
      <c r="F9" s="564"/>
      <c r="G9" s="564"/>
      <c r="H9" s="564"/>
      <c r="I9" s="564"/>
      <c r="J9" s="564"/>
      <c r="K9" s="564"/>
      <c r="L9" s="564"/>
      <c r="M9" s="564"/>
      <c r="N9" s="564"/>
      <c r="O9" s="564"/>
      <c r="P9" s="564"/>
      <c r="Q9" s="564"/>
      <c r="R9" s="564"/>
      <c r="S9" s="564"/>
      <c r="T9" s="564"/>
      <c r="U9" s="564"/>
      <c r="V9" s="564"/>
      <c r="W9" s="564"/>
      <c r="X9" s="564"/>
      <c r="Y9" s="564"/>
      <c r="Z9" s="564"/>
    </row>
    <row r="10" spans="1:26" x14ac:dyDescent="0.25">
      <c r="A10" s="563"/>
      <c r="B10" s="563"/>
      <c r="C10" s="563"/>
      <c r="D10" s="563"/>
      <c r="E10" s="564"/>
      <c r="F10" s="564"/>
      <c r="G10" s="564"/>
      <c r="H10" s="564"/>
      <c r="I10" s="564"/>
      <c r="J10" s="564"/>
      <c r="K10" s="564"/>
      <c r="L10" s="564"/>
      <c r="M10" s="564"/>
      <c r="N10" s="564"/>
      <c r="O10" s="564"/>
      <c r="P10" s="564"/>
      <c r="Q10" s="564"/>
      <c r="R10" s="564"/>
      <c r="S10" s="564"/>
      <c r="T10" s="564"/>
      <c r="U10" s="564"/>
      <c r="V10" s="564"/>
      <c r="W10" s="564"/>
      <c r="X10" s="564"/>
      <c r="Y10" s="564"/>
      <c r="Z10" s="564"/>
    </row>
    <row r="11" spans="1:26" x14ac:dyDescent="0.25">
      <c r="A11" s="563"/>
      <c r="B11" s="563"/>
      <c r="C11" s="563"/>
      <c r="D11" s="563"/>
      <c r="E11" s="564"/>
      <c r="F11" s="564"/>
      <c r="G11" s="564"/>
      <c r="H11" s="564"/>
      <c r="I11" s="564"/>
      <c r="J11" s="564"/>
      <c r="K11" s="564"/>
      <c r="L11" s="564"/>
      <c r="M11" s="564"/>
      <c r="N11" s="564"/>
      <c r="O11" s="564"/>
      <c r="P11" s="564"/>
      <c r="Q11" s="564"/>
      <c r="R11" s="564"/>
      <c r="S11" s="564"/>
      <c r="T11" s="564"/>
      <c r="U11" s="564"/>
      <c r="V11" s="564"/>
      <c r="W11" s="564"/>
      <c r="X11" s="564"/>
      <c r="Y11" s="564"/>
      <c r="Z11" s="564"/>
    </row>
    <row r="12" spans="1:26" x14ac:dyDescent="0.25">
      <c r="A12" s="563"/>
      <c r="B12" s="563"/>
      <c r="C12" s="563"/>
      <c r="D12" s="563"/>
      <c r="E12" s="564"/>
      <c r="F12" s="564"/>
      <c r="G12" s="564"/>
      <c r="H12" s="564"/>
      <c r="I12" s="564"/>
      <c r="J12" s="564"/>
      <c r="K12" s="564"/>
      <c r="L12" s="564"/>
      <c r="M12" s="564"/>
      <c r="N12" s="564"/>
      <c r="O12" s="564"/>
      <c r="P12" s="564"/>
      <c r="Q12" s="564"/>
      <c r="R12" s="564"/>
      <c r="S12" s="564"/>
      <c r="T12" s="564"/>
      <c r="U12" s="564"/>
      <c r="V12" s="564"/>
      <c r="W12" s="564"/>
      <c r="X12" s="564"/>
      <c r="Y12" s="564"/>
      <c r="Z12" s="564"/>
    </row>
    <row r="13" spans="1:26" x14ac:dyDescent="0.25">
      <c r="A13" s="563"/>
      <c r="B13" s="563"/>
      <c r="C13" s="563"/>
      <c r="D13" s="563"/>
      <c r="E13" s="564"/>
      <c r="F13" s="564"/>
      <c r="G13" s="564"/>
      <c r="H13" s="564"/>
      <c r="I13" s="564"/>
      <c r="J13" s="564"/>
      <c r="K13" s="564"/>
      <c r="L13" s="564"/>
      <c r="M13" s="564"/>
      <c r="N13" s="564"/>
      <c r="O13" s="564"/>
      <c r="P13" s="564"/>
      <c r="Q13" s="564"/>
      <c r="R13" s="564"/>
      <c r="S13" s="564"/>
      <c r="T13" s="564"/>
      <c r="U13" s="564"/>
      <c r="V13" s="564"/>
      <c r="W13" s="564"/>
      <c r="X13" s="564"/>
      <c r="Y13" s="564"/>
      <c r="Z13" s="564"/>
    </row>
    <row r="14" spans="1:26" x14ac:dyDescent="0.25">
      <c r="A14" s="563"/>
      <c r="B14" s="563"/>
      <c r="C14" s="563"/>
      <c r="D14" s="563"/>
      <c r="E14" s="564"/>
      <c r="F14" s="564"/>
      <c r="G14" s="564"/>
      <c r="H14" s="564"/>
      <c r="I14" s="564"/>
      <c r="J14" s="564"/>
      <c r="K14" s="564"/>
      <c r="L14" s="564"/>
      <c r="M14" s="564"/>
      <c r="N14" s="564"/>
      <c r="O14" s="564"/>
      <c r="P14" s="564"/>
      <c r="Q14" s="564"/>
      <c r="R14" s="564"/>
      <c r="S14" s="564"/>
      <c r="T14" s="564"/>
      <c r="U14" s="564"/>
      <c r="V14" s="564"/>
      <c r="W14" s="564"/>
      <c r="X14" s="564"/>
      <c r="Y14" s="564"/>
      <c r="Z14" s="564"/>
    </row>
    <row r="15" spans="1:26" x14ac:dyDescent="0.25">
      <c r="A15" s="563"/>
      <c r="B15" s="563"/>
      <c r="C15" s="563"/>
      <c r="D15" s="563"/>
      <c r="E15" s="564"/>
      <c r="F15" s="564"/>
      <c r="G15" s="564"/>
      <c r="H15" s="564"/>
      <c r="I15" s="564"/>
      <c r="J15" s="564"/>
      <c r="K15" s="564"/>
      <c r="L15" s="564"/>
      <c r="M15" s="564"/>
      <c r="N15" s="564"/>
      <c r="O15" s="564"/>
      <c r="P15" s="564"/>
      <c r="Q15" s="564"/>
      <c r="R15" s="564"/>
      <c r="S15" s="564"/>
      <c r="T15" s="564"/>
      <c r="U15" s="564"/>
      <c r="V15" s="564"/>
      <c r="W15" s="564"/>
      <c r="X15" s="564"/>
      <c r="Y15" s="564"/>
      <c r="Z15" s="564"/>
    </row>
    <row r="16" spans="1:26" ht="102.75" customHeight="1" x14ac:dyDescent="0.25">
      <c r="A16" s="566" t="s">
        <v>732</v>
      </c>
      <c r="B16" s="566"/>
      <c r="C16" s="566"/>
      <c r="D16" s="566"/>
      <c r="E16" s="567"/>
      <c r="F16" s="567"/>
      <c r="G16" s="568"/>
      <c r="H16" s="568"/>
      <c r="I16" s="568"/>
      <c r="J16" s="568"/>
      <c r="K16" s="568"/>
      <c r="L16" s="568"/>
      <c r="M16" s="564"/>
      <c r="N16" s="564"/>
      <c r="O16" s="564"/>
      <c r="P16" s="564"/>
      <c r="Q16" s="564"/>
      <c r="R16" s="564"/>
      <c r="S16" s="564"/>
      <c r="T16" s="564"/>
      <c r="U16" s="564"/>
      <c r="V16" s="564"/>
      <c r="W16" s="564"/>
      <c r="X16" s="564"/>
      <c r="Y16" s="564"/>
      <c r="Z16" s="564"/>
    </row>
    <row r="17" spans="1:26" ht="17.25" customHeight="1" x14ac:dyDescent="0.25">
      <c r="A17" s="569"/>
      <c r="B17" s="569"/>
      <c r="C17" s="569"/>
      <c r="D17" s="569"/>
      <c r="E17" s="564"/>
      <c r="F17" s="564"/>
      <c r="G17" s="564"/>
      <c r="H17" s="564"/>
      <c r="I17" s="564"/>
      <c r="J17" s="564"/>
      <c r="K17" s="564"/>
      <c r="L17" s="564"/>
      <c r="M17" s="564"/>
      <c r="N17" s="564"/>
      <c r="O17" s="564"/>
      <c r="P17" s="564"/>
      <c r="Q17" s="564"/>
      <c r="R17" s="564"/>
      <c r="S17" s="564"/>
      <c r="T17" s="564"/>
      <c r="U17" s="564"/>
      <c r="V17" s="564"/>
      <c r="W17" s="564"/>
      <c r="X17" s="564"/>
      <c r="Y17" s="564"/>
      <c r="Z17" s="564"/>
    </row>
    <row r="18" spans="1:26" ht="17.25" customHeight="1" x14ac:dyDescent="0.25">
      <c r="A18" s="569"/>
      <c r="B18" s="569"/>
      <c r="C18" s="569"/>
      <c r="D18" s="569"/>
      <c r="E18" s="570"/>
      <c r="F18" s="570"/>
      <c r="G18" s="571"/>
      <c r="H18" s="571"/>
      <c r="I18" s="571"/>
      <c r="J18" s="571"/>
      <c r="K18" s="571"/>
      <c r="L18" s="571"/>
      <c r="M18" s="564"/>
      <c r="N18" s="564"/>
      <c r="O18" s="564"/>
      <c r="P18" s="564"/>
      <c r="Q18" s="564"/>
      <c r="R18" s="564"/>
      <c r="S18" s="564"/>
      <c r="T18" s="564"/>
      <c r="U18" s="564"/>
      <c r="V18" s="564"/>
      <c r="W18" s="564"/>
      <c r="X18" s="564"/>
      <c r="Y18" s="564"/>
      <c r="Z18" s="564"/>
    </row>
    <row r="19" spans="1:26" ht="17.25" customHeight="1" x14ac:dyDescent="0.25">
      <c r="A19" s="572" t="s">
        <v>0</v>
      </c>
      <c r="B19" s="573" t="s">
        <v>733</v>
      </c>
      <c r="C19" s="573"/>
      <c r="D19" s="573"/>
      <c r="E19" s="574"/>
      <c r="F19" s="574"/>
      <c r="G19" s="575"/>
      <c r="H19" s="575"/>
      <c r="I19" s="575"/>
      <c r="J19" s="575"/>
      <c r="K19" s="575"/>
      <c r="L19" s="575"/>
      <c r="M19" s="564"/>
      <c r="N19" s="564"/>
      <c r="O19" s="564"/>
      <c r="P19" s="564"/>
      <c r="Q19" s="564"/>
      <c r="R19" s="564"/>
      <c r="S19" s="564"/>
      <c r="T19" s="564"/>
      <c r="U19" s="564"/>
      <c r="V19" s="564"/>
      <c r="W19" s="564"/>
      <c r="X19" s="564"/>
      <c r="Y19" s="564"/>
      <c r="Z19" s="564"/>
    </row>
    <row r="20" spans="1:26" ht="17.25" customHeight="1" x14ac:dyDescent="0.25">
      <c r="A20" s="572" t="s">
        <v>734</v>
      </c>
      <c r="B20" s="573" t="s">
        <v>735</v>
      </c>
      <c r="C20" s="573"/>
      <c r="D20" s="573"/>
      <c r="E20" s="574"/>
      <c r="F20" s="574"/>
      <c r="G20" s="575"/>
      <c r="H20" s="575"/>
      <c r="I20" s="575"/>
      <c r="J20" s="575"/>
      <c r="K20" s="575"/>
      <c r="L20" s="575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</row>
    <row r="21" spans="1:26" ht="17.25" customHeight="1" x14ac:dyDescent="0.25">
      <c r="A21" s="572" t="s">
        <v>736</v>
      </c>
      <c r="B21" s="576" t="s">
        <v>737</v>
      </c>
      <c r="C21" s="576"/>
      <c r="D21" s="576"/>
      <c r="E21" s="574"/>
      <c r="F21" s="574"/>
      <c r="G21" s="575"/>
      <c r="H21" s="575"/>
      <c r="I21" s="575"/>
      <c r="J21" s="575"/>
      <c r="K21" s="575"/>
      <c r="L21" s="575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</row>
    <row r="22" spans="1:26" ht="17.25" customHeight="1" x14ac:dyDescent="0.25">
      <c r="A22" s="572"/>
      <c r="B22" s="576"/>
      <c r="C22" s="576"/>
      <c r="D22" s="576"/>
      <c r="E22" s="574"/>
      <c r="F22" s="574"/>
      <c r="G22" s="575"/>
      <c r="H22" s="575"/>
      <c r="I22" s="575"/>
      <c r="J22" s="575"/>
      <c r="K22" s="575"/>
      <c r="L22" s="575"/>
      <c r="M22" s="564"/>
      <c r="N22" s="564"/>
      <c r="O22" s="564"/>
      <c r="P22" s="564"/>
      <c r="Q22" s="564"/>
      <c r="R22" s="564"/>
      <c r="S22" s="564"/>
      <c r="T22" s="564"/>
      <c r="U22" s="564"/>
      <c r="V22" s="564"/>
      <c r="W22" s="564"/>
      <c r="X22" s="564"/>
      <c r="Y22" s="564"/>
      <c r="Z22" s="564"/>
    </row>
    <row r="23" spans="1:26" ht="17.25" customHeight="1" x14ac:dyDescent="0.25">
      <c r="A23" s="572" t="s">
        <v>738</v>
      </c>
      <c r="B23" s="573" t="s">
        <v>739</v>
      </c>
      <c r="C23" s="573"/>
      <c r="D23" s="573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64"/>
      <c r="P23" s="564"/>
      <c r="Q23" s="564"/>
      <c r="R23" s="564"/>
      <c r="S23" s="564"/>
      <c r="T23" s="564"/>
      <c r="U23" s="564"/>
      <c r="V23" s="564"/>
      <c r="W23" s="564"/>
      <c r="X23" s="564"/>
      <c r="Y23" s="564"/>
      <c r="Z23" s="564"/>
    </row>
    <row r="24" spans="1:26" ht="17.25" customHeight="1" x14ac:dyDescent="0.25">
      <c r="A24" s="572"/>
      <c r="B24" s="576"/>
      <c r="C24" s="576"/>
      <c r="D24" s="576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64"/>
      <c r="P24" s="564"/>
      <c r="Q24" s="564"/>
      <c r="R24" s="564"/>
      <c r="S24" s="564"/>
      <c r="T24" s="564"/>
      <c r="U24" s="564"/>
      <c r="V24" s="564"/>
      <c r="W24" s="564"/>
      <c r="X24" s="564"/>
      <c r="Y24" s="564"/>
      <c r="Z24" s="564"/>
    </row>
    <row r="25" spans="1:26" ht="17.25" customHeight="1" x14ac:dyDescent="0.25">
      <c r="A25" s="572"/>
      <c r="B25" s="576"/>
      <c r="C25" s="576"/>
      <c r="D25" s="576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</row>
    <row r="26" spans="1:26" ht="17.25" customHeight="1" x14ac:dyDescent="0.25">
      <c r="A26" s="572" t="s">
        <v>740</v>
      </c>
      <c r="B26" s="573" t="s">
        <v>739</v>
      </c>
      <c r="C26" s="573"/>
      <c r="D26" s="573"/>
      <c r="E26" s="564"/>
      <c r="F26" s="564"/>
      <c r="G26" s="564"/>
      <c r="H26" s="564"/>
      <c r="I26" s="564"/>
      <c r="J26" s="564"/>
      <c r="K26" s="564"/>
      <c r="L26" s="564"/>
      <c r="M26" s="564"/>
      <c r="N26" s="564"/>
      <c r="O26" s="564"/>
      <c r="P26" s="564"/>
      <c r="Q26" s="564"/>
      <c r="R26" s="564"/>
      <c r="S26" s="564"/>
      <c r="T26" s="564"/>
      <c r="U26" s="564"/>
      <c r="V26" s="564"/>
      <c r="W26" s="564"/>
      <c r="X26" s="564"/>
      <c r="Y26" s="564"/>
      <c r="Z26" s="564"/>
    </row>
    <row r="27" spans="1:26" ht="17.25" customHeight="1" x14ac:dyDescent="0.25">
      <c r="A27" s="572"/>
      <c r="B27" s="576"/>
      <c r="C27" s="576"/>
      <c r="D27" s="576"/>
      <c r="E27" s="564"/>
      <c r="F27" s="564"/>
      <c r="G27" s="564"/>
      <c r="H27" s="564"/>
      <c r="I27" s="564"/>
      <c r="J27" s="564"/>
      <c r="K27" s="564"/>
      <c r="L27" s="564"/>
      <c r="M27" s="564"/>
      <c r="N27" s="564"/>
      <c r="O27" s="564"/>
      <c r="P27" s="564"/>
      <c r="Q27" s="564"/>
      <c r="R27" s="564"/>
      <c r="S27" s="564"/>
      <c r="T27" s="564"/>
      <c r="U27" s="564"/>
      <c r="V27" s="564"/>
      <c r="W27" s="564"/>
      <c r="X27" s="564"/>
      <c r="Y27" s="564"/>
      <c r="Z27" s="564"/>
    </row>
    <row r="28" spans="1:26" ht="17.25" customHeight="1" x14ac:dyDescent="0.25">
      <c r="A28" s="572"/>
      <c r="B28" s="576"/>
      <c r="C28" s="576"/>
      <c r="D28" s="576"/>
      <c r="E28" s="564"/>
      <c r="F28" s="564"/>
      <c r="G28" s="564"/>
      <c r="H28" s="564"/>
      <c r="I28" s="564"/>
      <c r="J28" s="564"/>
      <c r="K28" s="564"/>
      <c r="L28" s="564"/>
      <c r="M28" s="564"/>
      <c r="N28" s="564"/>
      <c r="O28" s="564"/>
      <c r="P28" s="564"/>
      <c r="Q28" s="564"/>
      <c r="R28" s="564"/>
      <c r="S28" s="564"/>
      <c r="T28" s="564"/>
      <c r="U28" s="564"/>
      <c r="V28" s="564"/>
      <c r="W28" s="564"/>
      <c r="X28" s="564"/>
      <c r="Y28" s="564"/>
      <c r="Z28" s="564"/>
    </row>
    <row r="29" spans="1:26" ht="17.25" customHeight="1" x14ac:dyDescent="0.25">
      <c r="A29" s="572" t="s">
        <v>741</v>
      </c>
      <c r="B29" s="577">
        <v>1</v>
      </c>
      <c r="C29" s="576"/>
      <c r="D29" s="576"/>
      <c r="E29" s="564"/>
      <c r="F29" s="564"/>
      <c r="G29" s="564"/>
      <c r="H29" s="564"/>
      <c r="I29" s="564"/>
      <c r="J29" s="564"/>
      <c r="K29" s="564"/>
      <c r="L29" s="564"/>
      <c r="M29" s="564"/>
      <c r="N29" s="564"/>
      <c r="O29" s="564"/>
      <c r="P29" s="564"/>
      <c r="Q29" s="564"/>
      <c r="R29" s="564"/>
      <c r="S29" s="564"/>
      <c r="T29" s="564"/>
      <c r="U29" s="564"/>
      <c r="V29" s="564"/>
      <c r="W29" s="564"/>
      <c r="X29" s="564"/>
      <c r="Y29" s="564"/>
      <c r="Z29" s="564"/>
    </row>
    <row r="30" spans="1:26" ht="17.25" customHeight="1" x14ac:dyDescent="0.25">
      <c r="A30" s="572" t="s">
        <v>742</v>
      </c>
      <c r="B30" s="578" t="s">
        <v>743</v>
      </c>
      <c r="C30" s="573"/>
      <c r="D30" s="573"/>
      <c r="E30" s="579"/>
      <c r="F30" s="579"/>
      <c r="G30" s="564"/>
      <c r="H30" s="564"/>
      <c r="I30" s="564"/>
      <c r="J30" s="564"/>
      <c r="K30" s="564"/>
      <c r="L30" s="564"/>
      <c r="M30" s="564"/>
      <c r="N30" s="564"/>
      <c r="O30" s="564"/>
      <c r="P30" s="564"/>
      <c r="Q30" s="564"/>
      <c r="R30" s="564"/>
      <c r="S30" s="564"/>
      <c r="T30" s="564"/>
      <c r="U30" s="564"/>
      <c r="V30" s="564"/>
      <c r="W30" s="564"/>
      <c r="X30" s="564"/>
      <c r="Y30" s="564"/>
      <c r="Z30" s="564"/>
    </row>
    <row r="31" spans="1:26" ht="17.25" customHeight="1" x14ac:dyDescent="0.25">
      <c r="A31" s="572" t="s">
        <v>744</v>
      </c>
      <c r="B31" s="573" t="s">
        <v>745</v>
      </c>
      <c r="C31" s="573"/>
      <c r="D31" s="573"/>
      <c r="E31" s="579"/>
      <c r="F31" s="579"/>
      <c r="G31" s="564"/>
      <c r="H31" s="564"/>
      <c r="I31" s="564"/>
      <c r="J31" s="564"/>
      <c r="K31" s="564"/>
      <c r="L31" s="564"/>
      <c r="M31" s="564"/>
      <c r="N31" s="564"/>
      <c r="O31" s="564"/>
      <c r="P31" s="564"/>
      <c r="Q31" s="564"/>
      <c r="R31" s="564"/>
      <c r="S31" s="564"/>
      <c r="T31" s="564"/>
      <c r="U31" s="564"/>
      <c r="V31" s="564"/>
      <c r="W31" s="564"/>
      <c r="X31" s="564"/>
      <c r="Y31" s="564"/>
      <c r="Z31" s="564"/>
    </row>
    <row r="32" spans="1:26" ht="17.25" customHeight="1" x14ac:dyDescent="0.25">
      <c r="A32" s="580"/>
      <c r="B32" s="581" t="s">
        <v>746</v>
      </c>
      <c r="C32" s="580"/>
      <c r="D32" s="580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64"/>
      <c r="P32" s="564"/>
      <c r="Q32" s="564"/>
      <c r="R32" s="564"/>
      <c r="S32" s="564"/>
      <c r="T32" s="564"/>
      <c r="U32" s="564"/>
      <c r="V32" s="564"/>
      <c r="W32" s="564"/>
      <c r="X32" s="564"/>
      <c r="Y32" s="564"/>
      <c r="Z32" s="564"/>
    </row>
    <row r="33" spans="1:26" x14ac:dyDescent="0.25">
      <c r="A33" s="563"/>
      <c r="B33" s="563"/>
      <c r="C33" s="563"/>
      <c r="D33" s="563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64"/>
      <c r="P33" s="564"/>
      <c r="Q33" s="564"/>
      <c r="R33" s="564"/>
      <c r="S33" s="564"/>
      <c r="T33" s="564"/>
      <c r="U33" s="564"/>
      <c r="V33" s="564"/>
      <c r="W33" s="564"/>
      <c r="X33" s="564"/>
      <c r="Y33" s="564"/>
      <c r="Z33" s="564"/>
    </row>
    <row r="34" spans="1:26" x14ac:dyDescent="0.25">
      <c r="A34" s="563"/>
      <c r="B34" s="563"/>
      <c r="C34" s="563"/>
      <c r="D34" s="563"/>
      <c r="E34" s="564"/>
      <c r="F34" s="564"/>
      <c r="G34" s="564"/>
      <c r="H34" s="564"/>
      <c r="I34" s="564"/>
      <c r="J34" s="564"/>
      <c r="K34" s="564"/>
      <c r="L34" s="564"/>
      <c r="M34" s="564"/>
      <c r="N34" s="564"/>
      <c r="O34" s="564"/>
      <c r="P34" s="564"/>
      <c r="Q34" s="564"/>
      <c r="R34" s="564"/>
      <c r="S34" s="564"/>
      <c r="T34" s="564"/>
      <c r="U34" s="564"/>
      <c r="V34" s="564"/>
      <c r="W34" s="564"/>
      <c r="X34" s="564"/>
      <c r="Y34" s="564"/>
      <c r="Z34" s="564"/>
    </row>
    <row r="35" spans="1:26" x14ac:dyDescent="0.25">
      <c r="A35" s="563"/>
      <c r="B35" s="563"/>
      <c r="C35" s="563"/>
      <c r="D35" s="563"/>
      <c r="E35" s="564"/>
      <c r="F35" s="564"/>
      <c r="G35" s="564"/>
      <c r="H35" s="564"/>
      <c r="I35" s="564"/>
      <c r="J35" s="564"/>
      <c r="K35" s="564"/>
      <c r="L35" s="564"/>
      <c r="M35" s="564"/>
      <c r="N35" s="564"/>
      <c r="O35" s="564"/>
      <c r="P35" s="564"/>
      <c r="Q35" s="564"/>
      <c r="R35" s="564"/>
      <c r="S35" s="564"/>
      <c r="T35" s="564"/>
      <c r="U35" s="564"/>
      <c r="V35" s="564"/>
      <c r="W35" s="564"/>
      <c r="X35" s="564"/>
      <c r="Y35" s="564"/>
      <c r="Z35" s="564"/>
    </row>
    <row r="36" spans="1:26" x14ac:dyDescent="0.25">
      <c r="A36" s="563"/>
      <c r="B36" s="563"/>
      <c r="C36" s="563"/>
      <c r="D36" s="563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64"/>
      <c r="P36" s="564"/>
      <c r="Q36" s="564"/>
      <c r="R36" s="564"/>
      <c r="S36" s="564"/>
      <c r="T36" s="564"/>
      <c r="U36" s="564"/>
      <c r="V36" s="564"/>
      <c r="W36" s="564"/>
      <c r="X36" s="564"/>
      <c r="Y36" s="564"/>
      <c r="Z36" s="564"/>
    </row>
    <row r="37" spans="1:26" x14ac:dyDescent="0.25">
      <c r="A37" s="563"/>
      <c r="B37" s="563"/>
      <c r="C37" s="563"/>
      <c r="D37" s="563"/>
      <c r="E37" s="564"/>
      <c r="F37" s="564"/>
      <c r="G37" s="564"/>
      <c r="H37" s="564"/>
      <c r="I37" s="564"/>
      <c r="J37" s="564"/>
      <c r="K37" s="564"/>
      <c r="L37" s="564"/>
      <c r="M37" s="564"/>
      <c r="N37" s="564"/>
      <c r="O37" s="564"/>
      <c r="P37" s="564"/>
      <c r="Q37" s="564"/>
      <c r="R37" s="564"/>
      <c r="S37" s="564"/>
      <c r="T37" s="564"/>
      <c r="U37" s="564"/>
      <c r="V37" s="564"/>
      <c r="W37" s="564"/>
      <c r="X37" s="564"/>
      <c r="Y37" s="564"/>
      <c r="Z37" s="564"/>
    </row>
    <row r="38" spans="1:26" x14ac:dyDescent="0.25">
      <c r="A38" s="563"/>
      <c r="B38" s="563"/>
      <c r="C38" s="563"/>
      <c r="D38" s="563"/>
      <c r="E38" s="564"/>
      <c r="F38" s="564"/>
      <c r="G38" s="564"/>
      <c r="H38" s="564"/>
      <c r="I38" s="564"/>
      <c r="J38" s="564"/>
      <c r="K38" s="564"/>
      <c r="L38" s="564"/>
      <c r="M38" s="564"/>
      <c r="N38" s="564"/>
      <c r="O38" s="564"/>
      <c r="P38" s="564"/>
      <c r="Q38" s="564"/>
      <c r="R38" s="564"/>
      <c r="S38" s="564"/>
      <c r="T38" s="564"/>
      <c r="U38" s="564"/>
      <c r="V38" s="564"/>
      <c r="W38" s="564"/>
      <c r="X38" s="564"/>
      <c r="Y38" s="564"/>
      <c r="Z38" s="564"/>
    </row>
    <row r="39" spans="1:26" x14ac:dyDescent="0.25">
      <c r="A39" s="563"/>
      <c r="B39" s="563"/>
      <c r="C39" s="563"/>
      <c r="D39" s="563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</row>
    <row r="40" spans="1:26" x14ac:dyDescent="0.25">
      <c r="A40" s="563"/>
      <c r="B40" s="563"/>
      <c r="C40" s="563"/>
      <c r="D40" s="563"/>
      <c r="E40" s="564"/>
      <c r="F40" s="564"/>
      <c r="G40" s="564"/>
      <c r="H40" s="564"/>
      <c r="I40" s="564"/>
      <c r="J40" s="564"/>
      <c r="K40" s="564"/>
      <c r="L40" s="564"/>
      <c r="M40" s="564"/>
      <c r="N40" s="564"/>
      <c r="O40" s="564"/>
      <c r="P40" s="564"/>
      <c r="Q40" s="564"/>
      <c r="R40" s="564"/>
      <c r="S40" s="564"/>
      <c r="T40" s="564"/>
      <c r="U40" s="564"/>
      <c r="V40" s="564"/>
      <c r="W40" s="564"/>
      <c r="X40" s="564"/>
      <c r="Y40" s="564"/>
      <c r="Z40" s="564"/>
    </row>
    <row r="41" spans="1:26" x14ac:dyDescent="0.25">
      <c r="A41" s="563"/>
      <c r="B41" s="563"/>
      <c r="C41" s="563"/>
      <c r="D41" s="563"/>
      <c r="E41" s="564"/>
      <c r="F41" s="564"/>
      <c r="G41" s="564"/>
      <c r="H41" s="564"/>
      <c r="I41" s="564"/>
      <c r="J41" s="564"/>
      <c r="K41" s="564"/>
      <c r="L41" s="564"/>
      <c r="M41" s="564"/>
      <c r="N41" s="564"/>
      <c r="O41" s="564"/>
      <c r="P41" s="564"/>
      <c r="Q41" s="564"/>
      <c r="R41" s="564"/>
      <c r="S41" s="564"/>
      <c r="T41" s="564"/>
      <c r="U41" s="564"/>
      <c r="V41" s="564"/>
      <c r="W41" s="564"/>
      <c r="X41" s="564"/>
      <c r="Y41" s="564"/>
      <c r="Z41" s="564"/>
    </row>
    <row r="42" spans="1:26" x14ac:dyDescent="0.25">
      <c r="A42" s="563"/>
      <c r="B42" s="563"/>
      <c r="C42" s="563"/>
      <c r="D42" s="563"/>
      <c r="E42" s="564"/>
      <c r="F42" s="564"/>
      <c r="G42" s="564"/>
      <c r="H42" s="564"/>
      <c r="I42" s="564"/>
      <c r="J42" s="564"/>
      <c r="K42" s="564"/>
      <c r="L42" s="564"/>
      <c r="M42" s="564"/>
      <c r="N42" s="564"/>
      <c r="O42" s="564"/>
      <c r="P42" s="564"/>
      <c r="Q42" s="564"/>
      <c r="R42" s="564"/>
      <c r="S42" s="564"/>
      <c r="T42" s="564"/>
      <c r="U42" s="564"/>
      <c r="V42" s="564"/>
      <c r="W42" s="564"/>
      <c r="X42" s="564"/>
      <c r="Y42" s="564"/>
      <c r="Z42" s="564"/>
    </row>
    <row r="43" spans="1:26" x14ac:dyDescent="0.25">
      <c r="A43" s="564"/>
      <c r="B43" s="564"/>
      <c r="C43" s="564"/>
      <c r="D43" s="564"/>
      <c r="E43" s="564"/>
      <c r="F43" s="564"/>
      <c r="G43" s="564"/>
      <c r="H43" s="564"/>
      <c r="I43" s="564"/>
      <c r="J43" s="564"/>
      <c r="K43" s="564"/>
      <c r="L43" s="564"/>
      <c r="M43" s="564"/>
      <c r="N43" s="564"/>
      <c r="O43" s="564"/>
      <c r="P43" s="564"/>
      <c r="Q43" s="564"/>
      <c r="R43" s="564"/>
      <c r="S43" s="564"/>
      <c r="T43" s="564"/>
      <c r="U43" s="564"/>
      <c r="V43" s="564"/>
      <c r="W43" s="564"/>
      <c r="X43" s="564"/>
      <c r="Y43" s="564"/>
      <c r="Z43" s="564"/>
    </row>
    <row r="44" spans="1:26" x14ac:dyDescent="0.25">
      <c r="A44" s="564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64"/>
      <c r="P44" s="564"/>
      <c r="Q44" s="564"/>
      <c r="R44" s="564"/>
      <c r="S44" s="564"/>
      <c r="T44" s="564"/>
      <c r="U44" s="564"/>
      <c r="V44" s="564"/>
      <c r="W44" s="564"/>
      <c r="X44" s="564"/>
      <c r="Y44" s="564"/>
      <c r="Z44" s="564"/>
    </row>
    <row r="45" spans="1:26" x14ac:dyDescent="0.25">
      <c r="A45" s="564"/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64"/>
      <c r="P45" s="564"/>
      <c r="Q45" s="564"/>
      <c r="R45" s="564"/>
      <c r="S45" s="564"/>
      <c r="T45" s="564"/>
      <c r="U45" s="564"/>
      <c r="V45" s="564"/>
      <c r="W45" s="564"/>
      <c r="X45" s="564"/>
      <c r="Y45" s="564"/>
      <c r="Z45" s="564"/>
    </row>
    <row r="46" spans="1:26" x14ac:dyDescent="0.25">
      <c r="A46" s="564"/>
      <c r="B46" s="564"/>
      <c r="C46" s="564"/>
      <c r="D46" s="564"/>
      <c r="E46" s="564"/>
      <c r="F46" s="564"/>
      <c r="G46" s="564"/>
      <c r="H46" s="564"/>
      <c r="I46" s="564"/>
      <c r="J46" s="564"/>
      <c r="K46" s="564"/>
      <c r="L46" s="564"/>
      <c r="M46" s="564"/>
      <c r="N46" s="564"/>
      <c r="O46" s="564"/>
      <c r="P46" s="564"/>
      <c r="Q46" s="564"/>
      <c r="R46" s="564"/>
      <c r="S46" s="564"/>
      <c r="T46" s="564"/>
      <c r="U46" s="564"/>
      <c r="V46" s="564"/>
      <c r="W46" s="564"/>
      <c r="X46" s="564"/>
      <c r="Y46" s="564"/>
      <c r="Z46" s="564"/>
    </row>
    <row r="47" spans="1:26" x14ac:dyDescent="0.25">
      <c r="A47" s="564"/>
      <c r="B47" s="564"/>
      <c r="C47" s="564"/>
      <c r="D47" s="564"/>
      <c r="E47" s="564"/>
      <c r="F47" s="564"/>
      <c r="G47" s="564"/>
      <c r="H47" s="564"/>
      <c r="I47" s="564"/>
      <c r="J47" s="564"/>
      <c r="K47" s="564"/>
      <c r="L47" s="564"/>
      <c r="M47" s="564"/>
      <c r="N47" s="564"/>
      <c r="O47" s="564"/>
      <c r="P47" s="564"/>
      <c r="Q47" s="564"/>
      <c r="R47" s="564"/>
      <c r="S47" s="564"/>
      <c r="T47" s="564"/>
      <c r="U47" s="564"/>
      <c r="V47" s="564"/>
      <c r="W47" s="564"/>
      <c r="X47" s="564"/>
      <c r="Y47" s="564"/>
      <c r="Z47" s="564"/>
    </row>
    <row r="48" spans="1:26" x14ac:dyDescent="0.25">
      <c r="A48" s="564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64"/>
      <c r="P48" s="564"/>
      <c r="Q48" s="564"/>
      <c r="R48" s="564"/>
      <c r="S48" s="564"/>
      <c r="T48" s="564"/>
      <c r="U48" s="564"/>
      <c r="V48" s="564"/>
      <c r="W48" s="564"/>
      <c r="X48" s="564"/>
      <c r="Y48" s="564"/>
      <c r="Z48" s="564"/>
    </row>
    <row r="49" spans="1:26" x14ac:dyDescent="0.25">
      <c r="A49" s="564"/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4"/>
      <c r="P49" s="564"/>
      <c r="Q49" s="564"/>
      <c r="R49" s="564"/>
      <c r="S49" s="564"/>
      <c r="T49" s="564"/>
      <c r="U49" s="564"/>
      <c r="V49" s="564"/>
      <c r="W49" s="564"/>
      <c r="X49" s="564"/>
      <c r="Y49" s="564"/>
      <c r="Z49" s="564"/>
    </row>
    <row r="50" spans="1:26" x14ac:dyDescent="0.25">
      <c r="A50" s="564"/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</row>
    <row r="51" spans="1:26" x14ac:dyDescent="0.25">
      <c r="A51" s="564"/>
      <c r="B51" s="564"/>
      <c r="C51" s="564"/>
      <c r="D51" s="564"/>
      <c r="E51" s="564"/>
      <c r="F51" s="564"/>
      <c r="G51" s="564"/>
      <c r="H51" s="564"/>
      <c r="I51" s="564"/>
      <c r="J51" s="564"/>
      <c r="K51" s="564"/>
      <c r="L51" s="564"/>
      <c r="M51" s="564"/>
      <c r="N51" s="564"/>
      <c r="O51" s="564"/>
      <c r="P51" s="564"/>
      <c r="Q51" s="564"/>
      <c r="R51" s="564"/>
      <c r="S51" s="564"/>
      <c r="T51" s="564"/>
      <c r="U51" s="564"/>
      <c r="V51" s="564"/>
      <c r="W51" s="564"/>
      <c r="X51" s="564"/>
      <c r="Y51" s="564"/>
      <c r="Z51" s="564"/>
    </row>
    <row r="52" spans="1:26" x14ac:dyDescent="0.25">
      <c r="A52" s="564"/>
      <c r="B52" s="564"/>
      <c r="C52" s="564"/>
      <c r="D52" s="564"/>
      <c r="E52" s="564"/>
      <c r="F52" s="564"/>
      <c r="G52" s="564"/>
      <c r="H52" s="564"/>
      <c r="I52" s="564"/>
      <c r="J52" s="564"/>
      <c r="K52" s="564"/>
      <c r="L52" s="564"/>
      <c r="M52" s="564"/>
      <c r="N52" s="564"/>
      <c r="O52" s="564"/>
      <c r="P52" s="564"/>
      <c r="Q52" s="564"/>
      <c r="R52" s="564"/>
      <c r="S52" s="564"/>
      <c r="T52" s="564"/>
      <c r="U52" s="564"/>
      <c r="V52" s="564"/>
      <c r="W52" s="564"/>
      <c r="X52" s="564"/>
      <c r="Y52" s="564"/>
      <c r="Z52" s="564"/>
    </row>
    <row r="53" spans="1:26" x14ac:dyDescent="0.25">
      <c r="A53" s="564"/>
      <c r="B53" s="564"/>
      <c r="C53" s="564"/>
      <c r="D53" s="564"/>
      <c r="E53" s="564"/>
      <c r="F53" s="564"/>
      <c r="G53" s="564"/>
      <c r="H53" s="564"/>
      <c r="I53" s="564"/>
      <c r="J53" s="564"/>
      <c r="K53" s="564"/>
      <c r="L53" s="564"/>
      <c r="M53" s="564"/>
      <c r="N53" s="564"/>
      <c r="O53" s="564"/>
      <c r="P53" s="564"/>
      <c r="Q53" s="564"/>
      <c r="R53" s="564"/>
      <c r="S53" s="564"/>
      <c r="T53" s="564"/>
      <c r="U53" s="564"/>
      <c r="V53" s="564"/>
      <c r="W53" s="564"/>
      <c r="X53" s="564"/>
      <c r="Y53" s="564"/>
      <c r="Z53" s="564"/>
    </row>
    <row r="54" spans="1:26" x14ac:dyDescent="0.25">
      <c r="A54" s="564"/>
      <c r="B54" s="564"/>
      <c r="C54" s="564"/>
      <c r="D54" s="564"/>
      <c r="E54" s="564"/>
      <c r="F54" s="564"/>
      <c r="G54" s="564"/>
      <c r="H54" s="564"/>
      <c r="I54" s="564"/>
      <c r="J54" s="564"/>
      <c r="K54" s="564"/>
      <c r="L54" s="564"/>
      <c r="M54" s="564"/>
      <c r="N54" s="564"/>
      <c r="O54" s="564"/>
      <c r="P54" s="564"/>
      <c r="Q54" s="564"/>
      <c r="R54" s="564"/>
      <c r="S54" s="564"/>
      <c r="T54" s="564"/>
      <c r="U54" s="564"/>
      <c r="V54" s="564"/>
      <c r="W54" s="564"/>
      <c r="X54" s="564"/>
      <c r="Y54" s="564"/>
      <c r="Z54" s="564"/>
    </row>
    <row r="55" spans="1:26" x14ac:dyDescent="0.25">
      <c r="A55" s="564"/>
      <c r="B55" s="564"/>
      <c r="C55" s="564"/>
      <c r="D55" s="564"/>
      <c r="E55" s="564"/>
      <c r="F55" s="564"/>
      <c r="G55" s="564"/>
      <c r="H55" s="564"/>
      <c r="I55" s="564"/>
      <c r="J55" s="564"/>
      <c r="K55" s="564"/>
      <c r="L55" s="564"/>
      <c r="M55" s="564"/>
      <c r="N55" s="564"/>
      <c r="O55" s="564"/>
      <c r="P55" s="564"/>
      <c r="Q55" s="564"/>
      <c r="R55" s="564"/>
      <c r="S55" s="564"/>
      <c r="T55" s="564"/>
      <c r="U55" s="564"/>
      <c r="V55" s="564"/>
      <c r="W55" s="564"/>
      <c r="X55" s="564"/>
      <c r="Y55" s="564"/>
      <c r="Z55" s="564"/>
    </row>
    <row r="56" spans="1:26" x14ac:dyDescent="0.25">
      <c r="A56" s="564"/>
      <c r="B56" s="564"/>
      <c r="C56" s="564"/>
      <c r="D56" s="564"/>
      <c r="E56" s="564"/>
      <c r="F56" s="564"/>
      <c r="G56" s="564"/>
      <c r="H56" s="564"/>
      <c r="I56" s="564"/>
      <c r="J56" s="564"/>
      <c r="K56" s="564"/>
      <c r="L56" s="564"/>
      <c r="M56" s="564"/>
      <c r="N56" s="564"/>
      <c r="O56" s="564"/>
      <c r="P56" s="564"/>
      <c r="Q56" s="564"/>
      <c r="R56" s="564"/>
      <c r="S56" s="564"/>
      <c r="T56" s="564"/>
      <c r="U56" s="564"/>
      <c r="V56" s="564"/>
      <c r="W56" s="564"/>
      <c r="X56" s="564"/>
      <c r="Y56" s="564"/>
      <c r="Z56" s="564"/>
    </row>
    <row r="57" spans="1:26" x14ac:dyDescent="0.25">
      <c r="A57" s="564"/>
      <c r="B57" s="564"/>
      <c r="C57" s="564"/>
      <c r="D57" s="564"/>
      <c r="E57" s="564"/>
      <c r="F57" s="564"/>
      <c r="G57" s="564"/>
      <c r="H57" s="564"/>
      <c r="I57" s="564"/>
      <c r="J57" s="564"/>
      <c r="K57" s="564"/>
      <c r="L57" s="564"/>
      <c r="M57" s="564"/>
      <c r="N57" s="564"/>
      <c r="O57" s="564"/>
      <c r="P57" s="564"/>
      <c r="Q57" s="564"/>
      <c r="R57" s="564"/>
      <c r="S57" s="564"/>
      <c r="T57" s="564"/>
      <c r="U57" s="564"/>
      <c r="V57" s="564"/>
      <c r="W57" s="564"/>
      <c r="X57" s="564"/>
      <c r="Y57" s="564"/>
      <c r="Z57" s="564"/>
    </row>
    <row r="58" spans="1:26" x14ac:dyDescent="0.25">
      <c r="A58" s="564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64"/>
      <c r="P58" s="564"/>
      <c r="Q58" s="564"/>
      <c r="R58" s="564"/>
      <c r="S58" s="564"/>
      <c r="T58" s="564"/>
      <c r="U58" s="564"/>
      <c r="V58" s="564"/>
      <c r="W58" s="564"/>
      <c r="X58" s="564"/>
      <c r="Y58" s="564"/>
      <c r="Z58" s="564"/>
    </row>
    <row r="59" spans="1:26" x14ac:dyDescent="0.25">
      <c r="A59" s="564"/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64"/>
      <c r="P59" s="564"/>
      <c r="Q59" s="564"/>
      <c r="R59" s="564"/>
      <c r="S59" s="564"/>
      <c r="T59" s="564"/>
      <c r="U59" s="564"/>
      <c r="V59" s="564"/>
      <c r="W59" s="564"/>
      <c r="X59" s="564"/>
      <c r="Y59" s="564"/>
      <c r="Z59" s="564"/>
    </row>
    <row r="60" spans="1:26" x14ac:dyDescent="0.25">
      <c r="A60" s="564"/>
      <c r="B60" s="564"/>
      <c r="C60" s="564"/>
      <c r="D60" s="564"/>
      <c r="E60" s="564"/>
      <c r="F60" s="564"/>
      <c r="G60" s="564"/>
      <c r="H60" s="564"/>
      <c r="I60" s="564"/>
      <c r="J60" s="564"/>
      <c r="K60" s="564"/>
      <c r="L60" s="564"/>
      <c r="M60" s="564"/>
      <c r="N60" s="564"/>
      <c r="O60" s="564"/>
      <c r="P60" s="564"/>
      <c r="Q60" s="564"/>
      <c r="R60" s="564"/>
      <c r="S60" s="564"/>
      <c r="T60" s="564"/>
      <c r="U60" s="564"/>
      <c r="V60" s="564"/>
      <c r="W60" s="564"/>
      <c r="X60" s="564"/>
      <c r="Y60" s="564"/>
      <c r="Z60" s="564"/>
    </row>
    <row r="61" spans="1:26" x14ac:dyDescent="0.25">
      <c r="A61" s="564"/>
      <c r="B61" s="564"/>
      <c r="C61" s="564"/>
      <c r="D61" s="564"/>
      <c r="E61" s="564"/>
      <c r="F61" s="564"/>
      <c r="G61" s="564"/>
      <c r="H61" s="564"/>
      <c r="I61" s="564"/>
      <c r="J61" s="564"/>
      <c r="K61" s="564"/>
      <c r="L61" s="564"/>
      <c r="M61" s="564"/>
      <c r="N61" s="564"/>
      <c r="O61" s="564"/>
      <c r="P61" s="564"/>
      <c r="Q61" s="564"/>
      <c r="R61" s="564"/>
      <c r="S61" s="564"/>
      <c r="T61" s="564"/>
      <c r="U61" s="564"/>
      <c r="V61" s="564"/>
      <c r="W61" s="564"/>
      <c r="X61" s="564"/>
      <c r="Y61" s="564"/>
      <c r="Z61" s="564"/>
    </row>
    <row r="62" spans="1:26" x14ac:dyDescent="0.25">
      <c r="A62" s="564"/>
      <c r="B62" s="564"/>
      <c r="C62" s="564"/>
      <c r="D62" s="564"/>
      <c r="E62" s="564"/>
      <c r="F62" s="564"/>
      <c r="G62" s="564"/>
      <c r="H62" s="564"/>
      <c r="I62" s="564"/>
      <c r="J62" s="564"/>
      <c r="K62" s="564"/>
      <c r="L62" s="564"/>
      <c r="M62" s="564"/>
      <c r="N62" s="564"/>
      <c r="O62" s="564"/>
      <c r="P62" s="564"/>
      <c r="Q62" s="564"/>
      <c r="R62" s="564"/>
      <c r="S62" s="564"/>
      <c r="T62" s="564"/>
      <c r="U62" s="564"/>
      <c r="V62" s="564"/>
      <c r="W62" s="564"/>
      <c r="X62" s="564"/>
      <c r="Y62" s="564"/>
      <c r="Z62" s="564"/>
    </row>
    <row r="63" spans="1:26" x14ac:dyDescent="0.25">
      <c r="A63" s="564"/>
      <c r="B63" s="564"/>
      <c r="C63" s="564"/>
      <c r="D63" s="564"/>
      <c r="E63" s="564"/>
      <c r="F63" s="564"/>
      <c r="G63" s="564"/>
      <c r="H63" s="564"/>
      <c r="I63" s="564"/>
      <c r="J63" s="564"/>
      <c r="K63" s="564"/>
      <c r="L63" s="564"/>
      <c r="M63" s="564"/>
      <c r="N63" s="564"/>
      <c r="O63" s="564"/>
      <c r="P63" s="564"/>
      <c r="Q63" s="564"/>
      <c r="R63" s="564"/>
      <c r="S63" s="564"/>
      <c r="T63" s="564"/>
      <c r="U63" s="564"/>
      <c r="V63" s="564"/>
      <c r="W63" s="564"/>
      <c r="X63" s="564"/>
      <c r="Y63" s="564"/>
      <c r="Z63" s="564"/>
    </row>
    <row r="64" spans="1:26" x14ac:dyDescent="0.25">
      <c r="A64" s="564"/>
      <c r="B64" s="564"/>
      <c r="C64" s="564"/>
      <c r="D64" s="564"/>
      <c r="E64" s="564"/>
      <c r="F64" s="564"/>
      <c r="G64" s="564"/>
      <c r="H64" s="564"/>
      <c r="I64" s="564"/>
      <c r="J64" s="564"/>
      <c r="K64" s="564"/>
      <c r="L64" s="564"/>
      <c r="M64" s="564"/>
      <c r="N64" s="564"/>
      <c r="O64" s="564"/>
      <c r="P64" s="564"/>
      <c r="Q64" s="564"/>
      <c r="R64" s="564"/>
      <c r="S64" s="564"/>
      <c r="T64" s="564"/>
      <c r="U64" s="564"/>
      <c r="V64" s="564"/>
      <c r="W64" s="564"/>
      <c r="X64" s="564"/>
      <c r="Y64" s="564"/>
      <c r="Z64" s="564"/>
    </row>
    <row r="65" spans="1:26" x14ac:dyDescent="0.25">
      <c r="A65" s="564"/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4"/>
      <c r="P65" s="564"/>
      <c r="Q65" s="564"/>
      <c r="R65" s="564"/>
      <c r="S65" s="564"/>
      <c r="T65" s="564"/>
      <c r="U65" s="564"/>
      <c r="V65" s="564"/>
      <c r="W65" s="564"/>
      <c r="X65" s="564"/>
      <c r="Y65" s="564"/>
      <c r="Z65" s="564"/>
    </row>
    <row r="66" spans="1:26" x14ac:dyDescent="0.25">
      <c r="A66" s="564"/>
      <c r="B66" s="564"/>
      <c r="C66" s="564"/>
      <c r="D66" s="564"/>
      <c r="E66" s="564"/>
      <c r="F66" s="564"/>
      <c r="G66" s="564"/>
      <c r="H66" s="564"/>
      <c r="I66" s="564"/>
      <c r="J66" s="564"/>
      <c r="K66" s="564"/>
      <c r="L66" s="564"/>
      <c r="M66" s="564"/>
      <c r="N66" s="564"/>
      <c r="O66" s="564"/>
      <c r="P66" s="564"/>
      <c r="Q66" s="564"/>
      <c r="R66" s="564"/>
      <c r="S66" s="564"/>
      <c r="T66" s="564"/>
      <c r="U66" s="564"/>
      <c r="V66" s="564"/>
      <c r="W66" s="564"/>
      <c r="X66" s="564"/>
      <c r="Y66" s="564"/>
      <c r="Z66" s="564"/>
    </row>
    <row r="67" spans="1:26" x14ac:dyDescent="0.25">
      <c r="A67" s="564"/>
      <c r="B67" s="564"/>
      <c r="C67" s="564"/>
      <c r="D67" s="564"/>
      <c r="E67" s="564"/>
      <c r="F67" s="564"/>
      <c r="G67" s="564"/>
      <c r="H67" s="564"/>
      <c r="I67" s="564"/>
      <c r="J67" s="564"/>
      <c r="K67" s="564"/>
      <c r="L67" s="564"/>
      <c r="M67" s="564"/>
      <c r="N67" s="564"/>
      <c r="O67" s="564"/>
      <c r="P67" s="564"/>
      <c r="Q67" s="564"/>
      <c r="R67" s="564"/>
      <c r="S67" s="564"/>
      <c r="T67" s="564"/>
      <c r="U67" s="564"/>
      <c r="V67" s="564"/>
      <c r="W67" s="564"/>
      <c r="X67" s="564"/>
      <c r="Y67" s="564"/>
      <c r="Z67" s="564"/>
    </row>
    <row r="68" spans="1:26" x14ac:dyDescent="0.25">
      <c r="A68" s="564"/>
      <c r="B68" s="564"/>
      <c r="C68" s="564"/>
      <c r="D68" s="564"/>
      <c r="E68" s="564"/>
      <c r="F68" s="564"/>
      <c r="G68" s="564"/>
      <c r="H68" s="564"/>
      <c r="I68" s="564"/>
      <c r="J68" s="564"/>
      <c r="K68" s="564"/>
      <c r="L68" s="564"/>
      <c r="M68" s="564"/>
      <c r="N68" s="564"/>
      <c r="O68" s="564"/>
      <c r="P68" s="564"/>
      <c r="Q68" s="564"/>
      <c r="R68" s="564"/>
      <c r="S68" s="564"/>
      <c r="T68" s="564"/>
      <c r="U68" s="564"/>
      <c r="V68" s="564"/>
      <c r="W68" s="564"/>
      <c r="X68" s="564"/>
      <c r="Y68" s="564"/>
      <c r="Z68" s="564"/>
    </row>
    <row r="69" spans="1:26" x14ac:dyDescent="0.25">
      <c r="A69" s="564"/>
      <c r="B69" s="564"/>
      <c r="C69" s="564"/>
      <c r="D69" s="564"/>
      <c r="E69" s="564"/>
      <c r="F69" s="564"/>
      <c r="G69" s="564"/>
      <c r="H69" s="564"/>
      <c r="I69" s="564"/>
      <c r="J69" s="564"/>
      <c r="K69" s="564"/>
      <c r="L69" s="564"/>
      <c r="M69" s="564"/>
      <c r="N69" s="564"/>
      <c r="O69" s="564"/>
      <c r="P69" s="564"/>
      <c r="Q69" s="564"/>
      <c r="R69" s="564"/>
      <c r="S69" s="564"/>
      <c r="T69" s="564"/>
      <c r="U69" s="564"/>
      <c r="V69" s="564"/>
      <c r="W69" s="564"/>
      <c r="X69" s="564"/>
      <c r="Y69" s="564"/>
      <c r="Z69" s="564"/>
    </row>
    <row r="70" spans="1:26" x14ac:dyDescent="0.25">
      <c r="A70" s="564"/>
      <c r="B70" s="564"/>
      <c r="C70" s="564"/>
      <c r="D70" s="564"/>
      <c r="E70" s="564"/>
      <c r="F70" s="564"/>
      <c r="G70" s="564"/>
      <c r="H70" s="564"/>
      <c r="I70" s="564"/>
      <c r="J70" s="564"/>
      <c r="K70" s="564"/>
      <c r="L70" s="564"/>
      <c r="M70" s="564"/>
      <c r="N70" s="564"/>
      <c r="O70" s="564"/>
      <c r="P70" s="564"/>
      <c r="Q70" s="564"/>
      <c r="R70" s="564"/>
      <c r="S70" s="564"/>
      <c r="T70" s="564"/>
      <c r="U70" s="564"/>
      <c r="V70" s="564"/>
      <c r="W70" s="564"/>
      <c r="X70" s="564"/>
      <c r="Y70" s="564"/>
      <c r="Z70" s="564"/>
    </row>
    <row r="71" spans="1:26" x14ac:dyDescent="0.25">
      <c r="A71" s="564"/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4"/>
      <c r="P71" s="564"/>
      <c r="Q71" s="564"/>
      <c r="R71" s="564"/>
      <c r="S71" s="564"/>
      <c r="T71" s="564"/>
      <c r="U71" s="564"/>
      <c r="V71" s="564"/>
      <c r="W71" s="564"/>
      <c r="X71" s="564"/>
      <c r="Y71" s="564"/>
      <c r="Z71" s="564"/>
    </row>
    <row r="72" spans="1:26" x14ac:dyDescent="0.25">
      <c r="A72" s="564"/>
      <c r="B72" s="564"/>
      <c r="C72" s="564"/>
      <c r="D72" s="564"/>
      <c r="E72" s="564"/>
      <c r="F72" s="564"/>
      <c r="G72" s="564"/>
      <c r="H72" s="564"/>
      <c r="I72" s="564"/>
      <c r="J72" s="564"/>
      <c r="K72" s="564"/>
      <c r="L72" s="564"/>
      <c r="M72" s="564"/>
      <c r="N72" s="564"/>
      <c r="O72" s="564"/>
      <c r="P72" s="564"/>
      <c r="Q72" s="564"/>
      <c r="R72" s="564"/>
      <c r="S72" s="564"/>
      <c r="T72" s="564"/>
      <c r="U72" s="564"/>
      <c r="V72" s="564"/>
      <c r="W72" s="564"/>
      <c r="X72" s="564"/>
      <c r="Y72" s="564"/>
      <c r="Z72" s="564"/>
    </row>
    <row r="73" spans="1:26" x14ac:dyDescent="0.25">
      <c r="A73" s="564"/>
      <c r="B73" s="564"/>
      <c r="C73" s="564"/>
      <c r="D73" s="564"/>
      <c r="E73" s="564"/>
      <c r="F73" s="564"/>
      <c r="G73" s="564"/>
      <c r="H73" s="564"/>
      <c r="I73" s="564"/>
      <c r="J73" s="564"/>
      <c r="K73" s="564"/>
      <c r="L73" s="564"/>
      <c r="M73" s="564"/>
      <c r="N73" s="564"/>
      <c r="O73" s="564"/>
      <c r="P73" s="564"/>
      <c r="Q73" s="564"/>
      <c r="R73" s="564"/>
      <c r="S73" s="564"/>
      <c r="T73" s="564"/>
      <c r="U73" s="564"/>
      <c r="V73" s="564"/>
      <c r="W73" s="564"/>
      <c r="X73" s="564"/>
      <c r="Y73" s="564"/>
      <c r="Z73" s="564"/>
    </row>
    <row r="74" spans="1:26" x14ac:dyDescent="0.25">
      <c r="A74" s="564"/>
      <c r="B74" s="564"/>
      <c r="C74" s="564"/>
      <c r="D74" s="564"/>
      <c r="E74" s="564"/>
      <c r="F74" s="564"/>
      <c r="G74" s="564"/>
      <c r="H74" s="564"/>
      <c r="I74" s="564"/>
      <c r="J74" s="564"/>
      <c r="K74" s="564"/>
      <c r="L74" s="564"/>
      <c r="M74" s="564"/>
      <c r="N74" s="564"/>
      <c r="O74" s="564"/>
      <c r="P74" s="564"/>
      <c r="Q74" s="564"/>
      <c r="R74" s="564"/>
      <c r="S74" s="564"/>
      <c r="T74" s="564"/>
      <c r="U74" s="564"/>
      <c r="V74" s="564"/>
      <c r="W74" s="564"/>
      <c r="X74" s="564"/>
      <c r="Y74" s="564"/>
      <c r="Z74" s="564"/>
    </row>
    <row r="75" spans="1:26" x14ac:dyDescent="0.25">
      <c r="A75" s="564"/>
      <c r="B75" s="564"/>
      <c r="C75" s="564"/>
      <c r="D75" s="564"/>
      <c r="E75" s="564"/>
      <c r="F75" s="564"/>
      <c r="G75" s="564"/>
      <c r="H75" s="564"/>
      <c r="I75" s="564"/>
      <c r="J75" s="564"/>
      <c r="K75" s="564"/>
      <c r="L75" s="564"/>
      <c r="M75" s="564"/>
      <c r="N75" s="564"/>
      <c r="O75" s="564"/>
      <c r="P75" s="564"/>
      <c r="Q75" s="564"/>
      <c r="R75" s="564"/>
      <c r="S75" s="564"/>
      <c r="T75" s="564"/>
      <c r="U75" s="564"/>
      <c r="V75" s="564"/>
      <c r="W75" s="564"/>
      <c r="X75" s="564"/>
      <c r="Y75" s="564"/>
      <c r="Z75" s="564"/>
    </row>
    <row r="76" spans="1:26" x14ac:dyDescent="0.25">
      <c r="A76" s="564"/>
      <c r="B76" s="564"/>
      <c r="C76" s="564"/>
      <c r="D76" s="564"/>
      <c r="E76" s="564"/>
      <c r="F76" s="564"/>
      <c r="G76" s="564"/>
      <c r="H76" s="564"/>
      <c r="I76" s="564"/>
      <c r="J76" s="564"/>
      <c r="K76" s="564"/>
      <c r="L76" s="564"/>
      <c r="M76" s="564"/>
      <c r="N76" s="564"/>
      <c r="O76" s="564"/>
      <c r="P76" s="564"/>
      <c r="Q76" s="564"/>
      <c r="R76" s="564"/>
      <c r="S76" s="564"/>
      <c r="T76" s="564"/>
      <c r="U76" s="564"/>
      <c r="V76" s="564"/>
      <c r="W76" s="564"/>
      <c r="X76" s="564"/>
      <c r="Y76" s="564"/>
      <c r="Z76" s="564"/>
    </row>
    <row r="77" spans="1:26" x14ac:dyDescent="0.25">
      <c r="A77" s="564"/>
      <c r="B77" s="564"/>
      <c r="C77" s="564"/>
      <c r="D77" s="564"/>
      <c r="E77" s="564"/>
      <c r="F77" s="564"/>
      <c r="G77" s="564"/>
      <c r="H77" s="564"/>
      <c r="I77" s="564"/>
      <c r="J77" s="564"/>
      <c r="K77" s="564"/>
      <c r="L77" s="564"/>
      <c r="M77" s="564"/>
      <c r="N77" s="564"/>
      <c r="O77" s="564"/>
      <c r="P77" s="564"/>
      <c r="Q77" s="564"/>
      <c r="R77" s="564"/>
      <c r="S77" s="564"/>
      <c r="T77" s="564"/>
      <c r="U77" s="564"/>
      <c r="V77" s="564"/>
      <c r="W77" s="564"/>
      <c r="X77" s="564"/>
      <c r="Y77" s="564"/>
      <c r="Z77" s="564"/>
    </row>
    <row r="78" spans="1:26" x14ac:dyDescent="0.25">
      <c r="A78" s="564"/>
      <c r="B78" s="564"/>
      <c r="C78" s="564"/>
      <c r="D78" s="564"/>
      <c r="E78" s="564"/>
      <c r="F78" s="564"/>
      <c r="G78" s="564"/>
      <c r="H78" s="564"/>
      <c r="I78" s="564"/>
      <c r="J78" s="564"/>
      <c r="K78" s="564"/>
      <c r="L78" s="564"/>
      <c r="M78" s="564"/>
      <c r="N78" s="564"/>
      <c r="O78" s="564"/>
      <c r="P78" s="564"/>
      <c r="Q78" s="564"/>
      <c r="R78" s="564"/>
      <c r="S78" s="564"/>
      <c r="T78" s="564"/>
      <c r="U78" s="564"/>
      <c r="V78" s="564"/>
      <c r="W78" s="564"/>
      <c r="X78" s="564"/>
      <c r="Y78" s="564"/>
      <c r="Z78" s="564"/>
    </row>
    <row r="79" spans="1:26" x14ac:dyDescent="0.25">
      <c r="A79" s="564"/>
      <c r="B79" s="564"/>
      <c r="C79" s="564"/>
      <c r="D79" s="564"/>
      <c r="E79" s="564"/>
      <c r="F79" s="564"/>
      <c r="G79" s="564"/>
      <c r="H79" s="564"/>
      <c r="I79" s="564"/>
      <c r="J79" s="564"/>
      <c r="K79" s="564"/>
      <c r="L79" s="564"/>
      <c r="M79" s="564"/>
      <c r="N79" s="564"/>
      <c r="O79" s="564"/>
      <c r="P79" s="564"/>
      <c r="Q79" s="564"/>
      <c r="R79" s="564"/>
      <c r="S79" s="564"/>
      <c r="T79" s="564"/>
      <c r="U79" s="564"/>
      <c r="V79" s="564"/>
      <c r="W79" s="564"/>
      <c r="X79" s="564"/>
      <c r="Y79" s="564"/>
      <c r="Z79" s="564"/>
    </row>
    <row r="80" spans="1:26" x14ac:dyDescent="0.25">
      <c r="A80" s="564"/>
      <c r="B80" s="564"/>
      <c r="C80" s="564"/>
      <c r="D80" s="564"/>
      <c r="E80" s="564"/>
      <c r="F80" s="564"/>
      <c r="G80" s="564"/>
      <c r="H80" s="564"/>
      <c r="I80" s="564"/>
      <c r="J80" s="564"/>
      <c r="K80" s="564"/>
      <c r="L80" s="564"/>
      <c r="M80" s="564"/>
      <c r="N80" s="564"/>
      <c r="O80" s="564"/>
      <c r="P80" s="564"/>
      <c r="Q80" s="564"/>
      <c r="R80" s="564"/>
      <c r="S80" s="564"/>
      <c r="T80" s="564"/>
      <c r="U80" s="564"/>
      <c r="V80" s="564"/>
      <c r="W80" s="564"/>
      <c r="X80" s="564"/>
      <c r="Y80" s="564"/>
      <c r="Z80" s="564"/>
    </row>
    <row r="81" spans="1:26" x14ac:dyDescent="0.25">
      <c r="A81" s="564"/>
      <c r="B81" s="564"/>
      <c r="C81" s="564"/>
      <c r="D81" s="564"/>
      <c r="E81" s="564"/>
      <c r="F81" s="564"/>
      <c r="G81" s="564"/>
      <c r="H81" s="564"/>
      <c r="I81" s="564"/>
      <c r="J81" s="564"/>
      <c r="K81" s="564"/>
      <c r="L81" s="564"/>
      <c r="M81" s="564"/>
      <c r="N81" s="564"/>
      <c r="O81" s="564"/>
      <c r="P81" s="564"/>
      <c r="Q81" s="564"/>
      <c r="R81" s="564"/>
      <c r="S81" s="564"/>
      <c r="T81" s="564"/>
      <c r="U81" s="564"/>
      <c r="V81" s="564"/>
      <c r="W81" s="564"/>
      <c r="X81" s="564"/>
      <c r="Y81" s="564"/>
      <c r="Z81" s="564"/>
    </row>
    <row r="82" spans="1:26" x14ac:dyDescent="0.25">
      <c r="A82" s="564"/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64"/>
      <c r="P82" s="564"/>
      <c r="Q82" s="564"/>
      <c r="R82" s="564"/>
      <c r="S82" s="564"/>
      <c r="T82" s="564"/>
      <c r="U82" s="564"/>
      <c r="V82" s="564"/>
      <c r="W82" s="564"/>
      <c r="X82" s="564"/>
      <c r="Y82" s="564"/>
      <c r="Z82" s="564"/>
    </row>
    <row r="83" spans="1:26" x14ac:dyDescent="0.25">
      <c r="A83" s="564"/>
      <c r="B83" s="564"/>
      <c r="C83" s="564"/>
      <c r="D83" s="564"/>
      <c r="E83" s="564"/>
      <c r="F83" s="564"/>
      <c r="G83" s="564"/>
      <c r="H83" s="564"/>
      <c r="I83" s="564"/>
      <c r="J83" s="564"/>
      <c r="K83" s="564"/>
      <c r="L83" s="564"/>
      <c r="M83" s="564"/>
      <c r="N83" s="564"/>
      <c r="O83" s="564"/>
      <c r="P83" s="564"/>
      <c r="Q83" s="564"/>
      <c r="R83" s="564"/>
      <c r="S83" s="564"/>
      <c r="T83" s="564"/>
      <c r="U83" s="564"/>
      <c r="V83" s="564"/>
      <c r="W83" s="564"/>
      <c r="X83" s="564"/>
      <c r="Y83" s="564"/>
      <c r="Z83" s="564"/>
    </row>
    <row r="84" spans="1:26" x14ac:dyDescent="0.25">
      <c r="A84" s="564"/>
      <c r="B84" s="564"/>
      <c r="C84" s="564"/>
      <c r="D84" s="564"/>
      <c r="E84" s="564"/>
      <c r="F84" s="564"/>
      <c r="G84" s="564"/>
      <c r="H84" s="564"/>
      <c r="I84" s="564"/>
      <c r="J84" s="564"/>
      <c r="K84" s="564"/>
      <c r="L84" s="564"/>
      <c r="M84" s="564"/>
      <c r="N84" s="564"/>
      <c r="O84" s="564"/>
      <c r="P84" s="564"/>
      <c r="Q84" s="564"/>
      <c r="R84" s="564"/>
      <c r="S84" s="564"/>
      <c r="T84" s="564"/>
      <c r="U84" s="564"/>
      <c r="V84" s="564"/>
      <c r="W84" s="564"/>
      <c r="X84" s="564"/>
      <c r="Y84" s="564"/>
      <c r="Z84" s="564"/>
    </row>
    <row r="85" spans="1:26" x14ac:dyDescent="0.25">
      <c r="A85" s="564"/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64"/>
      <c r="P85" s="564"/>
      <c r="Q85" s="564"/>
      <c r="R85" s="564"/>
      <c r="S85" s="564"/>
      <c r="T85" s="564"/>
      <c r="U85" s="564"/>
      <c r="V85" s="564"/>
      <c r="W85" s="564"/>
      <c r="X85" s="564"/>
      <c r="Y85" s="564"/>
      <c r="Z85" s="564"/>
    </row>
    <row r="86" spans="1:26" x14ac:dyDescent="0.25">
      <c r="A86" s="564"/>
      <c r="B86" s="564"/>
      <c r="C86" s="564"/>
      <c r="D86" s="564"/>
      <c r="E86" s="564"/>
      <c r="F86" s="564"/>
      <c r="G86" s="564"/>
      <c r="H86" s="564"/>
      <c r="I86" s="564"/>
      <c r="J86" s="564"/>
      <c r="K86" s="564"/>
      <c r="L86" s="564"/>
      <c r="M86" s="564"/>
      <c r="N86" s="564"/>
      <c r="O86" s="564"/>
      <c r="P86" s="564"/>
      <c r="Q86" s="564"/>
      <c r="R86" s="564"/>
      <c r="S86" s="564"/>
      <c r="T86" s="564"/>
      <c r="U86" s="564"/>
      <c r="V86" s="564"/>
      <c r="W86" s="564"/>
      <c r="X86" s="564"/>
      <c r="Y86" s="564"/>
      <c r="Z86" s="564"/>
    </row>
    <row r="87" spans="1:26" x14ac:dyDescent="0.25">
      <c r="A87" s="564"/>
      <c r="B87" s="564"/>
      <c r="C87" s="564"/>
      <c r="D87" s="564"/>
      <c r="E87" s="564"/>
      <c r="F87" s="564"/>
      <c r="G87" s="564"/>
      <c r="H87" s="564"/>
      <c r="I87" s="564"/>
      <c r="J87" s="564"/>
      <c r="K87" s="564"/>
      <c r="L87" s="564"/>
      <c r="M87" s="564"/>
      <c r="N87" s="564"/>
      <c r="O87" s="564"/>
      <c r="P87" s="564"/>
      <c r="Q87" s="564"/>
      <c r="R87" s="564"/>
      <c r="S87" s="564"/>
      <c r="T87" s="564"/>
      <c r="U87" s="564"/>
      <c r="V87" s="564"/>
      <c r="W87" s="564"/>
      <c r="X87" s="564"/>
      <c r="Y87" s="564"/>
      <c r="Z87" s="564"/>
    </row>
    <row r="88" spans="1:26" x14ac:dyDescent="0.25">
      <c r="A88" s="564"/>
      <c r="B88" s="564"/>
      <c r="C88" s="564"/>
      <c r="D88" s="564"/>
      <c r="E88" s="564"/>
      <c r="F88" s="564"/>
      <c r="G88" s="564"/>
      <c r="H88" s="564"/>
      <c r="I88" s="564"/>
      <c r="J88" s="564"/>
      <c r="K88" s="564"/>
      <c r="L88" s="564"/>
      <c r="M88" s="564"/>
      <c r="N88" s="564"/>
      <c r="O88" s="564"/>
      <c r="P88" s="564"/>
      <c r="Q88" s="564"/>
      <c r="R88" s="564"/>
      <c r="S88" s="564"/>
      <c r="T88" s="564"/>
      <c r="U88" s="564"/>
      <c r="V88" s="564"/>
      <c r="W88" s="564"/>
      <c r="X88" s="564"/>
      <c r="Y88" s="564"/>
      <c r="Z88" s="564"/>
    </row>
    <row r="89" spans="1:26" x14ac:dyDescent="0.25">
      <c r="A89" s="564"/>
      <c r="B89" s="564"/>
      <c r="C89" s="564"/>
      <c r="D89" s="564"/>
      <c r="E89" s="564"/>
      <c r="F89" s="564"/>
      <c r="G89" s="564"/>
      <c r="H89" s="564"/>
      <c r="I89" s="564"/>
      <c r="J89" s="564"/>
      <c r="K89" s="564"/>
      <c r="L89" s="564"/>
      <c r="M89" s="564"/>
      <c r="N89" s="564"/>
      <c r="O89" s="564"/>
      <c r="P89" s="564"/>
      <c r="Q89" s="564"/>
      <c r="R89" s="564"/>
      <c r="S89" s="564"/>
      <c r="T89" s="564"/>
      <c r="U89" s="564"/>
      <c r="V89" s="564"/>
      <c r="W89" s="564"/>
      <c r="X89" s="564"/>
      <c r="Y89" s="564"/>
      <c r="Z89" s="564"/>
    </row>
    <row r="90" spans="1:26" x14ac:dyDescent="0.25">
      <c r="A90" s="564"/>
      <c r="B90" s="564"/>
      <c r="C90" s="564"/>
      <c r="D90" s="564"/>
      <c r="E90" s="564"/>
      <c r="F90" s="564"/>
      <c r="G90" s="564"/>
      <c r="H90" s="564"/>
      <c r="I90" s="564"/>
      <c r="J90" s="564"/>
      <c r="K90" s="564"/>
      <c r="L90" s="564"/>
      <c r="M90" s="564"/>
      <c r="N90" s="564"/>
      <c r="O90" s="564"/>
      <c r="P90" s="564"/>
      <c r="Q90" s="564"/>
      <c r="R90" s="564"/>
      <c r="S90" s="564"/>
      <c r="T90" s="564"/>
      <c r="U90" s="564"/>
      <c r="V90" s="564"/>
      <c r="W90" s="564"/>
      <c r="X90" s="564"/>
      <c r="Y90" s="564"/>
      <c r="Z90" s="564"/>
    </row>
    <row r="91" spans="1:26" x14ac:dyDescent="0.25">
      <c r="A91" s="564"/>
      <c r="B91" s="564"/>
      <c r="C91" s="564"/>
      <c r="D91" s="564"/>
      <c r="E91" s="564"/>
      <c r="F91" s="564"/>
      <c r="G91" s="564"/>
      <c r="H91" s="564"/>
      <c r="I91" s="564"/>
      <c r="J91" s="564"/>
      <c r="K91" s="564"/>
      <c r="L91" s="564"/>
      <c r="M91" s="564"/>
      <c r="N91" s="564"/>
      <c r="O91" s="564"/>
      <c r="P91" s="564"/>
      <c r="Q91" s="564"/>
      <c r="R91" s="564"/>
      <c r="S91" s="564"/>
      <c r="T91" s="564"/>
      <c r="U91" s="564"/>
      <c r="V91" s="564"/>
      <c r="W91" s="564"/>
      <c r="X91" s="564"/>
      <c r="Y91" s="564"/>
      <c r="Z91" s="564"/>
    </row>
    <row r="92" spans="1:26" x14ac:dyDescent="0.25">
      <c r="A92" s="564"/>
      <c r="B92" s="564"/>
      <c r="C92" s="564"/>
      <c r="D92" s="564"/>
      <c r="E92" s="564"/>
      <c r="F92" s="564"/>
      <c r="G92" s="564"/>
      <c r="H92" s="564"/>
      <c r="I92" s="564"/>
      <c r="J92" s="564"/>
      <c r="K92" s="564"/>
      <c r="L92" s="564"/>
      <c r="M92" s="564"/>
      <c r="N92" s="564"/>
      <c r="O92" s="564"/>
      <c r="P92" s="564"/>
      <c r="Q92" s="564"/>
      <c r="R92" s="564"/>
      <c r="S92" s="564"/>
      <c r="T92" s="564"/>
      <c r="U92" s="564"/>
      <c r="V92" s="564"/>
      <c r="W92" s="564"/>
      <c r="X92" s="564"/>
      <c r="Y92" s="564"/>
      <c r="Z92" s="564"/>
    </row>
    <row r="93" spans="1:26" x14ac:dyDescent="0.25">
      <c r="A93" s="564"/>
      <c r="B93" s="564"/>
      <c r="C93" s="564"/>
      <c r="D93" s="564"/>
      <c r="E93" s="564"/>
      <c r="F93" s="564"/>
      <c r="G93" s="564"/>
      <c r="H93" s="564"/>
      <c r="I93" s="564"/>
      <c r="J93" s="564"/>
      <c r="K93" s="564"/>
      <c r="L93" s="564"/>
      <c r="M93" s="564"/>
      <c r="N93" s="564"/>
      <c r="O93" s="564"/>
      <c r="P93" s="564"/>
      <c r="Q93" s="564"/>
      <c r="R93" s="564"/>
      <c r="S93" s="564"/>
      <c r="T93" s="564"/>
      <c r="U93" s="564"/>
      <c r="V93" s="564"/>
      <c r="W93" s="564"/>
      <c r="X93" s="564"/>
      <c r="Y93" s="564"/>
      <c r="Z93" s="564"/>
    </row>
    <row r="94" spans="1:26" x14ac:dyDescent="0.25">
      <c r="A94" s="564"/>
      <c r="B94" s="564"/>
      <c r="C94" s="564"/>
      <c r="D94" s="564"/>
      <c r="E94" s="564"/>
      <c r="F94" s="564"/>
      <c r="G94" s="564"/>
      <c r="H94" s="564"/>
      <c r="I94" s="564"/>
      <c r="J94" s="564"/>
      <c r="K94" s="564"/>
      <c r="L94" s="564"/>
      <c r="M94" s="564"/>
      <c r="N94" s="564"/>
      <c r="O94" s="564"/>
      <c r="P94" s="564"/>
      <c r="Q94" s="564"/>
      <c r="R94" s="564"/>
      <c r="S94" s="564"/>
      <c r="T94" s="564"/>
      <c r="U94" s="564"/>
      <c r="V94" s="564"/>
      <c r="W94" s="564"/>
      <c r="X94" s="564"/>
      <c r="Y94" s="564"/>
      <c r="Z94" s="564"/>
    </row>
    <row r="95" spans="1:26" x14ac:dyDescent="0.25">
      <c r="A95" s="564"/>
      <c r="B95" s="564"/>
      <c r="C95" s="564"/>
      <c r="D95" s="564"/>
      <c r="E95" s="564"/>
      <c r="F95" s="564"/>
      <c r="G95" s="564"/>
      <c r="H95" s="564"/>
      <c r="I95" s="564"/>
      <c r="J95" s="564"/>
      <c r="K95" s="564"/>
      <c r="L95" s="564"/>
      <c r="M95" s="564"/>
      <c r="N95" s="564"/>
      <c r="O95" s="564"/>
      <c r="P95" s="564"/>
      <c r="Q95" s="564"/>
      <c r="R95" s="564"/>
      <c r="S95" s="564"/>
      <c r="T95" s="564"/>
      <c r="U95" s="564"/>
      <c r="V95" s="564"/>
      <c r="W95" s="564"/>
      <c r="X95" s="564"/>
      <c r="Y95" s="564"/>
      <c r="Z95" s="564"/>
    </row>
    <row r="96" spans="1:26" x14ac:dyDescent="0.25">
      <c r="A96" s="564"/>
      <c r="B96" s="564"/>
      <c r="C96" s="564"/>
      <c r="D96" s="564"/>
      <c r="E96" s="564"/>
      <c r="F96" s="564"/>
      <c r="G96" s="564"/>
      <c r="H96" s="564"/>
      <c r="I96" s="564"/>
      <c r="J96" s="564"/>
      <c r="K96" s="564"/>
      <c r="L96" s="564"/>
      <c r="M96" s="564"/>
      <c r="N96" s="564"/>
      <c r="O96" s="564"/>
      <c r="P96" s="564"/>
      <c r="Q96" s="564"/>
      <c r="R96" s="564"/>
      <c r="S96" s="564"/>
      <c r="T96" s="564"/>
      <c r="U96" s="564"/>
      <c r="V96" s="564"/>
      <c r="W96" s="564"/>
      <c r="X96" s="564"/>
      <c r="Y96" s="564"/>
      <c r="Z96" s="564"/>
    </row>
    <row r="97" spans="1:26" x14ac:dyDescent="0.25">
      <c r="A97" s="564"/>
      <c r="B97" s="564"/>
      <c r="C97" s="564"/>
      <c r="D97" s="564"/>
      <c r="E97" s="564"/>
      <c r="F97" s="564"/>
      <c r="G97" s="564"/>
      <c r="H97" s="564"/>
      <c r="I97" s="564"/>
      <c r="J97" s="564"/>
      <c r="K97" s="564"/>
      <c r="L97" s="564"/>
      <c r="M97" s="564"/>
      <c r="N97" s="564"/>
      <c r="O97" s="564"/>
      <c r="P97" s="564"/>
      <c r="Q97" s="564"/>
      <c r="R97" s="564"/>
      <c r="S97" s="564"/>
      <c r="T97" s="564"/>
      <c r="U97" s="564"/>
      <c r="V97" s="564"/>
      <c r="W97" s="564"/>
      <c r="X97" s="564"/>
      <c r="Y97" s="564"/>
      <c r="Z97" s="564"/>
    </row>
    <row r="98" spans="1:26" x14ac:dyDescent="0.25">
      <c r="A98" s="564"/>
      <c r="B98" s="564"/>
      <c r="C98" s="564"/>
      <c r="D98" s="564"/>
      <c r="E98" s="564"/>
      <c r="F98" s="564"/>
      <c r="G98" s="564"/>
      <c r="H98" s="564"/>
      <c r="I98" s="564"/>
      <c r="J98" s="564"/>
      <c r="K98" s="564"/>
      <c r="L98" s="564"/>
      <c r="M98" s="564"/>
      <c r="N98" s="564"/>
      <c r="O98" s="564"/>
      <c r="P98" s="564"/>
      <c r="Q98" s="564"/>
      <c r="R98" s="564"/>
      <c r="S98" s="564"/>
      <c r="T98" s="564"/>
      <c r="U98" s="564"/>
      <c r="V98" s="564"/>
      <c r="W98" s="564"/>
      <c r="X98" s="564"/>
      <c r="Y98" s="564"/>
      <c r="Z98" s="564"/>
    </row>
    <row r="99" spans="1:26" x14ac:dyDescent="0.25">
      <c r="A99" s="564"/>
      <c r="B99" s="564"/>
      <c r="C99" s="564"/>
      <c r="D99" s="564"/>
      <c r="E99" s="564"/>
      <c r="F99" s="564"/>
      <c r="G99" s="564"/>
      <c r="H99" s="564"/>
      <c r="I99" s="564"/>
      <c r="J99" s="564"/>
      <c r="K99" s="564"/>
      <c r="L99" s="564"/>
      <c r="M99" s="564"/>
      <c r="N99" s="564"/>
      <c r="O99" s="564"/>
      <c r="P99" s="564"/>
      <c r="Q99" s="564"/>
      <c r="R99" s="564"/>
      <c r="S99" s="564"/>
      <c r="T99" s="564"/>
      <c r="U99" s="564"/>
      <c r="V99" s="564"/>
      <c r="W99" s="564"/>
      <c r="X99" s="564"/>
      <c r="Y99" s="564"/>
      <c r="Z99" s="564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topLeftCell="A7" workbookViewId="0">
      <selection activeCell="B27" sqref="B27"/>
    </sheetView>
  </sheetViews>
  <sheetFormatPr defaultColWidth="8.85546875" defaultRowHeight="15" x14ac:dyDescent="0.2"/>
  <cols>
    <col min="1" max="1" width="15.28515625" style="157" bestFit="1" customWidth="1"/>
    <col min="2" max="8" width="14.140625" style="157" customWidth="1"/>
    <col min="9" max="9" width="12.140625" style="157" customWidth="1"/>
    <col min="10" max="12" width="8.140625" style="157" customWidth="1"/>
    <col min="13" max="13" width="9.7109375" style="157" customWidth="1"/>
    <col min="14" max="14" width="8.140625" style="157" customWidth="1"/>
    <col min="15" max="15" width="10" style="157" customWidth="1"/>
    <col min="16" max="16" width="11.42578125" style="157" customWidth="1"/>
    <col min="17" max="17" width="13.42578125" style="157" customWidth="1"/>
    <col min="18" max="31" width="8.85546875" style="157"/>
    <col min="32" max="32" width="21.42578125" style="157" customWidth="1"/>
    <col min="33" max="38" width="8.85546875" style="157"/>
    <col min="39" max="39" width="21.28515625" style="157" customWidth="1"/>
    <col min="40" max="16384" width="8.85546875" style="157"/>
  </cols>
  <sheetData>
    <row r="1" spans="1:6" x14ac:dyDescent="0.2">
      <c r="A1" s="156"/>
      <c r="B1" s="156"/>
      <c r="C1" s="156"/>
      <c r="D1" s="156"/>
      <c r="E1" s="156"/>
      <c r="F1" s="156"/>
    </row>
    <row r="2" spans="1:6" x14ac:dyDescent="0.2">
      <c r="A2" s="156"/>
      <c r="B2" s="156"/>
      <c r="C2" s="156"/>
      <c r="D2" s="156"/>
      <c r="E2" s="156"/>
      <c r="F2" s="156"/>
    </row>
    <row r="3" spans="1:6" x14ac:dyDescent="0.2">
      <c r="A3" s="156"/>
      <c r="B3" s="156"/>
      <c r="C3" s="156"/>
      <c r="D3" s="156"/>
      <c r="E3" s="156"/>
      <c r="F3" s="156"/>
    </row>
    <row r="4" spans="1:6" x14ac:dyDescent="0.2">
      <c r="A4" s="156"/>
      <c r="B4" s="156"/>
      <c r="C4" s="156"/>
      <c r="D4" s="156"/>
      <c r="E4" s="156"/>
      <c r="F4" s="156"/>
    </row>
    <row r="5" spans="1:6" x14ac:dyDescent="0.2">
      <c r="A5" s="156"/>
      <c r="B5" s="156"/>
      <c r="C5" s="156"/>
      <c r="D5" s="156"/>
      <c r="E5" s="156"/>
      <c r="F5" s="156"/>
    </row>
    <row r="6" spans="1:6" x14ac:dyDescent="0.2">
      <c r="A6" s="156"/>
      <c r="B6" s="156"/>
      <c r="C6" s="156"/>
      <c r="D6" s="156"/>
      <c r="E6" s="156"/>
      <c r="F6" s="156"/>
    </row>
    <row r="7" spans="1:6" x14ac:dyDescent="0.2">
      <c r="A7" s="156"/>
      <c r="B7" s="156"/>
      <c r="C7" s="156"/>
      <c r="D7" s="156"/>
      <c r="E7" s="156"/>
      <c r="F7" s="156"/>
    </row>
    <row r="8" spans="1:6" x14ac:dyDescent="0.2">
      <c r="A8" s="156"/>
      <c r="B8" s="156"/>
      <c r="C8" s="156"/>
      <c r="D8" s="156"/>
      <c r="E8" s="156"/>
      <c r="F8" s="156"/>
    </row>
    <row r="9" spans="1:6" x14ac:dyDescent="0.2">
      <c r="A9" s="156"/>
      <c r="B9" s="156"/>
      <c r="C9" s="156"/>
      <c r="D9" s="156"/>
      <c r="E9" s="156"/>
      <c r="F9" s="156"/>
    </row>
    <row r="10" spans="1:6" x14ac:dyDescent="0.2">
      <c r="A10" s="156"/>
      <c r="B10" s="156"/>
      <c r="C10" s="156"/>
      <c r="D10" s="156"/>
      <c r="E10" s="156"/>
      <c r="F10" s="156"/>
    </row>
    <row r="11" spans="1:6" x14ac:dyDescent="0.2">
      <c r="A11" s="156"/>
      <c r="B11" s="156"/>
      <c r="C11" s="156"/>
      <c r="D11" s="156"/>
      <c r="E11" s="156"/>
      <c r="F11" s="156"/>
    </row>
    <row r="12" spans="1:6" x14ac:dyDescent="0.2">
      <c r="A12" s="156"/>
      <c r="B12" s="156"/>
      <c r="C12" s="156"/>
      <c r="D12" s="156"/>
      <c r="E12" s="156"/>
      <c r="F12" s="156"/>
    </row>
    <row r="13" spans="1:6" x14ac:dyDescent="0.2">
      <c r="A13" s="156"/>
      <c r="B13" s="156"/>
      <c r="C13" s="156"/>
      <c r="D13" s="156"/>
      <c r="E13" s="156"/>
      <c r="F13" s="156"/>
    </row>
    <row r="14" spans="1:6" x14ac:dyDescent="0.2">
      <c r="A14" s="156"/>
      <c r="B14" s="156"/>
      <c r="C14" s="156"/>
      <c r="D14" s="156"/>
      <c r="E14" s="156"/>
      <c r="F14" s="156"/>
    </row>
    <row r="15" spans="1:6" x14ac:dyDescent="0.2">
      <c r="A15" s="156"/>
      <c r="B15" s="156"/>
      <c r="C15" s="156"/>
      <c r="D15" s="156"/>
      <c r="E15" s="156"/>
      <c r="F15" s="156"/>
    </row>
    <row r="16" spans="1:6" x14ac:dyDescent="0.2">
      <c r="A16" s="156"/>
      <c r="B16" s="156"/>
      <c r="C16" s="156"/>
      <c r="D16" s="156"/>
      <c r="E16" s="156"/>
      <c r="F16" s="156"/>
    </row>
    <row r="17" spans="1:14" ht="102.75" customHeight="1" x14ac:dyDescent="0.2">
      <c r="A17" s="518" t="s">
        <v>190</v>
      </c>
      <c r="B17" s="518"/>
      <c r="C17" s="518"/>
      <c r="D17" s="518"/>
      <c r="E17" s="518"/>
      <c r="F17" s="518"/>
      <c r="G17" s="158"/>
      <c r="H17" s="158"/>
      <c r="I17" s="159"/>
      <c r="J17" s="159"/>
      <c r="K17" s="159"/>
      <c r="L17" s="159"/>
      <c r="M17" s="159"/>
      <c r="N17" s="159"/>
    </row>
    <row r="18" spans="1:14" ht="17.25" customHeight="1" x14ac:dyDescent="0.2">
      <c r="A18" s="160"/>
      <c r="B18" s="160"/>
      <c r="C18" s="160"/>
      <c r="D18" s="160"/>
      <c r="E18" s="160"/>
      <c r="F18" s="160"/>
    </row>
    <row r="19" spans="1:14" ht="17.25" customHeight="1" x14ac:dyDescent="0.2">
      <c r="A19" s="160"/>
      <c r="B19" s="160"/>
      <c r="C19" s="160"/>
      <c r="D19" s="160"/>
      <c r="E19" s="160"/>
      <c r="F19" s="160"/>
      <c r="G19" s="161"/>
      <c r="H19" s="161"/>
      <c r="I19" s="162"/>
      <c r="J19" s="162"/>
      <c r="K19" s="162"/>
      <c r="L19" s="162"/>
      <c r="M19" s="162"/>
      <c r="N19" s="162"/>
    </row>
    <row r="20" spans="1:14" ht="17.25" customHeight="1" x14ac:dyDescent="0.2">
      <c r="A20" s="6" t="s">
        <v>0</v>
      </c>
      <c r="B20" s="519" t="s">
        <v>191</v>
      </c>
      <c r="C20" s="519"/>
      <c r="D20" s="519"/>
      <c r="E20" s="519"/>
      <c r="F20" s="519"/>
      <c r="G20" s="163"/>
      <c r="H20" s="163"/>
      <c r="I20" s="164"/>
      <c r="J20" s="164"/>
      <c r="K20" s="164"/>
      <c r="L20" s="164"/>
      <c r="M20" s="164"/>
      <c r="N20" s="164"/>
    </row>
    <row r="21" spans="1:14" ht="17.25" customHeight="1" x14ac:dyDescent="0.2">
      <c r="A21" s="6" t="s">
        <v>38</v>
      </c>
      <c r="B21" s="520" t="s">
        <v>1</v>
      </c>
      <c r="C21" s="520"/>
      <c r="D21" s="520"/>
      <c r="E21" s="520"/>
      <c r="F21" s="520"/>
      <c r="G21" s="163"/>
      <c r="H21" s="163"/>
      <c r="I21" s="164"/>
      <c r="J21" s="164"/>
      <c r="K21" s="164"/>
      <c r="L21" s="164"/>
      <c r="M21" s="164"/>
      <c r="N21" s="164"/>
    </row>
    <row r="22" spans="1:14" ht="17.25" customHeight="1" x14ac:dyDescent="0.2">
      <c r="A22" s="6" t="s">
        <v>2</v>
      </c>
      <c r="B22" s="520" t="s">
        <v>39</v>
      </c>
      <c r="C22" s="520"/>
      <c r="D22" s="520"/>
      <c r="E22" s="520"/>
      <c r="F22" s="520"/>
    </row>
    <row r="23" spans="1:14" ht="17.25" customHeight="1" x14ac:dyDescent="0.2">
      <c r="A23" s="6" t="s">
        <v>40</v>
      </c>
      <c r="B23" s="507" t="s">
        <v>721</v>
      </c>
      <c r="C23" s="507"/>
      <c r="D23" s="507"/>
      <c r="E23" s="507"/>
      <c r="F23" s="507"/>
    </row>
    <row r="24" spans="1:14" ht="17.25" customHeight="1" x14ac:dyDescent="0.2">
      <c r="A24" s="6" t="s">
        <v>3</v>
      </c>
      <c r="B24" s="514" t="s">
        <v>722</v>
      </c>
      <c r="C24" s="514"/>
      <c r="D24" s="514"/>
      <c r="E24" s="2"/>
      <c r="F24" s="2"/>
      <c r="G24" s="3"/>
      <c r="H24" s="3"/>
    </row>
    <row r="25" spans="1:14" ht="17.25" customHeight="1" x14ac:dyDescent="0.2">
      <c r="A25" s="521"/>
      <c r="B25" s="521"/>
      <c r="C25" s="521"/>
      <c r="D25" s="521"/>
      <c r="E25" s="521"/>
      <c r="F25" s="521"/>
      <c r="G25" s="3"/>
      <c r="H25" s="3"/>
    </row>
    <row r="26" spans="1:14" ht="17.25" customHeight="1" x14ac:dyDescent="0.2">
      <c r="A26" s="517"/>
      <c r="B26" s="517"/>
      <c r="C26" s="517"/>
      <c r="D26" s="517"/>
      <c r="E26" s="517"/>
      <c r="F26" s="517"/>
    </row>
    <row r="27" spans="1:14" x14ac:dyDescent="0.2">
      <c r="A27" s="156"/>
      <c r="B27" s="156"/>
      <c r="C27" s="156"/>
      <c r="D27" s="156"/>
      <c r="E27" s="156"/>
      <c r="F27" s="156"/>
    </row>
    <row r="28" spans="1:14" x14ac:dyDescent="0.2">
      <c r="A28" s="156"/>
      <c r="B28" s="156"/>
      <c r="C28" s="156"/>
      <c r="D28" s="156"/>
      <c r="E28" s="156"/>
      <c r="F28" s="156"/>
    </row>
    <row r="29" spans="1:14" x14ac:dyDescent="0.2">
      <c r="A29" s="156"/>
      <c r="B29" s="156"/>
      <c r="C29" s="156"/>
      <c r="D29" s="156"/>
      <c r="E29" s="156"/>
      <c r="F29" s="156"/>
    </row>
    <row r="30" spans="1:14" x14ac:dyDescent="0.2">
      <c r="A30" s="156"/>
      <c r="B30" s="156"/>
      <c r="C30" s="156"/>
      <c r="D30" s="156"/>
      <c r="E30" s="156"/>
      <c r="F30" s="156"/>
    </row>
    <row r="31" spans="1:14" x14ac:dyDescent="0.2">
      <c r="A31" s="156"/>
      <c r="B31" s="156"/>
      <c r="C31" s="156"/>
      <c r="D31" s="156"/>
      <c r="E31" s="156"/>
      <c r="F31" s="156"/>
    </row>
    <row r="32" spans="1:14" x14ac:dyDescent="0.2">
      <c r="A32" s="156"/>
      <c r="B32" s="156"/>
      <c r="C32" s="156"/>
      <c r="D32" s="156"/>
      <c r="E32" s="156"/>
      <c r="F32" s="156"/>
    </row>
    <row r="33" spans="1:6" x14ac:dyDescent="0.2">
      <c r="A33" s="156"/>
      <c r="B33" s="156"/>
      <c r="C33" s="156"/>
      <c r="D33" s="156"/>
      <c r="E33" s="156"/>
      <c r="F33" s="156"/>
    </row>
    <row r="34" spans="1:6" x14ac:dyDescent="0.2">
      <c r="A34" s="156"/>
      <c r="B34" s="156"/>
      <c r="C34" s="156"/>
      <c r="D34" s="156"/>
      <c r="E34" s="156"/>
      <c r="F34" s="156"/>
    </row>
    <row r="35" spans="1:6" x14ac:dyDescent="0.2">
      <c r="A35" s="156"/>
      <c r="B35" s="156"/>
      <c r="C35" s="156"/>
      <c r="D35" s="156"/>
      <c r="E35" s="156"/>
      <c r="F35" s="156"/>
    </row>
    <row r="36" spans="1:6" x14ac:dyDescent="0.2">
      <c r="A36" s="156"/>
      <c r="B36" s="156"/>
      <c r="C36" s="156"/>
      <c r="D36" s="156"/>
      <c r="E36" s="156"/>
      <c r="F36" s="156"/>
    </row>
    <row r="37" spans="1:6" x14ac:dyDescent="0.2">
      <c r="A37" s="156"/>
      <c r="B37" s="156"/>
      <c r="C37" s="156"/>
      <c r="D37" s="156"/>
      <c r="E37" s="156"/>
      <c r="F37" s="156"/>
    </row>
    <row r="38" spans="1:6" x14ac:dyDescent="0.2">
      <c r="A38" s="156"/>
      <c r="B38" s="156"/>
      <c r="C38" s="156"/>
      <c r="D38" s="156"/>
      <c r="E38" s="156"/>
      <c r="F38" s="156"/>
    </row>
    <row r="39" spans="1:6" x14ac:dyDescent="0.2">
      <c r="A39" s="156"/>
      <c r="B39" s="156"/>
      <c r="C39" s="156"/>
      <c r="D39" s="156"/>
      <c r="E39" s="156"/>
      <c r="F39" s="156"/>
    </row>
    <row r="40" spans="1:6" x14ac:dyDescent="0.2">
      <c r="A40" s="156"/>
      <c r="B40" s="156"/>
      <c r="C40" s="156"/>
      <c r="D40" s="156"/>
      <c r="E40" s="156"/>
      <c r="F40" s="156"/>
    </row>
    <row r="41" spans="1:6" x14ac:dyDescent="0.2">
      <c r="A41" s="156"/>
      <c r="B41" s="156"/>
      <c r="C41" s="156"/>
      <c r="D41" s="156"/>
      <c r="E41" s="156"/>
      <c r="F41" s="156"/>
    </row>
    <row r="42" spans="1:6" x14ac:dyDescent="0.2">
      <c r="A42" s="156"/>
      <c r="B42" s="156"/>
      <c r="C42" s="156"/>
      <c r="D42" s="156"/>
      <c r="E42" s="156"/>
      <c r="F42" s="156"/>
    </row>
    <row r="43" spans="1:6" x14ac:dyDescent="0.2">
      <c r="A43" s="156"/>
      <c r="B43" s="156"/>
      <c r="C43" s="156"/>
      <c r="D43" s="156"/>
      <c r="E43" s="156"/>
      <c r="F43" s="156"/>
    </row>
    <row r="44" spans="1:6" x14ac:dyDescent="0.2">
      <c r="A44" s="156"/>
      <c r="B44" s="156"/>
      <c r="C44" s="156"/>
      <c r="D44" s="156"/>
      <c r="E44" s="156"/>
      <c r="F44" s="156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topLeftCell="C1" workbookViewId="0">
      <selection activeCell="G29" sqref="G29"/>
    </sheetView>
  </sheetViews>
  <sheetFormatPr defaultColWidth="9.140625" defaultRowHeight="14.25" x14ac:dyDescent="0.2"/>
  <cols>
    <col min="1" max="1" width="3.7109375" style="165" customWidth="1"/>
    <col min="2" max="2" width="19.5703125" style="165" customWidth="1"/>
    <col min="3" max="3" width="93.5703125" style="165" bestFit="1" customWidth="1"/>
    <col min="4" max="4" width="11.28515625" style="165" customWidth="1"/>
    <col min="5" max="5" width="11.42578125" style="165" customWidth="1"/>
    <col min="6" max="6" width="14.5703125" style="165" bestFit="1" customWidth="1"/>
    <col min="7" max="7" width="18.5703125" style="165" customWidth="1"/>
    <col min="8" max="8" width="96.5703125" style="165" customWidth="1"/>
    <col min="9" max="16384" width="9.140625" style="165"/>
  </cols>
  <sheetData>
    <row r="1" spans="2:20" ht="15" thickBot="1" x14ac:dyDescent="0.25"/>
    <row r="2" spans="2:20" ht="19.5" thickBot="1" x14ac:dyDescent="0.25">
      <c r="B2" s="522" t="s">
        <v>4</v>
      </c>
      <c r="C2" s="523"/>
      <c r="D2" s="523"/>
      <c r="E2" s="524"/>
      <c r="G2" s="522" t="s">
        <v>5</v>
      </c>
      <c r="H2" s="524"/>
      <c r="I2" s="166"/>
      <c r="J2" s="166"/>
      <c r="K2" s="167"/>
      <c r="L2" s="167"/>
      <c r="M2" s="167"/>
      <c r="N2" s="167"/>
      <c r="O2" s="167"/>
      <c r="P2" s="167"/>
      <c r="Q2" s="167"/>
      <c r="R2" s="167"/>
      <c r="S2" s="167"/>
      <c r="T2" s="167"/>
    </row>
    <row r="3" spans="2:20" ht="15.75" thickBot="1" x14ac:dyDescent="0.25">
      <c r="B3" s="168" t="s">
        <v>41</v>
      </c>
      <c r="C3" s="169" t="s">
        <v>6</v>
      </c>
      <c r="D3" s="169" t="s">
        <v>7</v>
      </c>
      <c r="E3" s="170" t="s">
        <v>192</v>
      </c>
      <c r="G3" s="171"/>
      <c r="H3" s="172" t="s">
        <v>42</v>
      </c>
      <c r="I3" s="166"/>
      <c r="J3" s="166"/>
      <c r="K3" s="167"/>
      <c r="L3" s="167"/>
      <c r="M3" s="167"/>
      <c r="N3" s="167"/>
      <c r="O3" s="167"/>
      <c r="P3" s="167"/>
      <c r="Q3" s="167"/>
      <c r="R3" s="167"/>
      <c r="S3" s="167"/>
      <c r="T3" s="167"/>
    </row>
    <row r="4" spans="2:20" x14ac:dyDescent="0.2">
      <c r="B4" s="173" t="s">
        <v>193</v>
      </c>
      <c r="C4" s="174" t="s">
        <v>194</v>
      </c>
      <c r="D4" s="175">
        <v>44136</v>
      </c>
      <c r="E4" s="176" t="s">
        <v>195</v>
      </c>
      <c r="G4" s="177"/>
      <c r="H4" s="178" t="s">
        <v>44</v>
      </c>
      <c r="I4" s="166"/>
      <c r="J4" s="166"/>
      <c r="K4" s="167"/>
      <c r="L4" s="167"/>
      <c r="M4" s="167"/>
      <c r="N4" s="167"/>
      <c r="O4" s="167"/>
      <c r="P4" s="167"/>
      <c r="Q4" s="167"/>
      <c r="R4" s="167"/>
      <c r="S4" s="167"/>
      <c r="T4" s="167"/>
    </row>
    <row r="5" spans="2:20" x14ac:dyDescent="0.2">
      <c r="B5" s="179" t="s">
        <v>8</v>
      </c>
      <c r="C5" s="180" t="s">
        <v>43</v>
      </c>
      <c r="D5" s="181">
        <v>44169</v>
      </c>
      <c r="E5" s="182" t="s">
        <v>196</v>
      </c>
      <c r="G5" s="183"/>
      <c r="H5" s="178" t="s">
        <v>45</v>
      </c>
      <c r="I5" s="166"/>
      <c r="J5" s="166"/>
      <c r="K5" s="167"/>
      <c r="L5" s="167"/>
      <c r="M5" s="167"/>
      <c r="N5" s="167"/>
      <c r="O5" s="167"/>
      <c r="P5" s="167"/>
      <c r="Q5" s="167"/>
      <c r="R5" s="167"/>
      <c r="S5" s="167"/>
      <c r="T5" s="167"/>
    </row>
    <row r="6" spans="2:20" x14ac:dyDescent="0.2">
      <c r="B6" s="179" t="s">
        <v>197</v>
      </c>
      <c r="C6" s="180" t="s">
        <v>198</v>
      </c>
      <c r="D6" s="181">
        <v>44166</v>
      </c>
      <c r="E6" s="182" t="s">
        <v>196</v>
      </c>
      <c r="G6" s="184" t="s">
        <v>9</v>
      </c>
      <c r="H6" s="178" t="s">
        <v>47</v>
      </c>
      <c r="I6" s="166"/>
      <c r="J6" s="166"/>
      <c r="K6" s="167"/>
      <c r="L6" s="167"/>
      <c r="M6" s="167"/>
      <c r="N6" s="167"/>
      <c r="O6" s="167"/>
      <c r="P6" s="167"/>
      <c r="Q6" s="167"/>
      <c r="R6" s="167"/>
      <c r="S6" s="167"/>
      <c r="T6" s="167"/>
    </row>
    <row r="7" spans="2:20" x14ac:dyDescent="0.2">
      <c r="B7" s="179" t="s">
        <v>199</v>
      </c>
      <c r="C7" s="180" t="s">
        <v>200</v>
      </c>
      <c r="D7" s="185">
        <v>43862</v>
      </c>
      <c r="E7" s="182" t="s">
        <v>196</v>
      </c>
      <c r="G7" s="186"/>
      <c r="H7" s="178" t="s">
        <v>49</v>
      </c>
      <c r="I7" s="166"/>
      <c r="J7" s="166"/>
      <c r="K7" s="167"/>
      <c r="L7" s="167"/>
      <c r="M7" s="167"/>
      <c r="N7" s="167"/>
      <c r="O7" s="167"/>
      <c r="P7" s="167"/>
      <c r="Q7" s="167"/>
      <c r="R7" s="167"/>
      <c r="S7" s="167"/>
      <c r="T7" s="167"/>
    </row>
    <row r="8" spans="2:20" x14ac:dyDescent="0.2">
      <c r="B8" s="179" t="s">
        <v>46</v>
      </c>
      <c r="C8" s="180" t="s">
        <v>201</v>
      </c>
      <c r="D8" s="185">
        <v>44166</v>
      </c>
      <c r="E8" s="182" t="s">
        <v>196</v>
      </c>
      <c r="G8" s="187"/>
      <c r="H8" s="178" t="s">
        <v>202</v>
      </c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</row>
    <row r="9" spans="2:20" ht="15" thickBot="1" x14ac:dyDescent="0.25">
      <c r="B9" s="179" t="s">
        <v>203</v>
      </c>
      <c r="C9" s="180" t="s">
        <v>204</v>
      </c>
      <c r="D9" s="185">
        <v>44044</v>
      </c>
      <c r="E9" s="182" t="s">
        <v>196</v>
      </c>
      <c r="G9" s="188"/>
      <c r="H9" s="189" t="s">
        <v>10</v>
      </c>
    </row>
    <row r="10" spans="2:20" x14ac:dyDescent="0.2">
      <c r="B10" s="179" t="s">
        <v>205</v>
      </c>
      <c r="C10" s="180" t="s">
        <v>48</v>
      </c>
      <c r="D10" s="185">
        <v>44136</v>
      </c>
      <c r="E10" s="182" t="s">
        <v>196</v>
      </c>
    </row>
    <row r="11" spans="2:20" x14ac:dyDescent="0.2">
      <c r="B11" s="179" t="s">
        <v>206</v>
      </c>
      <c r="C11" s="180" t="s">
        <v>50</v>
      </c>
      <c r="D11" s="185">
        <v>44013</v>
      </c>
      <c r="E11" s="182" t="s">
        <v>196</v>
      </c>
    </row>
    <row r="12" spans="2:20" x14ac:dyDescent="0.2">
      <c r="B12" s="179" t="s">
        <v>207</v>
      </c>
      <c r="C12" s="180" t="s">
        <v>51</v>
      </c>
      <c r="D12" s="185">
        <v>44136</v>
      </c>
      <c r="E12" s="182" t="s">
        <v>195</v>
      </c>
    </row>
    <row r="13" spans="2:20" ht="15" thickBot="1" x14ac:dyDescent="0.25">
      <c r="B13" s="179" t="s">
        <v>208</v>
      </c>
      <c r="C13" s="180" t="s">
        <v>209</v>
      </c>
      <c r="D13" s="185">
        <v>44136</v>
      </c>
      <c r="E13" s="182" t="s">
        <v>196</v>
      </c>
    </row>
    <row r="14" spans="2:20" ht="19.5" thickBot="1" x14ac:dyDescent="0.25">
      <c r="B14" s="179" t="s">
        <v>210</v>
      </c>
      <c r="C14" s="180" t="s">
        <v>211</v>
      </c>
      <c r="D14" s="185">
        <v>44105</v>
      </c>
      <c r="E14" s="182" t="s">
        <v>196</v>
      </c>
      <c r="G14" s="522" t="s">
        <v>14</v>
      </c>
      <c r="H14" s="524"/>
    </row>
    <row r="15" spans="2:20" ht="15" x14ac:dyDescent="0.25">
      <c r="B15" s="179" t="s">
        <v>52</v>
      </c>
      <c r="C15" s="180" t="s">
        <v>53</v>
      </c>
      <c r="D15" s="185">
        <v>44105</v>
      </c>
      <c r="E15" s="182" t="s">
        <v>196</v>
      </c>
      <c r="G15" s="198" t="s">
        <v>15</v>
      </c>
      <c r="H15" s="199" t="s">
        <v>57</v>
      </c>
    </row>
    <row r="16" spans="2:20" ht="15" x14ac:dyDescent="0.25">
      <c r="B16" s="179" t="s">
        <v>11</v>
      </c>
      <c r="C16" s="180" t="s">
        <v>54</v>
      </c>
      <c r="D16" s="185">
        <v>44166</v>
      </c>
      <c r="E16" s="182" t="s">
        <v>196</v>
      </c>
      <c r="G16" s="202" t="s">
        <v>58</v>
      </c>
      <c r="H16" s="203" t="s">
        <v>16</v>
      </c>
    </row>
    <row r="17" spans="2:8" ht="15" x14ac:dyDescent="0.25">
      <c r="B17" s="179" t="s">
        <v>12</v>
      </c>
      <c r="C17" s="180" t="s">
        <v>55</v>
      </c>
      <c r="D17" s="185">
        <v>44166</v>
      </c>
      <c r="E17" s="182" t="s">
        <v>196</v>
      </c>
      <c r="G17" s="202" t="s">
        <v>17</v>
      </c>
      <c r="H17" s="203" t="s">
        <v>212</v>
      </c>
    </row>
    <row r="18" spans="2:8" ht="15.75" thickBot="1" x14ac:dyDescent="0.3">
      <c r="B18" s="190" t="s">
        <v>13</v>
      </c>
      <c r="C18" s="191" t="s">
        <v>56</v>
      </c>
      <c r="D18" s="192">
        <v>44166</v>
      </c>
      <c r="E18" s="193" t="s">
        <v>196</v>
      </c>
      <c r="G18" s="206" t="s">
        <v>59</v>
      </c>
      <c r="H18" s="207">
        <v>2018</v>
      </c>
    </row>
    <row r="19" spans="2:8" ht="15" thickBot="1" x14ac:dyDescent="0.25"/>
    <row r="20" spans="2:8" ht="19.5" thickBot="1" x14ac:dyDescent="0.25">
      <c r="B20" s="525" t="s">
        <v>60</v>
      </c>
      <c r="C20" s="526"/>
      <c r="D20" s="526"/>
      <c r="E20" s="527"/>
    </row>
    <row r="21" spans="2:8" ht="15" customHeight="1" x14ac:dyDescent="0.2">
      <c r="B21" s="194" t="s">
        <v>41</v>
      </c>
      <c r="C21" s="195" t="s">
        <v>6</v>
      </c>
      <c r="D21" s="196" t="s">
        <v>7</v>
      </c>
      <c r="E21" s="197" t="s">
        <v>192</v>
      </c>
      <c r="F21" s="197" t="s">
        <v>715</v>
      </c>
    </row>
    <row r="22" spans="2:8" ht="15" customHeight="1" x14ac:dyDescent="0.25">
      <c r="B22" s="200" t="s">
        <v>19</v>
      </c>
      <c r="C22" s="204" t="s">
        <v>20</v>
      </c>
      <c r="D22" s="205" t="s">
        <v>21</v>
      </c>
      <c r="E22" s="182" t="s">
        <v>196</v>
      </c>
      <c r="F22" s="508" t="s">
        <v>716</v>
      </c>
    </row>
    <row r="23" spans="2:8" ht="15" customHeight="1" x14ac:dyDescent="0.25">
      <c r="B23" s="509" t="s">
        <v>717</v>
      </c>
      <c r="C23" s="512" t="s">
        <v>718</v>
      </c>
      <c r="D23" s="510">
        <v>43952</v>
      </c>
      <c r="E23" s="511" t="s">
        <v>196</v>
      </c>
      <c r="F23" s="516" t="s">
        <v>719</v>
      </c>
      <c r="G23" s="165" t="s">
        <v>731</v>
      </c>
    </row>
    <row r="24" spans="2:8" ht="15" customHeight="1" x14ac:dyDescent="0.25">
      <c r="B24" s="200" t="s">
        <v>62</v>
      </c>
      <c r="C24" s="209" t="s">
        <v>63</v>
      </c>
      <c r="D24" s="208">
        <v>43952</v>
      </c>
      <c r="E24" s="182" t="s">
        <v>196</v>
      </c>
      <c r="F24" s="513" t="s">
        <v>716</v>
      </c>
    </row>
    <row r="25" spans="2:8" ht="15" customHeight="1" x14ac:dyDescent="0.25">
      <c r="B25" s="200" t="s">
        <v>213</v>
      </c>
      <c r="C25" s="209" t="s">
        <v>64</v>
      </c>
      <c r="D25" s="208">
        <v>43952</v>
      </c>
      <c r="E25" s="182" t="s">
        <v>196</v>
      </c>
      <c r="F25" s="513" t="s">
        <v>716</v>
      </c>
    </row>
    <row r="26" spans="2:8" ht="15" customHeight="1" x14ac:dyDescent="0.25">
      <c r="B26" s="200" t="s">
        <v>214</v>
      </c>
      <c r="C26" s="209" t="s">
        <v>215</v>
      </c>
      <c r="D26" s="208">
        <v>43983</v>
      </c>
      <c r="E26" s="182" t="s">
        <v>196</v>
      </c>
      <c r="F26" s="508" t="s">
        <v>716</v>
      </c>
    </row>
    <row r="27" spans="2:8" ht="15" customHeight="1" x14ac:dyDescent="0.25">
      <c r="B27" s="200" t="s">
        <v>216</v>
      </c>
      <c r="C27" s="209" t="s">
        <v>720</v>
      </c>
      <c r="D27" s="208">
        <v>43983</v>
      </c>
      <c r="E27" s="182" t="s">
        <v>196</v>
      </c>
      <c r="F27" s="513" t="s">
        <v>716</v>
      </c>
    </row>
    <row r="28" spans="2:8" ht="15" x14ac:dyDescent="0.25">
      <c r="B28" s="200" t="s">
        <v>724</v>
      </c>
      <c r="C28" s="220" t="s">
        <v>723</v>
      </c>
      <c r="D28" s="208">
        <v>43983</v>
      </c>
      <c r="E28" s="182" t="s">
        <v>196</v>
      </c>
      <c r="F28" s="508" t="s">
        <v>716</v>
      </c>
    </row>
    <row r="29" spans="2:8" x14ac:dyDescent="0.2">
      <c r="B29" s="165" t="s">
        <v>726</v>
      </c>
      <c r="C29" s="220" t="s">
        <v>725</v>
      </c>
      <c r="D29" s="208">
        <v>44013</v>
      </c>
      <c r="E29" s="182" t="s">
        <v>196</v>
      </c>
      <c r="F29" s="516" t="s">
        <v>719</v>
      </c>
      <c r="G29" s="165" t="s">
        <v>727</v>
      </c>
    </row>
    <row r="30" spans="2:8" x14ac:dyDescent="0.2">
      <c r="B30" s="165" t="s">
        <v>728</v>
      </c>
      <c r="C30" s="165" t="s">
        <v>729</v>
      </c>
      <c r="D30" s="515">
        <v>44287</v>
      </c>
      <c r="E30" s="182" t="s">
        <v>196</v>
      </c>
      <c r="F30" s="508" t="s">
        <v>716</v>
      </c>
      <c r="G30" s="165" t="s">
        <v>730</v>
      </c>
    </row>
    <row r="35" spans="2:8" ht="15" thickBot="1" x14ac:dyDescent="0.25"/>
    <row r="36" spans="2:8" ht="19.5" thickBot="1" x14ac:dyDescent="0.25">
      <c r="B36" s="522" t="s">
        <v>65</v>
      </c>
      <c r="C36" s="523"/>
      <c r="D36" s="523"/>
      <c r="E36" s="524"/>
      <c r="G36" s="528" t="s">
        <v>61</v>
      </c>
      <c r="H36" s="529"/>
    </row>
    <row r="37" spans="2:8" ht="15" x14ac:dyDescent="0.25">
      <c r="B37" s="210" t="s">
        <v>66</v>
      </c>
      <c r="C37" s="211" t="s">
        <v>6</v>
      </c>
      <c r="D37" s="212" t="s">
        <v>7</v>
      </c>
      <c r="E37" s="212" t="s">
        <v>192</v>
      </c>
      <c r="G37" s="213" t="s">
        <v>18</v>
      </c>
      <c r="H37" s="213" t="s">
        <v>217</v>
      </c>
    </row>
    <row r="38" spans="2:8" ht="15" x14ac:dyDescent="0.25">
      <c r="B38" s="213">
        <v>1</v>
      </c>
      <c r="C38" s="201" t="s">
        <v>218</v>
      </c>
      <c r="D38" s="214">
        <v>44166</v>
      </c>
      <c r="E38" s="215" t="s">
        <v>196</v>
      </c>
      <c r="G38" s="204"/>
      <c r="H38" s="204"/>
    </row>
    <row r="39" spans="2:8" ht="15" x14ac:dyDescent="0.25">
      <c r="B39" s="213"/>
      <c r="C39" s="204"/>
      <c r="D39" s="204"/>
      <c r="E39" s="205"/>
      <c r="G39" s="204"/>
      <c r="H39" s="204"/>
    </row>
    <row r="40" spans="2:8" ht="15" x14ac:dyDescent="0.25">
      <c r="B40" s="216"/>
      <c r="E40" s="217"/>
      <c r="G40" s="204"/>
      <c r="H40" s="204"/>
    </row>
    <row r="41" spans="2:8" ht="15" x14ac:dyDescent="0.25">
      <c r="B41" s="216"/>
      <c r="C41" s="218"/>
      <c r="D41" s="218"/>
      <c r="E41" s="219"/>
      <c r="G41" s="204"/>
      <c r="H41" s="204"/>
    </row>
    <row r="42" spans="2:8" ht="15" x14ac:dyDescent="0.25">
      <c r="B42" s="216"/>
      <c r="C42" s="218"/>
      <c r="D42" s="218"/>
      <c r="E42" s="219"/>
      <c r="G42" s="204"/>
      <c r="H42" s="204"/>
    </row>
    <row r="43" spans="2:8" x14ac:dyDescent="0.2">
      <c r="G43" s="204"/>
      <c r="H43" s="204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L103"/>
  <sheetViews>
    <sheetView topLeftCell="C1" zoomScale="70" zoomScaleNormal="70" workbookViewId="0">
      <selection activeCell="O26" sqref="O26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7.710937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3" x14ac:dyDescent="0.2">
      <c r="F2" s="8" t="s">
        <v>22</v>
      </c>
      <c r="Q2" s="134" t="s">
        <v>155</v>
      </c>
    </row>
    <row r="3" spans="3:23" ht="30.75" thickBot="1" x14ac:dyDescent="0.25">
      <c r="C3" s="17" t="s">
        <v>24</v>
      </c>
      <c r="D3" s="18" t="s">
        <v>35</v>
      </c>
      <c r="E3" s="17" t="s">
        <v>26</v>
      </c>
      <c r="F3" s="17" t="s">
        <v>27</v>
      </c>
      <c r="G3" s="388" t="s">
        <v>591</v>
      </c>
      <c r="H3" s="21" t="s">
        <v>29</v>
      </c>
      <c r="I3" s="20" t="s">
        <v>259</v>
      </c>
      <c r="J3" s="20" t="s">
        <v>84</v>
      </c>
      <c r="S3" s="530" t="s">
        <v>278</v>
      </c>
      <c r="T3" s="530"/>
      <c r="U3" s="530"/>
      <c r="V3" s="530"/>
      <c r="W3" s="530"/>
    </row>
    <row r="4" spans="3:23" ht="15.75" thickBot="1" x14ac:dyDescent="0.25">
      <c r="C4" s="19" t="s">
        <v>85</v>
      </c>
      <c r="D4" s="19" t="s">
        <v>36</v>
      </c>
      <c r="E4" s="19" t="s">
        <v>86</v>
      </c>
      <c r="F4" s="19" t="s">
        <v>87</v>
      </c>
      <c r="G4" s="19"/>
      <c r="H4" s="130" t="s">
        <v>91</v>
      </c>
      <c r="I4" s="63"/>
      <c r="J4" s="63"/>
      <c r="S4" s="230" t="s">
        <v>279</v>
      </c>
      <c r="T4" s="231" t="s">
        <v>280</v>
      </c>
      <c r="U4" s="231" t="s">
        <v>281</v>
      </c>
      <c r="V4" s="231" t="s">
        <v>282</v>
      </c>
      <c r="W4" s="232" t="s">
        <v>283</v>
      </c>
    </row>
    <row r="5" spans="3:23" ht="25.5" x14ac:dyDescent="0.2">
      <c r="C5" s="40" t="s">
        <v>145</v>
      </c>
      <c r="D5" s="41"/>
      <c r="E5" s="41"/>
      <c r="F5" s="42"/>
      <c r="G5" s="41"/>
      <c r="H5" s="40" t="s">
        <v>74</v>
      </c>
      <c r="I5" s="64" t="s">
        <v>258</v>
      </c>
      <c r="J5" s="64" t="s">
        <v>100</v>
      </c>
      <c r="S5" s="233" t="s">
        <v>263</v>
      </c>
      <c r="T5" s="234">
        <v>9418.8988568067343</v>
      </c>
      <c r="U5" s="234">
        <v>15472.073727176739</v>
      </c>
      <c r="V5" s="234">
        <v>20378.706337556119</v>
      </c>
      <c r="W5" s="235">
        <v>45269.678921539591</v>
      </c>
    </row>
    <row r="6" spans="3:23" ht="15" x14ac:dyDescent="0.2">
      <c r="C6" s="88" t="str">
        <f>C28</f>
        <v>R-BLD_AptN1</v>
      </c>
      <c r="D6" s="88" t="str">
        <f>D28</f>
        <v>Residential Building Apartment - New Nearly zero-energy buildings</v>
      </c>
      <c r="E6" s="92" t="s">
        <v>139</v>
      </c>
      <c r="F6" s="24" t="s">
        <v>144</v>
      </c>
      <c r="G6" s="24">
        <v>1</v>
      </c>
      <c r="H6" s="135">
        <v>100</v>
      </c>
      <c r="I6" s="252">
        <f>AH23</f>
        <v>4.4223271439528837E-3</v>
      </c>
      <c r="J6" s="133">
        <v>2020</v>
      </c>
      <c r="S6" s="236" t="s">
        <v>264</v>
      </c>
      <c r="T6" s="237">
        <v>7459.2913438514906</v>
      </c>
      <c r="U6" s="237">
        <v>9537.7783975583752</v>
      </c>
      <c r="V6" s="237">
        <v>9433.9012004747347</v>
      </c>
      <c r="W6" s="238">
        <v>26430.9709418846</v>
      </c>
    </row>
    <row r="7" spans="3:23" ht="15" x14ac:dyDescent="0.2">
      <c r="C7" s="66"/>
      <c r="D7" s="66"/>
      <c r="E7" s="27" t="s">
        <v>140</v>
      </c>
      <c r="F7" s="28"/>
      <c r="G7" s="28"/>
      <c r="H7" s="66"/>
      <c r="I7" s="253">
        <f>0.000214944231847928*0.9</f>
        <v>1.934498086631352E-4</v>
      </c>
      <c r="J7" s="60"/>
      <c r="S7" s="239" t="s">
        <v>265</v>
      </c>
      <c r="T7" s="240">
        <v>14041.847426430093</v>
      </c>
      <c r="U7" s="240">
        <v>17545.09295382088</v>
      </c>
      <c r="V7" s="240">
        <v>20090.949195825138</v>
      </c>
      <c r="W7" s="241">
        <v>51677.889576076108</v>
      </c>
    </row>
    <row r="8" spans="3:23" ht="15" x14ac:dyDescent="0.2">
      <c r="C8" s="65"/>
      <c r="D8" s="65"/>
      <c r="E8" s="33" t="s">
        <v>141</v>
      </c>
      <c r="F8" s="44"/>
      <c r="G8" s="44"/>
      <c r="H8" s="65"/>
      <c r="I8" s="254">
        <f>AI23</f>
        <v>7.9109298846992832E-3</v>
      </c>
      <c r="J8" s="61"/>
      <c r="S8" s="236" t="s">
        <v>266</v>
      </c>
      <c r="T8" s="237">
        <v>19924.480375055824</v>
      </c>
      <c r="U8" s="237">
        <v>49768.849685929476</v>
      </c>
      <c r="V8" s="237">
        <v>53466.210043981671</v>
      </c>
      <c r="W8" s="238">
        <v>123159.54010496697</v>
      </c>
    </row>
    <row r="9" spans="3:23" ht="15" x14ac:dyDescent="0.2">
      <c r="C9" s="66"/>
      <c r="D9" s="66"/>
      <c r="E9" s="27" t="s">
        <v>142</v>
      </c>
      <c r="F9" s="28"/>
      <c r="G9" s="28"/>
      <c r="H9" s="66"/>
      <c r="I9" s="253">
        <f>AJ22</f>
        <v>1.4074238978033962E-3</v>
      </c>
      <c r="J9" s="60"/>
      <c r="S9" s="239" t="s">
        <v>267</v>
      </c>
      <c r="T9" s="240">
        <v>58904.8034364337</v>
      </c>
      <c r="U9" s="240">
        <v>282151.52747564798</v>
      </c>
      <c r="V9" s="240">
        <v>251318.93361374349</v>
      </c>
      <c r="W9" s="241">
        <v>592375.26452582516</v>
      </c>
    </row>
    <row r="10" spans="3:23" ht="15" x14ac:dyDescent="0.2">
      <c r="C10" s="89"/>
      <c r="D10" s="89"/>
      <c r="E10" s="122" t="s">
        <v>143</v>
      </c>
      <c r="F10" s="123"/>
      <c r="G10" s="123"/>
      <c r="H10" s="89"/>
      <c r="I10" s="255">
        <f>(AK22)</f>
        <v>1.0616640598224022E-3</v>
      </c>
      <c r="J10" s="98"/>
      <c r="S10" s="236" t="s">
        <v>268</v>
      </c>
      <c r="T10" s="237">
        <v>43739.341649106158</v>
      </c>
      <c r="U10" s="237">
        <v>187627.02237661046</v>
      </c>
      <c r="V10" s="237">
        <v>166667.79141279124</v>
      </c>
      <c r="W10" s="238">
        <v>398034.15543850785</v>
      </c>
    </row>
    <row r="11" spans="3:23" ht="15" x14ac:dyDescent="0.2">
      <c r="C11" s="40" t="s">
        <v>147</v>
      </c>
      <c r="D11" s="41"/>
      <c r="E11" s="41"/>
      <c r="F11" s="42"/>
      <c r="G11" s="41"/>
      <c r="H11" s="40" t="s">
        <v>74</v>
      </c>
      <c r="I11" s="141"/>
      <c r="J11" s="64" t="s">
        <v>100</v>
      </c>
      <c r="S11" s="239" t="s">
        <v>269</v>
      </c>
      <c r="T11" s="240">
        <v>25767.876472761334</v>
      </c>
      <c r="U11" s="240">
        <v>101418.89596184672</v>
      </c>
      <c r="V11" s="240">
        <v>81396.697989555512</v>
      </c>
      <c r="W11" s="241">
        <v>208583.47042416356</v>
      </c>
    </row>
    <row r="12" spans="3:23" ht="15" x14ac:dyDescent="0.2">
      <c r="C12" s="88" t="str">
        <f>C29</f>
        <v>R-BLD_Att-N1</v>
      </c>
      <c r="D12" s="88" t="str">
        <f>D29</f>
        <v>Residential Building Attached - New Nearly zero-energy buildings</v>
      </c>
      <c r="E12" s="92" t="s">
        <v>148</v>
      </c>
      <c r="F12" s="24" t="s">
        <v>149</v>
      </c>
      <c r="G12" s="24">
        <v>1</v>
      </c>
      <c r="H12" s="135">
        <v>100</v>
      </c>
      <c r="I12" s="252">
        <f>AH38</f>
        <v>1.0242117509517548E-2</v>
      </c>
      <c r="J12" s="133">
        <v>2020</v>
      </c>
      <c r="S12" s="236" t="s">
        <v>270</v>
      </c>
      <c r="T12" s="237">
        <v>12331.173226884033</v>
      </c>
      <c r="U12" s="237">
        <v>50123.806027321167</v>
      </c>
      <c r="V12" s="237">
        <v>43241.005762967114</v>
      </c>
      <c r="W12" s="238">
        <v>105695.98501717232</v>
      </c>
    </row>
    <row r="13" spans="3:23" ht="15.75" thickBot="1" x14ac:dyDescent="0.25">
      <c r="C13" s="66"/>
      <c r="D13" s="66"/>
      <c r="E13" s="27" t="s">
        <v>150</v>
      </c>
      <c r="F13" s="28"/>
      <c r="G13" s="28"/>
      <c r="H13" s="66"/>
      <c r="I13" s="253">
        <f>0.000214944231847928*1</f>
        <v>2.1494423184792799E-4</v>
      </c>
      <c r="J13" s="60"/>
      <c r="S13" s="242" t="s">
        <v>271</v>
      </c>
      <c r="T13" s="243">
        <v>15211.172212670604</v>
      </c>
      <c r="U13" s="243">
        <v>52706.674394088106</v>
      </c>
      <c r="V13" s="243">
        <v>78435.533443104825</v>
      </c>
      <c r="W13" s="241">
        <v>146353.38004986354</v>
      </c>
    </row>
    <row r="14" spans="3:23" ht="15.75" thickBot="1" x14ac:dyDescent="0.25">
      <c r="C14" s="65"/>
      <c r="D14" s="65"/>
      <c r="E14" s="33" t="s">
        <v>151</v>
      </c>
      <c r="F14" s="44"/>
      <c r="G14" s="44"/>
      <c r="H14" s="65"/>
      <c r="I14" s="254">
        <f>AI38</f>
        <v>8.461889951638905E-3</v>
      </c>
      <c r="J14" s="61"/>
      <c r="S14" s="244" t="s">
        <v>284</v>
      </c>
      <c r="T14" s="245">
        <v>206798.88499999998</v>
      </c>
      <c r="U14" s="245">
        <v>766351.72099999979</v>
      </c>
      <c r="V14" s="245">
        <v>724429.72899999993</v>
      </c>
      <c r="W14" s="246">
        <v>1697580.3349999997</v>
      </c>
    </row>
    <row r="15" spans="3:23" ht="15.75" thickBot="1" x14ac:dyDescent="0.25">
      <c r="C15" s="66"/>
      <c r="D15" s="66"/>
      <c r="E15" s="27" t="s">
        <v>152</v>
      </c>
      <c r="F15" s="28"/>
      <c r="G15" s="28"/>
      <c r="H15" s="66"/>
      <c r="I15" s="253">
        <f>AJ37</f>
        <v>2.0645399747711616E-3</v>
      </c>
      <c r="J15" s="60"/>
      <c r="S15" s="248" t="s">
        <v>285</v>
      </c>
      <c r="T15" s="247">
        <v>0.74286208971025169</v>
      </c>
      <c r="U15" s="247">
        <v>0.69963472197389465</v>
      </c>
      <c r="V15" s="247">
        <v>0.71303848954914961</v>
      </c>
    </row>
    <row r="16" spans="3:23" x14ac:dyDescent="0.2">
      <c r="C16" s="89"/>
      <c r="D16" s="89"/>
      <c r="E16" s="122" t="s">
        <v>153</v>
      </c>
      <c r="F16" s="123"/>
      <c r="G16" s="123"/>
      <c r="H16" s="89"/>
      <c r="I16" s="255">
        <f>AK37</f>
        <v>1.2480261603648479E-3</v>
      </c>
      <c r="J16" s="98"/>
    </row>
    <row r="17" spans="2:38" x14ac:dyDescent="0.2">
      <c r="C17" s="40" t="s">
        <v>154</v>
      </c>
      <c r="D17" s="41"/>
      <c r="E17" s="41"/>
      <c r="F17" s="42"/>
      <c r="G17" s="41"/>
      <c r="H17" s="40" t="s">
        <v>74</v>
      </c>
      <c r="I17" s="141"/>
      <c r="J17" s="64" t="s">
        <v>100</v>
      </c>
    </row>
    <row r="18" spans="2:38" x14ac:dyDescent="0.2">
      <c r="C18" s="88" t="str">
        <f>C30</f>
        <v>R-BLD_Det-N1</v>
      </c>
      <c r="D18" s="88" t="str">
        <f>D30</f>
        <v>Residential Building Detached - New Nearly zero-energy buildings</v>
      </c>
      <c r="E18" s="92" t="s">
        <v>156</v>
      </c>
      <c r="F18" s="24" t="s">
        <v>157</v>
      </c>
      <c r="G18" s="24">
        <v>1</v>
      </c>
      <c r="H18" s="135">
        <v>100</v>
      </c>
      <c r="I18" s="252">
        <f>AH52</f>
        <v>2.4280865417312326E-2</v>
      </c>
      <c r="J18" s="133">
        <v>2020</v>
      </c>
    </row>
    <row r="19" spans="2:38" x14ac:dyDescent="0.2">
      <c r="C19" s="66"/>
      <c r="D19" s="66"/>
      <c r="E19" s="27" t="s">
        <v>158</v>
      </c>
      <c r="F19" s="28"/>
      <c r="G19" s="28"/>
      <c r="H19" s="66"/>
      <c r="I19" s="253">
        <f>0.000214944231847928*1.1</f>
        <v>2.364386550327208E-4</v>
      </c>
      <c r="J19" s="60"/>
    </row>
    <row r="20" spans="2:38" ht="12.75" customHeight="1" x14ac:dyDescent="0.2">
      <c r="C20" s="65"/>
      <c r="D20" s="65"/>
      <c r="E20" s="33" t="s">
        <v>159</v>
      </c>
      <c r="F20" s="44"/>
      <c r="G20" s="44"/>
      <c r="H20" s="65"/>
      <c r="I20" s="254">
        <f>AI51</f>
        <v>8.9758896942700953E-3</v>
      </c>
      <c r="J20" s="61"/>
      <c r="X20" s="5" t="s">
        <v>273</v>
      </c>
      <c r="Y20" s="5" t="s">
        <v>273</v>
      </c>
      <c r="Z20" s="5" t="s">
        <v>273</v>
      </c>
      <c r="AA20" s="5" t="s">
        <v>273</v>
      </c>
      <c r="AB20" s="5" t="s">
        <v>273</v>
      </c>
      <c r="AC20" s="5" t="s">
        <v>273</v>
      </c>
      <c r="AD20" s="5" t="s">
        <v>273</v>
      </c>
      <c r="AE20" s="5" t="s">
        <v>273</v>
      </c>
      <c r="AF20" s="5" t="s">
        <v>273</v>
      </c>
      <c r="AG20" s="5" t="s">
        <v>273</v>
      </c>
      <c r="AH20" s="250" t="s">
        <v>286</v>
      </c>
      <c r="AI20" s="251" t="s">
        <v>293</v>
      </c>
      <c r="AJ20" s="251" t="s">
        <v>294</v>
      </c>
      <c r="AK20" s="5" t="s">
        <v>289</v>
      </c>
      <c r="AL20" s="249" t="s">
        <v>295</v>
      </c>
    </row>
    <row r="21" spans="2:38" ht="13.5" thickBot="1" x14ac:dyDescent="0.25">
      <c r="C21" s="66"/>
      <c r="D21" s="66"/>
      <c r="E21" s="27" t="s">
        <v>160</v>
      </c>
      <c r="F21" s="28"/>
      <c r="G21" s="28"/>
      <c r="H21" s="66"/>
      <c r="I21" s="253">
        <f>AJ51</f>
        <v>3.5262400890868602E-3</v>
      </c>
      <c r="J21" s="60"/>
      <c r="W21" s="5" t="s">
        <v>272</v>
      </c>
      <c r="X21" s="5" t="s">
        <v>274</v>
      </c>
      <c r="Y21" s="5" t="s">
        <v>275</v>
      </c>
      <c r="Z21" s="5" t="s">
        <v>276</v>
      </c>
      <c r="AA21" s="5" t="s">
        <v>287</v>
      </c>
      <c r="AB21" s="5" t="s">
        <v>288</v>
      </c>
      <c r="AC21" s="134" t="s">
        <v>277</v>
      </c>
      <c r="AD21" s="134" t="s">
        <v>289</v>
      </c>
      <c r="AE21" s="5" t="s">
        <v>290</v>
      </c>
      <c r="AF21" s="5" t="s">
        <v>291</v>
      </c>
      <c r="AG21" s="5" t="s">
        <v>284</v>
      </c>
      <c r="AH21" s="249" t="s">
        <v>292</v>
      </c>
    </row>
    <row r="22" spans="2:38" ht="15" x14ac:dyDescent="0.2">
      <c r="C22" s="89"/>
      <c r="D22" s="89"/>
      <c r="E22" s="122" t="s">
        <v>161</v>
      </c>
      <c r="F22" s="123"/>
      <c r="G22" s="123"/>
      <c r="H22" s="89"/>
      <c r="I22" s="255">
        <f>AK51</f>
        <v>1.8402541810083014E-3</v>
      </c>
      <c r="J22" s="98"/>
      <c r="V22" s="5" t="s">
        <v>263</v>
      </c>
      <c r="W22" s="131">
        <v>6419</v>
      </c>
      <c r="X22" s="131">
        <v>535137</v>
      </c>
      <c r="Y22" s="5">
        <v>52</v>
      </c>
      <c r="Z22" s="131">
        <v>-505747</v>
      </c>
      <c r="AA22" s="131">
        <v>11249</v>
      </c>
      <c r="AB22" s="131">
        <v>2509515</v>
      </c>
      <c r="AC22" s="131">
        <v>1893006</v>
      </c>
      <c r="AD22" s="131">
        <v>5793778</v>
      </c>
      <c r="AE22" s="131">
        <v>31852</v>
      </c>
      <c r="AF22" s="131">
        <v>9733652</v>
      </c>
      <c r="AG22" s="234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ABS(((AG22/W22)*$T$15*(Z22+AA22)*0.0000000036)/1000)</f>
        <v>1.9404747391189423E-6</v>
      </c>
    </row>
    <row r="23" spans="2:38" ht="15" x14ac:dyDescent="0.2">
      <c r="V23" s="5" t="s">
        <v>264</v>
      </c>
      <c r="W23" s="131">
        <v>3209</v>
      </c>
      <c r="X23" s="131">
        <v>264012</v>
      </c>
      <c r="Y23" s="5">
        <v>91</v>
      </c>
      <c r="Z23" s="131">
        <v>5149071</v>
      </c>
      <c r="AA23" s="131">
        <v>157450</v>
      </c>
      <c r="AB23" s="131">
        <v>1694468</v>
      </c>
      <c r="AC23" s="131">
        <v>638663</v>
      </c>
      <c r="AD23" s="131">
        <v>6968385</v>
      </c>
      <c r="AE23" s="131">
        <v>83330</v>
      </c>
      <c r="AF23" s="131">
        <v>14691367</v>
      </c>
      <c r="AG23" s="237">
        <v>7459.2913438514906</v>
      </c>
      <c r="AH23" s="5">
        <f>((AG23/W23)*$T$15*(Z23+AA23)*0.0000000036)/(AG23/1000)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265</v>
      </c>
      <c r="W24" s="131">
        <v>8665</v>
      </c>
      <c r="X24" s="131">
        <v>712223</v>
      </c>
      <c r="Y24" s="5">
        <v>114</v>
      </c>
      <c r="Z24" s="131">
        <v>24443713</v>
      </c>
      <c r="AA24" s="131">
        <v>1103093</v>
      </c>
      <c r="AB24" s="131">
        <v>5068146</v>
      </c>
      <c r="AC24" s="131">
        <v>1589124</v>
      </c>
      <c r="AD24" s="131">
        <v>23824149</v>
      </c>
      <c r="AE24" s="131">
        <v>271620</v>
      </c>
      <c r="AF24" s="131">
        <v>56299844</v>
      </c>
      <c r="AG24" s="240">
        <v>14041.847426430093</v>
      </c>
      <c r="AH24" s="5">
        <f>((AG24/W24)*$T$15*(Z24+AA24)*0.0000000036)/(AG24/1000)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13" t="s">
        <v>23</v>
      </c>
      <c r="C25" s="14"/>
      <c r="D25" s="14"/>
      <c r="E25" s="14"/>
      <c r="F25" s="14"/>
      <c r="G25" s="14"/>
      <c r="H25" s="14"/>
      <c r="I25" s="14"/>
      <c r="V25" s="5" t="s">
        <v>266</v>
      </c>
      <c r="W25" s="131">
        <v>13570</v>
      </c>
      <c r="X25" s="131">
        <v>1073828</v>
      </c>
      <c r="Y25" s="5">
        <v>138</v>
      </c>
      <c r="Z25" s="131">
        <v>50858810</v>
      </c>
      <c r="AA25" s="131">
        <v>3129098</v>
      </c>
      <c r="AB25" s="131">
        <v>7944420</v>
      </c>
      <c r="AC25" s="131">
        <v>2305495</v>
      </c>
      <c r="AD25" s="131">
        <v>41205233</v>
      </c>
      <c r="AE25" s="131">
        <v>896605</v>
      </c>
      <c r="AF25" s="131">
        <v>106339660</v>
      </c>
      <c r="AG25" s="237">
        <v>19924.480375055824</v>
      </c>
      <c r="AH25" s="5">
        <f t="shared" ref="AH25:AH30" si="3">((AG25/W25)*$T$15*(Z25+AA25)*0.0000000036)/(AG25/1000)</f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15" t="s">
        <v>30</v>
      </c>
      <c r="C26" s="15" t="s">
        <v>24</v>
      </c>
      <c r="D26" s="15" t="s">
        <v>25</v>
      </c>
      <c r="E26" s="15" t="s">
        <v>31</v>
      </c>
      <c r="F26" s="15" t="s">
        <v>32</v>
      </c>
      <c r="G26" s="15" t="s">
        <v>33</v>
      </c>
      <c r="H26" s="15" t="s">
        <v>73</v>
      </c>
      <c r="V26" s="5" t="s">
        <v>267</v>
      </c>
      <c r="W26" s="131">
        <v>45566</v>
      </c>
      <c r="X26" s="131">
        <v>3308771</v>
      </c>
      <c r="Y26" s="5">
        <v>187</v>
      </c>
      <c r="Z26" s="131">
        <v>191371995</v>
      </c>
      <c r="AA26" s="131">
        <v>20181333</v>
      </c>
      <c r="AB26" s="131">
        <v>24809831</v>
      </c>
      <c r="AC26" s="131">
        <v>5185837</v>
      </c>
      <c r="AD26" s="131">
        <v>135290780</v>
      </c>
      <c r="AE26" s="131">
        <v>5131131</v>
      </c>
      <c r="AF26" s="131">
        <v>381970906</v>
      </c>
      <c r="AG26" s="240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16" t="s">
        <v>219</v>
      </c>
      <c r="C27" s="16" t="s">
        <v>220</v>
      </c>
      <c r="D27" s="16" t="s">
        <v>36</v>
      </c>
      <c r="E27" s="16" t="s">
        <v>77</v>
      </c>
      <c r="F27" s="16" t="s">
        <v>78</v>
      </c>
      <c r="G27" s="16" t="s">
        <v>221</v>
      </c>
      <c r="H27" s="16" t="s">
        <v>80</v>
      </c>
      <c r="V27" s="5" t="s">
        <v>268</v>
      </c>
      <c r="W27" s="131">
        <v>30979</v>
      </c>
      <c r="X27" s="131">
        <v>2017902</v>
      </c>
      <c r="Y27" s="5">
        <v>261</v>
      </c>
      <c r="Z27" s="131">
        <v>133224360</v>
      </c>
      <c r="AA27" s="131">
        <v>19396995</v>
      </c>
      <c r="AB27" s="131">
        <v>15123200</v>
      </c>
      <c r="AC27" s="131">
        <v>1533922</v>
      </c>
      <c r="AD27" s="131">
        <v>78676858</v>
      </c>
      <c r="AE27" s="131">
        <v>2505229</v>
      </c>
      <c r="AF27" s="131">
        <v>250460563</v>
      </c>
      <c r="AG27" s="237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25" t="s">
        <v>317</v>
      </c>
      <c r="C28" s="126" t="s">
        <v>133</v>
      </c>
      <c r="D28" s="126" t="s">
        <v>136</v>
      </c>
      <c r="E28" s="126" t="s">
        <v>132</v>
      </c>
      <c r="F28" s="126" t="s">
        <v>132</v>
      </c>
      <c r="G28" s="126"/>
      <c r="H28" s="127"/>
      <c r="V28" s="5" t="s">
        <v>269</v>
      </c>
      <c r="W28" s="131">
        <v>15595</v>
      </c>
      <c r="X28" s="131">
        <v>931541</v>
      </c>
      <c r="Y28" s="5">
        <v>337</v>
      </c>
      <c r="Z28" s="131">
        <v>83766308</v>
      </c>
      <c r="AA28" s="131">
        <v>16239436</v>
      </c>
      <c r="AB28" s="131">
        <v>7086953</v>
      </c>
      <c r="AC28" s="131">
        <v>575189</v>
      </c>
      <c r="AD28" s="131">
        <v>37375430</v>
      </c>
      <c r="AE28" s="131">
        <v>1099500</v>
      </c>
      <c r="AF28" s="131">
        <v>146142817</v>
      </c>
      <c r="AG28" s="240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25" t="s">
        <v>317</v>
      </c>
      <c r="C29" s="126" t="s">
        <v>134</v>
      </c>
      <c r="D29" s="126" t="s">
        <v>137</v>
      </c>
      <c r="E29" s="126" t="s">
        <v>132</v>
      </c>
      <c r="F29" s="126" t="s">
        <v>132</v>
      </c>
      <c r="G29" s="126"/>
      <c r="H29" s="127"/>
      <c r="V29" s="5" t="s">
        <v>270</v>
      </c>
      <c r="W29" s="131">
        <v>5191</v>
      </c>
      <c r="X29" s="131">
        <v>290189</v>
      </c>
      <c r="Y29" s="5">
        <v>413</v>
      </c>
      <c r="Z29" s="131">
        <v>36993288</v>
      </c>
      <c r="AA29" s="131">
        <v>7041768</v>
      </c>
      <c r="AB29" s="131">
        <v>2218849</v>
      </c>
      <c r="AC29" s="131">
        <v>235069</v>
      </c>
      <c r="AD29" s="131">
        <v>12463794</v>
      </c>
      <c r="AE29" s="131">
        <v>507628</v>
      </c>
      <c r="AF29" s="131">
        <v>59460396</v>
      </c>
      <c r="AG29" s="237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25" t="s">
        <v>317</v>
      </c>
      <c r="C30" s="128" t="s">
        <v>135</v>
      </c>
      <c r="D30" s="128" t="s">
        <v>138</v>
      </c>
      <c r="E30" s="128" t="s">
        <v>132</v>
      </c>
      <c r="F30" s="128" t="s">
        <v>132</v>
      </c>
      <c r="G30" s="128"/>
      <c r="H30" s="129"/>
      <c r="V30" s="5" t="s">
        <v>271</v>
      </c>
      <c r="W30" s="131">
        <v>5603</v>
      </c>
      <c r="X30" s="131">
        <v>294590</v>
      </c>
      <c r="Y30" s="5">
        <v>602</v>
      </c>
      <c r="Z30" s="131">
        <v>59600854</v>
      </c>
      <c r="AA30" s="131">
        <v>9624009</v>
      </c>
      <c r="AB30" s="131">
        <v>2310613</v>
      </c>
      <c r="AC30" s="131">
        <v>213528</v>
      </c>
      <c r="AD30" s="131">
        <v>12820227</v>
      </c>
      <c r="AE30" s="131">
        <v>550098</v>
      </c>
      <c r="AF30" s="131">
        <v>85119330</v>
      </c>
      <c r="AG30" s="243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245">
        <v>206798.88499999998</v>
      </c>
      <c r="AH31" s="131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250"/>
    </row>
    <row r="34" spans="1:38" x14ac:dyDescent="0.2">
      <c r="B34" s="7"/>
      <c r="C34" s="7"/>
      <c r="D34" s="7"/>
      <c r="E34" s="7"/>
      <c r="F34" s="7"/>
      <c r="G34" s="7"/>
      <c r="H34" s="7"/>
      <c r="I34" s="7"/>
    </row>
    <row r="35" spans="1:38" x14ac:dyDescent="0.2">
      <c r="B35" s="7"/>
      <c r="C35" s="7"/>
      <c r="I35" s="7"/>
      <c r="W35" s="5" t="s">
        <v>281</v>
      </c>
      <c r="X35" s="5" t="s">
        <v>281</v>
      </c>
      <c r="Y35" s="5" t="s">
        <v>281</v>
      </c>
      <c r="Z35" s="5" t="s">
        <v>281</v>
      </c>
      <c r="AA35" s="5" t="s">
        <v>281</v>
      </c>
      <c r="AB35" s="5" t="s">
        <v>281</v>
      </c>
      <c r="AC35" s="5" t="s">
        <v>281</v>
      </c>
      <c r="AD35" s="5" t="s">
        <v>281</v>
      </c>
      <c r="AE35" s="5" t="s">
        <v>281</v>
      </c>
      <c r="AF35" s="5" t="s">
        <v>281</v>
      </c>
      <c r="AH35" s="250" t="s">
        <v>286</v>
      </c>
      <c r="AI35" s="251" t="s">
        <v>293</v>
      </c>
      <c r="AJ35" s="251" t="s">
        <v>294</v>
      </c>
      <c r="AK35" s="5" t="s">
        <v>289</v>
      </c>
      <c r="AL35" s="249" t="s">
        <v>295</v>
      </c>
    </row>
    <row r="36" spans="1:38" ht="13.5" thickBot="1" x14ac:dyDescent="0.25">
      <c r="B36" s="7"/>
      <c r="C36" s="7"/>
      <c r="I36" s="7"/>
      <c r="V36" s="5" t="s">
        <v>272</v>
      </c>
      <c r="W36" s="5" t="s">
        <v>274</v>
      </c>
      <c r="X36" s="5" t="s">
        <v>275</v>
      </c>
      <c r="Y36" s="5" t="s">
        <v>276</v>
      </c>
      <c r="Z36" s="5" t="s">
        <v>287</v>
      </c>
      <c r="AA36" s="5" t="s">
        <v>288</v>
      </c>
      <c r="AB36" s="134" t="s">
        <v>277</v>
      </c>
      <c r="AC36" s="134" t="s">
        <v>289</v>
      </c>
      <c r="AD36" s="5" t="s">
        <v>290</v>
      </c>
      <c r="AE36" s="5" t="s">
        <v>291</v>
      </c>
      <c r="AF36" s="5" t="s">
        <v>284</v>
      </c>
      <c r="AH36" s="249" t="s">
        <v>292</v>
      </c>
    </row>
    <row r="37" spans="1:38" ht="15" x14ac:dyDescent="0.2">
      <c r="B37" s="7"/>
      <c r="C37" s="7"/>
      <c r="I37" s="7"/>
      <c r="V37" s="5" t="s">
        <v>263</v>
      </c>
      <c r="W37" s="131">
        <v>30917</v>
      </c>
      <c r="X37" s="131">
        <v>3791316</v>
      </c>
      <c r="Y37" s="5">
        <v>54</v>
      </c>
      <c r="Z37" s="131">
        <v>10485360</v>
      </c>
      <c r="AA37" s="131">
        <v>1188542</v>
      </c>
      <c r="AB37" s="131">
        <v>17730384</v>
      </c>
      <c r="AC37" s="131">
        <v>10718118</v>
      </c>
      <c r="AD37" s="131">
        <v>77836062</v>
      </c>
      <c r="AE37" s="131">
        <v>4686</v>
      </c>
      <c r="AF37" s="131">
        <v>117963152</v>
      </c>
      <c r="AG37" s="234">
        <v>15472.073727176739</v>
      </c>
      <c r="AH37" s="5">
        <f>((AG37/W37)*$U$15*(Z37+AA37)*0.0000000036)/(AG37/1000)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7"/>
      <c r="C38" s="7"/>
      <c r="I38" s="7"/>
      <c r="V38" s="5" t="s">
        <v>264</v>
      </c>
      <c r="W38" s="131">
        <v>3722</v>
      </c>
      <c r="X38" s="131">
        <v>417890</v>
      </c>
      <c r="Y38" s="5">
        <v>90</v>
      </c>
      <c r="Z38" s="131">
        <v>13034192</v>
      </c>
      <c r="AA38" s="131">
        <v>2101151</v>
      </c>
      <c r="AB38" s="131">
        <v>2240850</v>
      </c>
      <c r="AC38" s="131">
        <v>788570</v>
      </c>
      <c r="AD38" s="131">
        <v>8717545</v>
      </c>
      <c r="AE38" s="131">
        <v>31109</v>
      </c>
      <c r="AF38" s="131">
        <v>26913417</v>
      </c>
      <c r="AG38" s="237">
        <v>9537.7783975583752</v>
      </c>
      <c r="AH38" s="5">
        <f t="shared" ref="AH38:AH45" si="5">((AG38/W38)*$U$15*(Z38+AA38)*0.0000000036)/(AG38/1000)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7"/>
      <c r="C39" s="7"/>
      <c r="I39" s="7"/>
      <c r="V39" s="5" t="s">
        <v>265</v>
      </c>
      <c r="W39" s="131">
        <v>7882</v>
      </c>
      <c r="X39" s="131">
        <v>923821</v>
      </c>
      <c r="Y39" s="5">
        <v>116</v>
      </c>
      <c r="Z39" s="131">
        <v>43515430</v>
      </c>
      <c r="AA39" s="131">
        <v>7251325</v>
      </c>
      <c r="AB39" s="131">
        <v>5692013</v>
      </c>
      <c r="AC39" s="131">
        <v>1593680</v>
      </c>
      <c r="AD39" s="131">
        <v>27323207</v>
      </c>
      <c r="AE39" s="131">
        <v>122934</v>
      </c>
      <c r="AF39" s="131">
        <v>85498588</v>
      </c>
      <c r="AG39" s="240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7"/>
      <c r="C40" s="7"/>
      <c r="I40" s="7"/>
      <c r="V40" s="5" t="s">
        <v>266</v>
      </c>
      <c r="W40" s="131">
        <v>27081</v>
      </c>
      <c r="X40" s="131">
        <v>2951365</v>
      </c>
      <c r="Y40" s="5">
        <v>140</v>
      </c>
      <c r="Z40" s="131">
        <v>174012862</v>
      </c>
      <c r="AA40" s="131">
        <v>34638769</v>
      </c>
      <c r="AB40" s="131">
        <v>20069083</v>
      </c>
      <c r="AC40" s="131">
        <v>5351092</v>
      </c>
      <c r="AD40" s="131">
        <v>103542140</v>
      </c>
      <c r="AE40" s="131">
        <v>1485406</v>
      </c>
      <c r="AF40" s="131">
        <v>339099353</v>
      </c>
      <c r="AG40" s="237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7"/>
      <c r="B41" s="7"/>
      <c r="C41" s="7"/>
      <c r="I41" s="7"/>
      <c r="V41" s="5" t="s">
        <v>267</v>
      </c>
      <c r="W41" s="131">
        <v>161926</v>
      </c>
      <c r="X41" s="131">
        <v>16330846</v>
      </c>
      <c r="Y41" s="5">
        <v>189</v>
      </c>
      <c r="Z41" s="131">
        <v>1338047187</v>
      </c>
      <c r="AA41" s="131">
        <v>324841172</v>
      </c>
      <c r="AB41" s="131">
        <v>118805308</v>
      </c>
      <c r="AC41" s="131">
        <v>31787856</v>
      </c>
      <c r="AD41" s="131">
        <v>660359371</v>
      </c>
      <c r="AE41" s="131">
        <v>44948998</v>
      </c>
      <c r="AF41" s="131">
        <v>2518789892</v>
      </c>
      <c r="AG41" s="240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7"/>
      <c r="B42" s="7"/>
      <c r="C42" s="7"/>
      <c r="I42" s="7"/>
      <c r="V42" s="5" t="s">
        <v>268</v>
      </c>
      <c r="W42" s="131">
        <v>95372</v>
      </c>
      <c r="X42" s="131">
        <v>9015651</v>
      </c>
      <c r="Y42" s="5">
        <v>260</v>
      </c>
      <c r="Z42" s="131">
        <v>1084292370</v>
      </c>
      <c r="AA42" s="131">
        <v>253316321</v>
      </c>
      <c r="AB42" s="131">
        <v>68300496</v>
      </c>
      <c r="AC42" s="131">
        <v>17462349</v>
      </c>
      <c r="AD42" s="131">
        <v>395641968</v>
      </c>
      <c r="AE42" s="131">
        <v>45229735</v>
      </c>
      <c r="AF42" s="131">
        <v>1864243238</v>
      </c>
      <c r="AG42" s="237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7"/>
      <c r="B43" s="7"/>
      <c r="C43" s="7"/>
      <c r="D43" s="7"/>
      <c r="E43" s="7"/>
      <c r="F43" s="7"/>
      <c r="G43" s="7"/>
      <c r="H43" s="7"/>
      <c r="I43" s="7"/>
      <c r="V43" s="5" t="s">
        <v>269</v>
      </c>
      <c r="W43" s="131">
        <v>46130</v>
      </c>
      <c r="X43" s="131">
        <v>4172403</v>
      </c>
      <c r="Y43" s="5">
        <v>338</v>
      </c>
      <c r="Z43" s="131">
        <v>710540728</v>
      </c>
      <c r="AA43" s="131">
        <v>151669826</v>
      </c>
      <c r="AB43" s="131">
        <v>32024144</v>
      </c>
      <c r="AC43" s="131">
        <v>7687230</v>
      </c>
      <c r="AD43" s="131">
        <v>197368280</v>
      </c>
      <c r="AE43" s="131">
        <v>25027741</v>
      </c>
      <c r="AF43" s="131">
        <v>1124317950</v>
      </c>
      <c r="AG43" s="240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7"/>
      <c r="B44" s="7"/>
      <c r="C44" s="7"/>
      <c r="D44" s="7"/>
      <c r="E44" s="7"/>
      <c r="F44" s="7"/>
      <c r="G44" s="7"/>
      <c r="H44" s="7"/>
      <c r="I44" s="7"/>
      <c r="V44" s="5" t="s">
        <v>270</v>
      </c>
      <c r="W44" s="131">
        <v>20720</v>
      </c>
      <c r="X44" s="131">
        <v>1831493</v>
      </c>
      <c r="Y44" s="5">
        <v>413</v>
      </c>
      <c r="Z44" s="131">
        <v>402775920</v>
      </c>
      <c r="AA44" s="131">
        <v>83851393</v>
      </c>
      <c r="AB44" s="131">
        <v>14391500</v>
      </c>
      <c r="AC44" s="131">
        <v>3408225</v>
      </c>
      <c r="AD44" s="131">
        <v>91534744</v>
      </c>
      <c r="AE44" s="131">
        <v>12170223</v>
      </c>
      <c r="AF44" s="131">
        <v>608132005</v>
      </c>
      <c r="AG44" s="237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7"/>
      <c r="B45" s="7"/>
      <c r="C45" s="7"/>
      <c r="D45" s="7"/>
      <c r="E45" s="7"/>
      <c r="F45" s="7"/>
      <c r="G45" s="7"/>
      <c r="H45" s="7"/>
      <c r="I45" s="7"/>
      <c r="K45" s="7"/>
      <c r="L45" s="7"/>
      <c r="M45" s="7"/>
      <c r="V45" s="5" t="s">
        <v>271</v>
      </c>
      <c r="W45" s="131">
        <v>21208</v>
      </c>
      <c r="X45" s="131">
        <v>1754836</v>
      </c>
      <c r="Y45" s="5">
        <v>604</v>
      </c>
      <c r="Z45" s="131">
        <v>548461962</v>
      </c>
      <c r="AA45" s="131">
        <v>105828500</v>
      </c>
      <c r="AB45" s="131">
        <v>14258858</v>
      </c>
      <c r="AC45" s="131">
        <v>2481394</v>
      </c>
      <c r="AD45" s="131">
        <v>86745130</v>
      </c>
      <c r="AE45" s="131">
        <v>9686191</v>
      </c>
      <c r="AF45" s="131">
        <v>767462035</v>
      </c>
      <c r="AG45" s="243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7"/>
      <c r="B46" s="7"/>
      <c r="C46" s="7"/>
      <c r="D46" s="7"/>
      <c r="E46" s="7"/>
      <c r="F46" s="7"/>
      <c r="G46" s="7"/>
      <c r="H46" s="7"/>
      <c r="I46" s="7"/>
      <c r="K46" s="7"/>
      <c r="L46" s="7"/>
      <c r="M46" s="7"/>
      <c r="AG46" s="245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7"/>
      <c r="B47" s="7"/>
      <c r="C47" s="7"/>
      <c r="D47" s="7"/>
      <c r="E47" s="7"/>
      <c r="F47" s="7"/>
      <c r="G47" s="7"/>
      <c r="H47" s="7"/>
      <c r="I47" s="7"/>
      <c r="K47" s="7"/>
      <c r="L47" s="7"/>
      <c r="M47" s="7"/>
    </row>
    <row r="48" spans="1:38" x14ac:dyDescent="0.2">
      <c r="A48" s="7"/>
      <c r="B48" s="7"/>
      <c r="C48" s="7"/>
      <c r="D48" s="7"/>
      <c r="E48" s="7"/>
      <c r="F48" s="7"/>
      <c r="G48" s="7"/>
      <c r="H48" s="7"/>
      <c r="I48" s="7"/>
      <c r="K48" s="7"/>
      <c r="L48" s="7"/>
      <c r="M48" s="7"/>
    </row>
    <row r="49" spans="1:38" x14ac:dyDescent="0.2">
      <c r="A49" s="7"/>
      <c r="B49" s="7"/>
      <c r="C49" s="7"/>
      <c r="D49" s="7"/>
      <c r="E49" s="7"/>
      <c r="F49" s="7"/>
      <c r="G49" s="7"/>
      <c r="H49" s="7"/>
      <c r="I49" s="7"/>
      <c r="W49" s="5" t="s">
        <v>282</v>
      </c>
      <c r="X49" s="5" t="s">
        <v>282</v>
      </c>
      <c r="Y49" s="5" t="s">
        <v>282</v>
      </c>
      <c r="Z49" s="5" t="s">
        <v>282</v>
      </c>
      <c r="AA49" s="5" t="s">
        <v>282</v>
      </c>
      <c r="AB49" s="5" t="s">
        <v>282</v>
      </c>
      <c r="AC49" s="5" t="s">
        <v>282</v>
      </c>
      <c r="AD49" s="5" t="s">
        <v>282</v>
      </c>
      <c r="AE49" s="5" t="s">
        <v>282</v>
      </c>
      <c r="AF49" s="5" t="s">
        <v>282</v>
      </c>
      <c r="AH49" s="250" t="s">
        <v>286</v>
      </c>
      <c r="AI49" s="251" t="s">
        <v>293</v>
      </c>
      <c r="AJ49" s="251" t="s">
        <v>294</v>
      </c>
      <c r="AK49" s="5" t="s">
        <v>289</v>
      </c>
      <c r="AL49" s="249" t="s">
        <v>295</v>
      </c>
    </row>
    <row r="50" spans="1:38" ht="13.5" thickBot="1" x14ac:dyDescent="0.25">
      <c r="A50" s="7"/>
      <c r="B50" s="7"/>
      <c r="C50" s="7"/>
      <c r="D50" s="7"/>
      <c r="E50" s="7"/>
      <c r="F50" s="7"/>
      <c r="G50" s="7"/>
      <c r="H50" s="7"/>
      <c r="I50" s="7"/>
      <c r="V50" s="5" t="s">
        <v>272</v>
      </c>
      <c r="W50" s="5" t="s">
        <v>274</v>
      </c>
      <c r="X50" s="5" t="s">
        <v>275</v>
      </c>
      <c r="Y50" s="5" t="s">
        <v>276</v>
      </c>
      <c r="Z50" s="5" t="s">
        <v>287</v>
      </c>
      <c r="AA50" s="5" t="s">
        <v>288</v>
      </c>
      <c r="AB50" s="134" t="s">
        <v>277</v>
      </c>
      <c r="AC50" s="134" t="s">
        <v>289</v>
      </c>
      <c r="AD50" s="5" t="s">
        <v>290</v>
      </c>
      <c r="AE50" s="5" t="s">
        <v>291</v>
      </c>
      <c r="AF50" s="5" t="s">
        <v>284</v>
      </c>
      <c r="AH50" s="249" t="s">
        <v>292</v>
      </c>
    </row>
    <row r="51" spans="1:38" ht="15" x14ac:dyDescent="0.2">
      <c r="A51" s="7"/>
      <c r="B51" s="7"/>
      <c r="C51" s="7"/>
      <c r="D51" s="7"/>
      <c r="E51" s="7"/>
      <c r="F51" s="7"/>
      <c r="G51" s="7"/>
      <c r="H51" s="7"/>
      <c r="I51" s="7"/>
      <c r="V51" s="5" t="s">
        <v>263</v>
      </c>
      <c r="W51" s="131">
        <v>9878</v>
      </c>
      <c r="X51" s="131">
        <v>1991423</v>
      </c>
      <c r="Y51" s="5">
        <v>56</v>
      </c>
      <c r="Z51" s="131">
        <v>13716437</v>
      </c>
      <c r="AA51" s="131">
        <v>3262341</v>
      </c>
      <c r="AB51" s="131">
        <v>9675611</v>
      </c>
      <c r="AC51" s="131">
        <v>5049453</v>
      </c>
      <c r="AD51" s="131">
        <v>24601800</v>
      </c>
      <c r="AE51" s="131">
        <v>27044</v>
      </c>
      <c r="AF51" s="131">
        <v>56332686</v>
      </c>
      <c r="AG51" s="234">
        <v>20378.706337556119</v>
      </c>
      <c r="AH51" s="5">
        <f>((AG51/W51)*$V$15*(Z51+AA51)*0.0000000036)/(AG51/1000)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7"/>
      <c r="B52" s="7"/>
      <c r="C52" s="7"/>
      <c r="D52" s="7"/>
      <c r="E52" s="7"/>
      <c r="F52" s="7"/>
      <c r="G52" s="7"/>
      <c r="H52" s="7"/>
      <c r="I52" s="7"/>
      <c r="V52" s="5" t="s">
        <v>264</v>
      </c>
      <c r="W52" s="131">
        <v>3037</v>
      </c>
      <c r="X52" s="131">
        <v>692326</v>
      </c>
      <c r="Y52" s="5">
        <v>90</v>
      </c>
      <c r="Z52" s="131">
        <v>22749646</v>
      </c>
      <c r="AA52" s="131">
        <v>5977566</v>
      </c>
      <c r="AB52" s="131">
        <v>3970604</v>
      </c>
      <c r="AC52" s="131">
        <v>1113600</v>
      </c>
      <c r="AD52" s="131">
        <v>10038678</v>
      </c>
      <c r="AE52" s="131">
        <v>61317</v>
      </c>
      <c r="AF52" s="131">
        <v>43911412</v>
      </c>
      <c r="AG52" s="237">
        <v>9433.9012004747347</v>
      </c>
      <c r="AH52" s="5">
        <f t="shared" ref="AH52:AH59" si="12">((AG52/W52)*$V$15*(Z52+AA52)*0.0000000036)/(AG52/1000)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7"/>
      <c r="B53" s="7"/>
      <c r="C53" s="7"/>
      <c r="D53" s="7"/>
      <c r="E53" s="7"/>
      <c r="F53" s="7"/>
      <c r="G53" s="7"/>
      <c r="H53" s="7"/>
      <c r="I53" s="7"/>
      <c r="V53" s="5" t="s">
        <v>265</v>
      </c>
      <c r="W53" s="131">
        <v>7052</v>
      </c>
      <c r="X53" s="131">
        <v>1571662</v>
      </c>
      <c r="Y53" s="5">
        <v>116</v>
      </c>
      <c r="Z53" s="131">
        <v>86989542</v>
      </c>
      <c r="AA53" s="131">
        <v>19534310</v>
      </c>
      <c r="AB53" s="131">
        <v>10452701</v>
      </c>
      <c r="AC53" s="131">
        <v>2036694</v>
      </c>
      <c r="AD53" s="131">
        <v>30584513</v>
      </c>
      <c r="AE53" s="131">
        <v>335555</v>
      </c>
      <c r="AF53" s="131">
        <v>149933315</v>
      </c>
      <c r="AG53" s="240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7"/>
      <c r="B54" s="7"/>
      <c r="C54" s="7"/>
      <c r="D54" s="7"/>
      <c r="E54" s="7"/>
      <c r="F54" s="7"/>
      <c r="G54" s="7"/>
      <c r="H54" s="7"/>
      <c r="I54" s="7"/>
      <c r="V54" s="5" t="s">
        <v>266</v>
      </c>
      <c r="W54" s="131">
        <v>20170</v>
      </c>
      <c r="X54" s="131">
        <v>4035093</v>
      </c>
      <c r="Y54" s="5">
        <v>140</v>
      </c>
      <c r="Z54" s="131">
        <v>290547340</v>
      </c>
      <c r="AA54" s="131">
        <v>61564028</v>
      </c>
      <c r="AB54" s="131">
        <v>29255723</v>
      </c>
      <c r="AC54" s="131">
        <v>5060356</v>
      </c>
      <c r="AD54" s="131">
        <v>97781386</v>
      </c>
      <c r="AE54" s="131">
        <v>2214559</v>
      </c>
      <c r="AF54" s="131">
        <v>486423392</v>
      </c>
      <c r="AG54" s="237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7"/>
      <c r="B55" s="7"/>
      <c r="C55" s="7"/>
      <c r="D55" s="7"/>
      <c r="E55" s="7"/>
      <c r="F55" s="7"/>
      <c r="G55" s="7"/>
      <c r="H55" s="7"/>
      <c r="I55" s="7"/>
      <c r="V55" s="5" t="s">
        <v>267</v>
      </c>
      <c r="W55" s="131">
        <v>97809</v>
      </c>
      <c r="X55" s="131">
        <v>15963699</v>
      </c>
      <c r="Y55" s="5">
        <v>190</v>
      </c>
      <c r="Z55" s="131">
        <v>1583953290</v>
      </c>
      <c r="AA55" s="131">
        <v>349776746</v>
      </c>
      <c r="AB55" s="131">
        <v>123191330</v>
      </c>
      <c r="AC55" s="131">
        <v>22728444</v>
      </c>
      <c r="AD55" s="131">
        <v>482729805</v>
      </c>
      <c r="AE55" s="131">
        <v>34494676</v>
      </c>
      <c r="AF55" s="131">
        <v>2596874291</v>
      </c>
      <c r="AG55" s="240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7"/>
      <c r="B56" s="7"/>
      <c r="C56" s="7"/>
      <c r="D56" s="7"/>
      <c r="E56" s="7"/>
      <c r="F56" s="7"/>
      <c r="G56" s="7"/>
      <c r="H56" s="7"/>
      <c r="I56" s="7"/>
      <c r="V56" s="5" t="s">
        <v>268</v>
      </c>
      <c r="W56" s="131">
        <v>61656</v>
      </c>
      <c r="X56" s="131">
        <v>8178706</v>
      </c>
      <c r="Y56" s="5">
        <v>261</v>
      </c>
      <c r="Z56" s="131">
        <v>1135038941</v>
      </c>
      <c r="AA56" s="131">
        <v>241598273</v>
      </c>
      <c r="AB56" s="131">
        <v>63509736</v>
      </c>
      <c r="AC56" s="131">
        <v>13917755</v>
      </c>
      <c r="AD56" s="131">
        <v>295162090</v>
      </c>
      <c r="AE56" s="131">
        <v>34670143</v>
      </c>
      <c r="AF56" s="131">
        <v>1783896938</v>
      </c>
      <c r="AG56" s="237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7"/>
      <c r="B57" s="7"/>
      <c r="C57" s="7"/>
      <c r="D57" s="7"/>
      <c r="E57" s="7"/>
      <c r="F57" s="7"/>
      <c r="G57" s="7"/>
      <c r="H57" s="7"/>
      <c r="I57" s="7"/>
      <c r="V57" s="5" t="s">
        <v>269</v>
      </c>
      <c r="W57" s="131">
        <v>27666</v>
      </c>
      <c r="X57" s="131">
        <v>3361294</v>
      </c>
      <c r="Y57" s="5">
        <v>338</v>
      </c>
      <c r="Z57" s="131">
        <v>635462499</v>
      </c>
      <c r="AA57" s="131">
        <v>126446130</v>
      </c>
      <c r="AB57" s="131">
        <v>26318437</v>
      </c>
      <c r="AC57" s="131">
        <v>5835533</v>
      </c>
      <c r="AD57" s="131">
        <v>131872106</v>
      </c>
      <c r="AE57" s="131">
        <v>16624373</v>
      </c>
      <c r="AF57" s="131">
        <v>942559078</v>
      </c>
      <c r="AG57" s="240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7"/>
      <c r="B58" s="7"/>
      <c r="C58" s="7"/>
      <c r="D58" s="7"/>
      <c r="E58" s="7"/>
      <c r="F58" s="7"/>
      <c r="G58" s="7"/>
      <c r="H58" s="7"/>
      <c r="I58" s="7"/>
      <c r="V58" s="5" t="s">
        <v>270</v>
      </c>
      <c r="W58" s="131">
        <v>13787</v>
      </c>
      <c r="X58" s="131">
        <v>1578087</v>
      </c>
      <c r="Y58" s="5">
        <v>415</v>
      </c>
      <c r="Z58" s="131">
        <v>382255989</v>
      </c>
      <c r="AA58" s="131">
        <v>74341761</v>
      </c>
      <c r="AB58" s="131">
        <v>12486922</v>
      </c>
      <c r="AC58" s="131">
        <v>2769697</v>
      </c>
      <c r="AD58" s="131">
        <v>65705835</v>
      </c>
      <c r="AE58" s="131">
        <v>8706537</v>
      </c>
      <c r="AF58" s="131">
        <v>546266742</v>
      </c>
      <c r="AG58" s="237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7"/>
      <c r="B59" s="7"/>
      <c r="C59" s="7"/>
      <c r="D59" s="7"/>
      <c r="E59" s="7"/>
      <c r="F59" s="7"/>
      <c r="G59" s="7"/>
      <c r="H59" s="7"/>
      <c r="I59" s="7"/>
      <c r="V59" s="5" t="s">
        <v>271</v>
      </c>
      <c r="W59" s="131">
        <v>24436</v>
      </c>
      <c r="X59" s="131">
        <v>2381791</v>
      </c>
      <c r="Y59" s="5">
        <v>673</v>
      </c>
      <c r="Z59" s="131">
        <v>889411987</v>
      </c>
      <c r="AA59" s="131">
        <v>178556613</v>
      </c>
      <c r="AB59" s="131">
        <v>19539039</v>
      </c>
      <c r="AC59" s="131">
        <v>3598598</v>
      </c>
      <c r="AD59" s="131">
        <v>107615125</v>
      </c>
      <c r="AE59" s="131">
        <v>12476668</v>
      </c>
      <c r="AF59" s="131">
        <v>1211198029</v>
      </c>
      <c r="AG59" s="243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7"/>
      <c r="B60" s="7"/>
      <c r="C60" s="7"/>
      <c r="D60" s="7"/>
      <c r="E60" s="7"/>
      <c r="F60" s="7"/>
      <c r="G60" s="7"/>
      <c r="H60" s="7"/>
      <c r="I60" s="7"/>
      <c r="AG60" s="245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7"/>
      <c r="B61" s="7"/>
      <c r="C61" s="7"/>
      <c r="D61" s="7"/>
      <c r="E61" s="7"/>
      <c r="F61" s="7"/>
      <c r="G61" s="7"/>
      <c r="H61" s="7"/>
      <c r="I61" s="7"/>
    </row>
    <row r="62" spans="1:38" x14ac:dyDescent="0.2">
      <c r="A62" s="7"/>
      <c r="B62" s="7"/>
      <c r="C62" s="7"/>
      <c r="D62" s="7"/>
      <c r="E62" s="7"/>
      <c r="F62" s="7"/>
      <c r="G62" s="7"/>
      <c r="H62" s="7"/>
      <c r="I62" s="7"/>
    </row>
    <row r="63" spans="1:38" x14ac:dyDescent="0.2">
      <c r="A63" s="7"/>
      <c r="B63" s="7"/>
      <c r="C63" s="7"/>
      <c r="D63" s="7"/>
      <c r="E63" s="7"/>
      <c r="F63" s="7"/>
      <c r="G63" s="7"/>
      <c r="H63" s="7"/>
      <c r="I63" s="7"/>
    </row>
    <row r="64" spans="1:38" x14ac:dyDescent="0.2">
      <c r="A64" s="7"/>
      <c r="B64" s="7"/>
      <c r="C64" s="7"/>
      <c r="D64" s="7"/>
      <c r="E64" s="7"/>
      <c r="F64" s="7"/>
      <c r="G64" s="7"/>
      <c r="H64" s="7"/>
      <c r="I64" s="7"/>
    </row>
    <row r="65" spans="1:9" x14ac:dyDescent="0.2">
      <c r="A65" s="7"/>
      <c r="B65" s="7"/>
      <c r="C65" s="7"/>
      <c r="D65" s="7"/>
      <c r="E65" s="7"/>
      <c r="F65" s="7"/>
      <c r="G65" s="7"/>
      <c r="H65" s="7"/>
      <c r="I65" s="7"/>
    </row>
    <row r="66" spans="1:9" x14ac:dyDescent="0.2">
      <c r="A66" s="7"/>
      <c r="B66" s="7"/>
      <c r="C66" s="7"/>
      <c r="D66" s="7"/>
      <c r="E66" s="7"/>
      <c r="F66" s="7"/>
      <c r="G66" s="7"/>
      <c r="H66" s="7"/>
      <c r="I66" s="7"/>
    </row>
    <row r="67" spans="1:9" x14ac:dyDescent="0.2">
      <c r="A67" s="7"/>
      <c r="B67" s="7"/>
      <c r="C67" s="7"/>
      <c r="D67" s="7"/>
      <c r="E67" s="7"/>
      <c r="F67" s="7"/>
      <c r="G67" s="7"/>
      <c r="H67" s="7"/>
      <c r="I67" s="7"/>
    </row>
    <row r="68" spans="1:9" x14ac:dyDescent="0.2">
      <c r="A68" s="7"/>
      <c r="B68" s="7"/>
      <c r="C68" s="7"/>
      <c r="D68" s="7"/>
      <c r="E68" s="7"/>
      <c r="F68" s="7"/>
      <c r="G68" s="7"/>
      <c r="H68" s="7"/>
      <c r="I68" s="7"/>
    </row>
    <row r="69" spans="1:9" x14ac:dyDescent="0.2">
      <c r="A69" s="7"/>
      <c r="B69" s="7"/>
      <c r="C69" s="7"/>
      <c r="D69" s="7"/>
      <c r="E69" s="7"/>
      <c r="F69" s="7"/>
      <c r="G69" s="7"/>
      <c r="H69" s="7"/>
      <c r="I69" s="7"/>
    </row>
    <row r="70" spans="1:9" x14ac:dyDescent="0.2">
      <c r="A70" s="7"/>
      <c r="B70" s="7"/>
      <c r="C70" s="7"/>
      <c r="D70" s="7"/>
      <c r="E70" s="7"/>
      <c r="F70" s="7"/>
      <c r="G70" s="7"/>
      <c r="H70" s="7"/>
      <c r="I70" s="7"/>
    </row>
    <row r="71" spans="1:9" x14ac:dyDescent="0.2">
      <c r="A71" s="7"/>
      <c r="B71" s="7"/>
      <c r="C71" s="7"/>
      <c r="D71" s="7"/>
      <c r="E71" s="7"/>
      <c r="F71" s="7"/>
      <c r="G71" s="7"/>
      <c r="H71" s="7"/>
      <c r="I71" s="7"/>
    </row>
    <row r="72" spans="1:9" x14ac:dyDescent="0.2">
      <c r="A72" s="7"/>
      <c r="B72" s="7"/>
      <c r="C72" s="7"/>
      <c r="D72" s="7"/>
      <c r="E72" s="7"/>
      <c r="F72" s="7"/>
      <c r="G72" s="7"/>
      <c r="H72" s="7"/>
      <c r="I72" s="7"/>
    </row>
    <row r="73" spans="1:9" x14ac:dyDescent="0.2">
      <c r="A73" s="7"/>
      <c r="B73" s="7"/>
      <c r="C73" s="7"/>
      <c r="D73" s="7"/>
      <c r="E73" s="7"/>
      <c r="F73" s="7"/>
      <c r="G73" s="7"/>
      <c r="H73" s="7"/>
      <c r="I73" s="7"/>
    </row>
    <row r="74" spans="1:9" x14ac:dyDescent="0.2">
      <c r="A74" s="7"/>
    </row>
    <row r="75" spans="1:9" x14ac:dyDescent="0.2">
      <c r="A75" s="7"/>
    </row>
    <row r="76" spans="1:9" x14ac:dyDescent="0.2">
      <c r="A76" s="7"/>
    </row>
    <row r="77" spans="1:9" x14ac:dyDescent="0.2">
      <c r="A77" s="7"/>
    </row>
    <row r="78" spans="1:9" x14ac:dyDescent="0.2">
      <c r="A78" s="7"/>
    </row>
    <row r="79" spans="1:9" x14ac:dyDescent="0.2">
      <c r="A79" s="7"/>
    </row>
    <row r="80" spans="1:9" x14ac:dyDescent="0.2">
      <c r="A80" s="7"/>
    </row>
    <row r="81" spans="1:1" x14ac:dyDescent="0.2">
      <c r="A81" s="7"/>
    </row>
    <row r="82" spans="1:1" x14ac:dyDescent="0.2">
      <c r="A82" s="7"/>
    </row>
    <row r="83" spans="1:1" x14ac:dyDescent="0.2">
      <c r="A83" s="7"/>
    </row>
    <row r="84" spans="1:1" x14ac:dyDescent="0.2">
      <c r="A84" s="7"/>
    </row>
    <row r="85" spans="1:1" x14ac:dyDescent="0.2">
      <c r="A85" s="7"/>
    </row>
    <row r="86" spans="1:1" x14ac:dyDescent="0.2">
      <c r="A86" s="7"/>
    </row>
    <row r="87" spans="1:1" x14ac:dyDescent="0.2">
      <c r="A87" s="7"/>
    </row>
    <row r="88" spans="1:1" x14ac:dyDescent="0.2">
      <c r="A88" s="7"/>
    </row>
    <row r="89" spans="1:1" x14ac:dyDescent="0.2">
      <c r="A89" s="7"/>
    </row>
    <row r="103" ht="14.25" customHeight="1" x14ac:dyDescent="0.2"/>
  </sheetData>
  <mergeCells count="1">
    <mergeCell ref="S3:W3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R166"/>
  <sheetViews>
    <sheetView topLeftCell="C1" zoomScale="60" zoomScaleNormal="60" workbookViewId="0">
      <selection activeCell="H104" sqref="H104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6" width="22.140625" style="5" customWidth="1"/>
    <col min="7" max="7" width="26.28515625" style="5" customWidth="1"/>
    <col min="8" max="8" width="10.7109375" style="5" customWidth="1"/>
    <col min="9" max="9" width="12.28515625" style="5" customWidth="1"/>
    <col min="10" max="10" width="11.28515625" style="5" customWidth="1"/>
    <col min="11" max="11" width="12.28515625" style="5" customWidth="1"/>
    <col min="12" max="12" width="10.7109375" style="5" customWidth="1"/>
    <col min="13" max="13" width="13.140625" style="5" customWidth="1"/>
    <col min="14" max="14" width="12" style="5" customWidth="1"/>
    <col min="15" max="15" width="12.140625" style="5" customWidth="1"/>
    <col min="16" max="16" width="11.7109375" style="5" customWidth="1"/>
    <col min="17" max="17" width="12.140625" style="5" customWidth="1"/>
    <col min="18" max="18" width="12.28515625" style="5" customWidth="1"/>
    <col min="19" max="19" width="12" style="5" customWidth="1"/>
    <col min="20" max="20" width="10.7109375" style="5" customWidth="1"/>
    <col min="21" max="21" width="12.5703125" style="5" bestFit="1" customWidth="1"/>
    <col min="22" max="22" width="11.7109375" style="5" customWidth="1"/>
    <col min="23" max="27" width="10.7109375" style="5" customWidth="1"/>
    <col min="28" max="28" width="12.42578125" style="5" customWidth="1"/>
    <col min="29" max="29" width="12.7109375" style="5" customWidth="1"/>
    <col min="30" max="30" width="12.5703125" style="5" customWidth="1"/>
    <col min="31" max="31" width="9.7109375" style="5" customWidth="1"/>
    <col min="32" max="32" width="12.28515625" style="5" customWidth="1"/>
    <col min="33" max="33" width="10.7109375" style="5" customWidth="1"/>
    <col min="34" max="36" width="9.140625" style="5"/>
    <col min="37" max="37" width="24.28515625" style="5" customWidth="1"/>
    <col min="38" max="38" width="23.42578125" style="5" bestFit="1" customWidth="1"/>
    <col min="39" max="39" width="57.140625" style="5" bestFit="1" customWidth="1"/>
    <col min="40" max="41" width="9.140625" style="5"/>
    <col min="42" max="42" width="13" style="5" bestFit="1" customWidth="1"/>
    <col min="43" max="16384" width="9.140625" style="5"/>
  </cols>
  <sheetData>
    <row r="2" spans="3:43" x14ac:dyDescent="0.2">
      <c r="H2" s="8" t="s">
        <v>22</v>
      </c>
    </row>
    <row r="3" spans="3:43" ht="45.75" thickBot="1" x14ac:dyDescent="0.25">
      <c r="C3" s="17" t="s">
        <v>24</v>
      </c>
      <c r="D3" s="18" t="s">
        <v>35</v>
      </c>
      <c r="E3" s="17" t="s">
        <v>26</v>
      </c>
      <c r="F3" s="17" t="s">
        <v>609</v>
      </c>
      <c r="G3" s="17" t="s">
        <v>27</v>
      </c>
      <c r="H3" s="20" t="s">
        <v>234</v>
      </c>
      <c r="I3" s="20" t="s">
        <v>235</v>
      </c>
      <c r="J3" s="20" t="s">
        <v>236</v>
      </c>
      <c r="K3" s="20" t="s">
        <v>237</v>
      </c>
      <c r="L3" s="20" t="s">
        <v>238</v>
      </c>
      <c r="M3" s="20" t="s">
        <v>239</v>
      </c>
      <c r="N3" s="20" t="s">
        <v>240</v>
      </c>
      <c r="O3" s="20" t="s">
        <v>241</v>
      </c>
      <c r="P3" s="20" t="s">
        <v>242</v>
      </c>
      <c r="Q3" s="20" t="s">
        <v>243</v>
      </c>
      <c r="R3" s="20" t="s">
        <v>244</v>
      </c>
      <c r="S3" s="20" t="s">
        <v>245</v>
      </c>
      <c r="T3" s="21" t="s">
        <v>29</v>
      </c>
      <c r="U3" s="21" t="s">
        <v>82</v>
      </c>
      <c r="V3" s="20" t="s">
        <v>260</v>
      </c>
      <c r="W3" s="20" t="s">
        <v>94</v>
      </c>
      <c r="X3" s="20" t="s">
        <v>95</v>
      </c>
      <c r="Y3" s="20" t="s">
        <v>96</v>
      </c>
      <c r="Z3" s="20" t="s">
        <v>67</v>
      </c>
      <c r="AA3" s="20" t="s">
        <v>68</v>
      </c>
      <c r="AB3" s="20" t="s">
        <v>329</v>
      </c>
      <c r="AC3" s="20" t="s">
        <v>330</v>
      </c>
      <c r="AD3" s="20" t="s">
        <v>331</v>
      </c>
      <c r="AE3" s="20" t="s">
        <v>262</v>
      </c>
      <c r="AF3" s="20" t="s">
        <v>83</v>
      </c>
      <c r="AG3" s="20" t="s">
        <v>316</v>
      </c>
      <c r="AH3" s="20" t="s">
        <v>84</v>
      </c>
      <c r="AI3" s="20" t="s">
        <v>607</v>
      </c>
    </row>
    <row r="4" spans="3:43" ht="38.25" x14ac:dyDescent="0.2">
      <c r="C4" s="19" t="s">
        <v>327</v>
      </c>
      <c r="D4" s="19" t="s">
        <v>36</v>
      </c>
      <c r="E4" s="19" t="s">
        <v>86</v>
      </c>
      <c r="F4" s="19" t="s">
        <v>610</v>
      </c>
      <c r="G4" s="19" t="s">
        <v>87</v>
      </c>
      <c r="H4" s="537" t="s">
        <v>304</v>
      </c>
      <c r="I4" s="538"/>
      <c r="J4" s="538"/>
      <c r="K4" s="539"/>
      <c r="L4" s="537" t="s">
        <v>89</v>
      </c>
      <c r="M4" s="538"/>
      <c r="N4" s="538"/>
      <c r="O4" s="539"/>
      <c r="P4" s="537" t="s">
        <v>90</v>
      </c>
      <c r="Q4" s="538"/>
      <c r="R4" s="538"/>
      <c r="S4" s="539"/>
      <c r="T4" s="537" t="s">
        <v>91</v>
      </c>
      <c r="U4" s="539"/>
      <c r="V4" s="540" t="s">
        <v>92</v>
      </c>
      <c r="W4" s="541"/>
      <c r="X4" s="541"/>
      <c r="Y4" s="542"/>
      <c r="Z4" s="63"/>
      <c r="AA4" s="63"/>
      <c r="AB4" s="71" t="s">
        <v>223</v>
      </c>
      <c r="AC4" s="74" t="s">
        <v>223</v>
      </c>
      <c r="AD4" s="74" t="s">
        <v>223</v>
      </c>
      <c r="AE4" s="74" t="s">
        <v>261</v>
      </c>
      <c r="AF4" s="63" t="s">
        <v>72</v>
      </c>
      <c r="AG4" s="63" t="s">
        <v>93</v>
      </c>
      <c r="AH4" s="63"/>
      <c r="AI4" s="63"/>
      <c r="AK4" s="13" t="s">
        <v>23</v>
      </c>
      <c r="AL4" s="14"/>
      <c r="AM4" s="14"/>
      <c r="AN4" s="14"/>
      <c r="AO4" s="14"/>
      <c r="AP4" s="14"/>
      <c r="AQ4" s="14"/>
    </row>
    <row r="5" spans="3:43" ht="15.75" thickBot="1" x14ac:dyDescent="0.25">
      <c r="C5" s="17" t="s">
        <v>326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K5" s="15" t="s">
        <v>30</v>
      </c>
      <c r="AL5" s="15" t="s">
        <v>24</v>
      </c>
      <c r="AM5" s="15" t="s">
        <v>25</v>
      </c>
      <c r="AN5" s="15" t="s">
        <v>31</v>
      </c>
      <c r="AO5" s="15" t="s">
        <v>32</v>
      </c>
      <c r="AP5" s="15" t="s">
        <v>33</v>
      </c>
      <c r="AQ5" s="15" t="s">
        <v>73</v>
      </c>
    </row>
    <row r="6" spans="3:43" ht="33.75" x14ac:dyDescent="0.2">
      <c r="C6" s="40" t="s">
        <v>318</v>
      </c>
      <c r="D6" s="41"/>
      <c r="E6" s="41"/>
      <c r="F6" s="41"/>
      <c r="G6" s="42"/>
      <c r="H6" s="531" t="s">
        <v>37</v>
      </c>
      <c r="I6" s="532"/>
      <c r="J6" s="532"/>
      <c r="K6" s="533"/>
      <c r="L6" s="532" t="s">
        <v>37</v>
      </c>
      <c r="M6" s="532"/>
      <c r="N6" s="532"/>
      <c r="O6" s="533"/>
      <c r="P6" s="531" t="s">
        <v>37</v>
      </c>
      <c r="Q6" s="532"/>
      <c r="R6" s="532"/>
      <c r="S6" s="533"/>
      <c r="T6" s="531" t="s">
        <v>74</v>
      </c>
      <c r="U6" s="533"/>
      <c r="V6" s="531" t="s">
        <v>552</v>
      </c>
      <c r="W6" s="532"/>
      <c r="X6" s="532"/>
      <c r="Y6" s="533"/>
      <c r="Z6" s="64" t="s">
        <v>564</v>
      </c>
      <c r="AA6" s="64" t="s">
        <v>99</v>
      </c>
      <c r="AB6" s="72" t="s">
        <v>37</v>
      </c>
      <c r="AC6" s="64" t="s">
        <v>37</v>
      </c>
      <c r="AD6" s="64" t="s">
        <v>37</v>
      </c>
      <c r="AE6" s="64"/>
      <c r="AF6" s="73" t="s">
        <v>332</v>
      </c>
      <c r="AG6" s="64" t="s">
        <v>37</v>
      </c>
      <c r="AH6" s="64" t="s">
        <v>100</v>
      </c>
      <c r="AI6" s="64" t="s">
        <v>608</v>
      </c>
      <c r="AK6" s="224" t="s">
        <v>75</v>
      </c>
      <c r="AL6" s="224" t="s">
        <v>76</v>
      </c>
      <c r="AM6" s="224" t="s">
        <v>36</v>
      </c>
      <c r="AN6" s="224" t="s">
        <v>77</v>
      </c>
      <c r="AO6" s="224" t="s">
        <v>78</v>
      </c>
      <c r="AP6" s="224" t="s">
        <v>79</v>
      </c>
      <c r="AQ6" s="224" t="s">
        <v>80</v>
      </c>
    </row>
    <row r="7" spans="3:43" ht="15" x14ac:dyDescent="0.25">
      <c r="C7" s="32" t="str">
        <f>"R-SH_Apt"&amp;"_"&amp;RIGHT(E7,3)&amp;"_N1"</f>
        <v>R-SH_Apt_KER_N1</v>
      </c>
      <c r="D7" s="22" t="s">
        <v>102</v>
      </c>
      <c r="E7" s="92" t="s">
        <v>305</v>
      </c>
      <c r="F7" s="92"/>
      <c r="G7" s="59" t="s">
        <v>139</v>
      </c>
      <c r="H7" s="262">
        <v>1</v>
      </c>
      <c r="I7" s="263">
        <v>1</v>
      </c>
      <c r="J7" s="263">
        <v>1</v>
      </c>
      <c r="K7" s="264">
        <v>1</v>
      </c>
      <c r="L7" s="49"/>
      <c r="M7" s="50"/>
      <c r="N7" s="50"/>
      <c r="O7" s="51"/>
      <c r="P7" s="262"/>
      <c r="Q7" s="263"/>
      <c r="R7" s="263"/>
      <c r="S7" s="264"/>
      <c r="T7" s="55">
        <v>20</v>
      </c>
      <c r="U7" s="92"/>
      <c r="V7" s="395">
        <f>V9*1.3</f>
        <v>3.6270000000000002</v>
      </c>
      <c r="W7" s="395">
        <f t="shared" ref="W7:Y7" si="0">W9*1.3</f>
        <v>3.6270000000000002</v>
      </c>
      <c r="X7" s="395">
        <f t="shared" si="0"/>
        <v>3.6270000000000002</v>
      </c>
      <c r="Y7" s="395">
        <f t="shared" si="0"/>
        <v>3.6270000000000002</v>
      </c>
      <c r="Z7" s="395">
        <v>0.12</v>
      </c>
      <c r="AA7" s="91"/>
      <c r="AB7" s="276"/>
      <c r="AC7" s="276"/>
      <c r="AD7" s="276"/>
      <c r="AE7" s="276"/>
      <c r="AF7" s="88">
        <f>31.536*(AI7/1000)</f>
        <v>0.47304000000000002</v>
      </c>
      <c r="AG7" s="91"/>
      <c r="AH7" s="91">
        <v>2019</v>
      </c>
      <c r="AI7" s="91">
        <v>15</v>
      </c>
      <c r="AK7" s="109" t="s">
        <v>34</v>
      </c>
      <c r="AL7" s="108" t="str">
        <f t="shared" ref="AL7:AM14" si="1">C7</f>
        <v>R-SH_Apt_KER_N1</v>
      </c>
      <c r="AM7" s="108" t="str">
        <f t="shared" si="1"/>
        <v>Residential Kerosene Heating Oil - New 1 SH</v>
      </c>
      <c r="AN7" s="109" t="s">
        <v>16</v>
      </c>
      <c r="AO7" s="109" t="s">
        <v>189</v>
      </c>
      <c r="AP7" s="109"/>
      <c r="AQ7" s="109" t="s">
        <v>81</v>
      </c>
    </row>
    <row r="8" spans="3:43" ht="15" x14ac:dyDescent="0.25">
      <c r="C8" s="26" t="str">
        <f>"R-SW_Apt"&amp;"_"&amp;RIGHT(E8,3)&amp;"_N1"</f>
        <v>R-SW_Apt_KER_N1</v>
      </c>
      <c r="D8" s="25" t="s">
        <v>103</v>
      </c>
      <c r="E8" s="27" t="s">
        <v>305</v>
      </c>
      <c r="F8" s="27"/>
      <c r="G8" s="60" t="s">
        <v>298</v>
      </c>
      <c r="H8" s="259">
        <v>1</v>
      </c>
      <c r="I8" s="260">
        <v>1</v>
      </c>
      <c r="J8" s="260">
        <v>1</v>
      </c>
      <c r="K8" s="261">
        <v>1</v>
      </c>
      <c r="L8" s="47"/>
      <c r="M8" s="35"/>
      <c r="N8" s="35"/>
      <c r="O8" s="48"/>
      <c r="P8" s="259">
        <f>H8*0.7</f>
        <v>0.7</v>
      </c>
      <c r="Q8" s="260">
        <f t="shared" ref="Q8" si="2">I8*0.7</f>
        <v>0.7</v>
      </c>
      <c r="R8" s="260">
        <f t="shared" ref="R8" si="3">J8*0.7</f>
        <v>0.7</v>
      </c>
      <c r="S8" s="261">
        <f t="shared" ref="S8" si="4">K8*0.7</f>
        <v>0.7</v>
      </c>
      <c r="T8" s="56">
        <v>20</v>
      </c>
      <c r="U8" s="27"/>
      <c r="V8" s="396">
        <f>V10*1.3</f>
        <v>3.6576075949367097</v>
      </c>
      <c r="W8" s="396">
        <f t="shared" ref="W8:Y8" si="5">W10*1.3</f>
        <v>3.6576075949367097</v>
      </c>
      <c r="X8" s="396">
        <f t="shared" si="5"/>
        <v>3.6576075949367097</v>
      </c>
      <c r="Y8" s="396">
        <f t="shared" si="5"/>
        <v>3.6576075949367097</v>
      </c>
      <c r="Z8" s="396">
        <v>0.12</v>
      </c>
      <c r="AA8" s="69"/>
      <c r="AB8" s="76"/>
      <c r="AC8" s="76"/>
      <c r="AD8" s="76"/>
      <c r="AE8" s="76"/>
      <c r="AF8" s="66">
        <f t="shared" ref="AF8:AF14" si="6">31.536*(AI8/1000)</f>
        <v>0.56764799999999993</v>
      </c>
      <c r="AG8" s="69"/>
      <c r="AH8" s="69">
        <v>2019</v>
      </c>
      <c r="AI8" s="69">
        <v>18</v>
      </c>
      <c r="AK8" s="109"/>
      <c r="AL8" s="108" t="str">
        <f t="shared" si="1"/>
        <v>R-SW_Apt_KER_N1</v>
      </c>
      <c r="AM8" s="108" t="str">
        <f t="shared" si="1"/>
        <v>Residential Kerosene Heating Oil - New 2 SH + WH</v>
      </c>
      <c r="AN8" s="109" t="s">
        <v>16</v>
      </c>
      <c r="AO8" s="109" t="s">
        <v>189</v>
      </c>
      <c r="AP8" s="109"/>
      <c r="AQ8" s="109" t="s">
        <v>81</v>
      </c>
    </row>
    <row r="9" spans="3:43" ht="15" x14ac:dyDescent="0.25">
      <c r="C9" s="32" t="str">
        <f>"R-SH_Apt"&amp;"_"&amp;RIGHT(E9,3)&amp;"_N1"</f>
        <v>R-SH_Apt_GAS_N1</v>
      </c>
      <c r="D9" s="43" t="s">
        <v>101</v>
      </c>
      <c r="E9" s="33" t="s">
        <v>310</v>
      </c>
      <c r="F9" s="33"/>
      <c r="G9" s="61" t="s">
        <v>139</v>
      </c>
      <c r="H9" s="256">
        <v>1</v>
      </c>
      <c r="I9" s="257">
        <v>1</v>
      </c>
      <c r="J9" s="257">
        <v>1</v>
      </c>
      <c r="K9" s="258">
        <v>1</v>
      </c>
      <c r="L9" s="45"/>
      <c r="M9" s="34"/>
      <c r="N9" s="34"/>
      <c r="O9" s="46"/>
      <c r="P9" s="256"/>
      <c r="Q9" s="257"/>
      <c r="R9" s="257"/>
      <c r="S9" s="258"/>
      <c r="T9" s="57">
        <v>22</v>
      </c>
      <c r="U9" s="33"/>
      <c r="V9" s="395">
        <f>2.79</f>
        <v>2.79</v>
      </c>
      <c r="W9" s="395">
        <f t="shared" ref="W9:Y9" si="7">2.79</f>
        <v>2.79</v>
      </c>
      <c r="X9" s="395">
        <f t="shared" si="7"/>
        <v>2.79</v>
      </c>
      <c r="Y9" s="395">
        <f t="shared" si="7"/>
        <v>2.79</v>
      </c>
      <c r="Z9" s="395">
        <v>0.12</v>
      </c>
      <c r="AA9" s="68"/>
      <c r="AB9" s="75"/>
      <c r="AC9" s="75"/>
      <c r="AD9" s="75"/>
      <c r="AE9" s="75"/>
      <c r="AF9" s="65">
        <f t="shared" si="6"/>
        <v>0.47304000000000002</v>
      </c>
      <c r="AG9" s="68"/>
      <c r="AH9" s="68">
        <v>2019</v>
      </c>
      <c r="AI9" s="68">
        <v>15</v>
      </c>
      <c r="AK9" s="109"/>
      <c r="AL9" s="108" t="str">
        <f t="shared" si="1"/>
        <v>R-SH_Apt_GAS_N1</v>
      </c>
      <c r="AM9" s="108" t="str">
        <f t="shared" si="1"/>
        <v>Residential Natural Gas Heating - New 1 SH</v>
      </c>
      <c r="AN9" s="109" t="s">
        <v>16</v>
      </c>
      <c r="AO9" s="109" t="s">
        <v>189</v>
      </c>
      <c r="AP9" s="109"/>
      <c r="AQ9" s="109" t="s">
        <v>81</v>
      </c>
    </row>
    <row r="10" spans="3:43" ht="15" x14ac:dyDescent="0.25">
      <c r="C10" s="26" t="str">
        <f>"R-SW_Apt"&amp;"_"&amp;RIGHT(E10,3)&amp;"_N1"</f>
        <v>R-SW_Apt_GAS_N1</v>
      </c>
      <c r="D10" s="25" t="s">
        <v>105</v>
      </c>
      <c r="E10" s="27" t="s">
        <v>310</v>
      </c>
      <c r="F10" s="27"/>
      <c r="G10" s="60" t="s">
        <v>298</v>
      </c>
      <c r="H10" s="259">
        <v>1</v>
      </c>
      <c r="I10" s="260">
        <v>1</v>
      </c>
      <c r="J10" s="260">
        <v>1</v>
      </c>
      <c r="K10" s="261">
        <v>1</v>
      </c>
      <c r="L10" s="47"/>
      <c r="M10" s="35"/>
      <c r="N10" s="35"/>
      <c r="O10" s="48"/>
      <c r="P10" s="259">
        <f>H10*0.7</f>
        <v>0.7</v>
      </c>
      <c r="Q10" s="260">
        <f t="shared" ref="Q10" si="8">I10*0.7</f>
        <v>0.7</v>
      </c>
      <c r="R10" s="260">
        <f t="shared" ref="R10" si="9">J10*0.7</f>
        <v>0.7</v>
      </c>
      <c r="S10" s="261">
        <f t="shared" ref="S10" si="10">K10*0.7</f>
        <v>0.7</v>
      </c>
      <c r="T10" s="56">
        <v>22</v>
      </c>
      <c r="U10" s="27"/>
      <c r="V10" s="396">
        <f>V9*($U$150/$U$149)</f>
        <v>2.8135443037974688</v>
      </c>
      <c r="W10" s="396">
        <f>W9*($U$150/$U$149)</f>
        <v>2.8135443037974688</v>
      </c>
      <c r="X10" s="396">
        <f>X9*($U$150/$U$149)</f>
        <v>2.8135443037974688</v>
      </c>
      <c r="Y10" s="396">
        <f>Y9*($U$150/$U$149)</f>
        <v>2.8135443037974688</v>
      </c>
      <c r="Z10" s="396">
        <v>0.12</v>
      </c>
      <c r="AA10" s="69"/>
      <c r="AB10" s="76"/>
      <c r="AC10" s="76"/>
      <c r="AD10" s="76"/>
      <c r="AE10" s="76"/>
      <c r="AF10" s="66">
        <f t="shared" si="6"/>
        <v>0.56764799999999993</v>
      </c>
      <c r="AG10" s="69"/>
      <c r="AH10" s="69">
        <v>2019</v>
      </c>
      <c r="AI10" s="69">
        <v>18</v>
      </c>
      <c r="AK10" s="109"/>
      <c r="AL10" s="108" t="str">
        <f t="shared" si="1"/>
        <v>R-SW_Apt_GAS_N1</v>
      </c>
      <c r="AM10" s="108" t="str">
        <f t="shared" si="1"/>
        <v>Residential Natural Gas Heating - New 2 SH + WH</v>
      </c>
      <c r="AN10" s="109" t="s">
        <v>16</v>
      </c>
      <c r="AO10" s="109" t="s">
        <v>189</v>
      </c>
      <c r="AP10" s="109"/>
      <c r="AQ10" s="109" t="s">
        <v>81</v>
      </c>
    </row>
    <row r="11" spans="3:43" ht="15" x14ac:dyDescent="0.25">
      <c r="C11" s="32" t="str">
        <f>"R-SH_Apt"&amp;"_"&amp;RIGHT(E11,3)&amp;"_N1"</f>
        <v>R-SH_Apt_LPG_N1</v>
      </c>
      <c r="D11" s="43" t="s">
        <v>109</v>
      </c>
      <c r="E11" s="33" t="s">
        <v>306</v>
      </c>
      <c r="F11" s="33"/>
      <c r="G11" s="61" t="s">
        <v>139</v>
      </c>
      <c r="H11" s="256">
        <v>1</v>
      </c>
      <c r="I11" s="257">
        <v>1</v>
      </c>
      <c r="J11" s="257">
        <v>1</v>
      </c>
      <c r="K11" s="258">
        <v>1</v>
      </c>
      <c r="L11" s="45"/>
      <c r="M11" s="34"/>
      <c r="N11" s="34"/>
      <c r="O11" s="46"/>
      <c r="P11" s="256"/>
      <c r="Q11" s="257"/>
      <c r="R11" s="257"/>
      <c r="S11" s="258"/>
      <c r="T11" s="57">
        <v>22</v>
      </c>
      <c r="U11" s="33"/>
      <c r="V11" s="395">
        <f>SUM(2.79+0.25)</f>
        <v>3.04</v>
      </c>
      <c r="W11" s="395">
        <f t="shared" ref="W11:Y11" si="11">SUM(2.79+0.25)</f>
        <v>3.04</v>
      </c>
      <c r="X11" s="395">
        <f t="shared" si="11"/>
        <v>3.04</v>
      </c>
      <c r="Y11" s="395">
        <f t="shared" si="11"/>
        <v>3.04</v>
      </c>
      <c r="Z11" s="395">
        <f>0.12+0.15</f>
        <v>0.27</v>
      </c>
      <c r="AA11" s="68"/>
      <c r="AB11" s="75"/>
      <c r="AC11" s="75"/>
      <c r="AD11" s="75"/>
      <c r="AE11" s="75"/>
      <c r="AF11" s="65">
        <f t="shared" si="6"/>
        <v>0.47304000000000002</v>
      </c>
      <c r="AG11" s="68"/>
      <c r="AH11" s="68">
        <v>2019</v>
      </c>
      <c r="AI11" s="68">
        <v>15</v>
      </c>
      <c r="AK11" s="109"/>
      <c r="AL11" s="108" t="str">
        <f t="shared" si="1"/>
        <v>R-SH_Apt_LPG_N1</v>
      </c>
      <c r="AM11" s="108" t="str">
        <f t="shared" si="1"/>
        <v>Residential Liquid Petroleum Gas- New 1 SH</v>
      </c>
      <c r="AN11" s="109" t="s">
        <v>16</v>
      </c>
      <c r="AO11" s="109" t="s">
        <v>189</v>
      </c>
      <c r="AP11" s="109"/>
      <c r="AQ11" s="109" t="s">
        <v>81</v>
      </c>
    </row>
    <row r="12" spans="3:43" ht="15" x14ac:dyDescent="0.25">
      <c r="C12" s="26" t="str">
        <f>"R-SW_Apt"&amp;"_"&amp;RIGHT(E12,3)&amp;"_N1"</f>
        <v>R-SW_Apt_LPG_N1</v>
      </c>
      <c r="D12" s="25" t="s">
        <v>110</v>
      </c>
      <c r="E12" s="27" t="s">
        <v>306</v>
      </c>
      <c r="F12" s="27"/>
      <c r="G12" s="60" t="s">
        <v>298</v>
      </c>
      <c r="H12" s="259">
        <v>1</v>
      </c>
      <c r="I12" s="260">
        <v>1</v>
      </c>
      <c r="J12" s="260">
        <v>1</v>
      </c>
      <c r="K12" s="261">
        <v>1</v>
      </c>
      <c r="L12" s="47"/>
      <c r="M12" s="35"/>
      <c r="N12" s="35"/>
      <c r="O12" s="48"/>
      <c r="P12" s="259">
        <f>H12*0.7</f>
        <v>0.7</v>
      </c>
      <c r="Q12" s="260">
        <f t="shared" ref="Q12:S12" si="12">I12*0.7</f>
        <v>0.7</v>
      </c>
      <c r="R12" s="260">
        <f t="shared" si="12"/>
        <v>0.7</v>
      </c>
      <c r="S12" s="261">
        <f t="shared" si="12"/>
        <v>0.7</v>
      </c>
      <c r="T12" s="56">
        <v>22</v>
      </c>
      <c r="U12" s="27"/>
      <c r="V12" s="396">
        <f>V11*($U$150/$U$149)</f>
        <v>3.0656540084388189</v>
      </c>
      <c r="W12" s="396">
        <f>W11*($U$150/$U$149)</f>
        <v>3.0656540084388189</v>
      </c>
      <c r="X12" s="396">
        <f>X11*($U$150/$U$149)</f>
        <v>3.0656540084388189</v>
      </c>
      <c r="Y12" s="396">
        <f>Y11*($U$150/$U$149)</f>
        <v>3.0656540084388189</v>
      </c>
      <c r="Z12" s="396">
        <f>0.12+0.15</f>
        <v>0.27</v>
      </c>
      <c r="AA12" s="69"/>
      <c r="AB12" s="76"/>
      <c r="AC12" s="76"/>
      <c r="AD12" s="76"/>
      <c r="AE12" s="76"/>
      <c r="AF12" s="66">
        <f t="shared" si="6"/>
        <v>0.56764799999999993</v>
      </c>
      <c r="AG12" s="69"/>
      <c r="AH12" s="69">
        <v>2019</v>
      </c>
      <c r="AI12" s="69">
        <v>18</v>
      </c>
      <c r="AK12" s="109"/>
      <c r="AL12" s="108" t="str">
        <f t="shared" si="1"/>
        <v>R-SW_Apt_LPG_N1</v>
      </c>
      <c r="AM12" s="108" t="str">
        <f t="shared" si="1"/>
        <v>Residential Liquid Petroleum Gas- New 2 SH + WH</v>
      </c>
      <c r="AN12" s="109" t="s">
        <v>16</v>
      </c>
      <c r="AO12" s="109" t="s">
        <v>189</v>
      </c>
      <c r="AP12" s="109"/>
      <c r="AQ12" s="109" t="s">
        <v>81</v>
      </c>
    </row>
    <row r="13" spans="3:43" ht="15" x14ac:dyDescent="0.25">
      <c r="C13" s="32" t="str">
        <f>"R-SH_Apt"&amp;"_"&amp;RIGHT(E13,3)&amp;"_N1"</f>
        <v>R-SH_Apt_WOO_N1</v>
      </c>
      <c r="D13" s="43" t="s">
        <v>111</v>
      </c>
      <c r="E13" s="33" t="s">
        <v>309</v>
      </c>
      <c r="F13" s="33"/>
      <c r="G13" s="61" t="s">
        <v>139</v>
      </c>
      <c r="H13" s="256">
        <v>1</v>
      </c>
      <c r="I13" s="257">
        <v>1</v>
      </c>
      <c r="J13" s="257">
        <v>1</v>
      </c>
      <c r="K13" s="258">
        <v>1</v>
      </c>
      <c r="L13" s="45"/>
      <c r="M13" s="34"/>
      <c r="N13" s="34"/>
      <c r="O13" s="46"/>
      <c r="P13" s="256"/>
      <c r="Q13" s="257"/>
      <c r="R13" s="257"/>
      <c r="S13" s="258"/>
      <c r="T13" s="57">
        <v>20</v>
      </c>
      <c r="U13" s="33"/>
      <c r="V13" s="395">
        <v>6.25</v>
      </c>
      <c r="W13" s="395">
        <v>6.25</v>
      </c>
      <c r="X13" s="395">
        <f>W13*1.1</f>
        <v>6.8750000000000009</v>
      </c>
      <c r="Y13" s="395">
        <f>W13*1.1</f>
        <v>6.8750000000000009</v>
      </c>
      <c r="Z13" s="395">
        <v>0.25</v>
      </c>
      <c r="AA13" s="68"/>
      <c r="AB13" s="75"/>
      <c r="AC13" s="75"/>
      <c r="AD13" s="75"/>
      <c r="AE13" s="75"/>
      <c r="AF13" s="65">
        <f t="shared" si="6"/>
        <v>0.47304000000000002</v>
      </c>
      <c r="AG13" s="68"/>
      <c r="AH13" s="68">
        <v>2019</v>
      </c>
      <c r="AI13" s="68">
        <v>15</v>
      </c>
      <c r="AK13" s="109"/>
      <c r="AL13" s="108" t="str">
        <f t="shared" si="1"/>
        <v>R-SH_Apt_WOO_N1</v>
      </c>
      <c r="AM13" s="108" t="str">
        <f t="shared" si="1"/>
        <v>Residential Biomass Boiler - New 1 SH</v>
      </c>
      <c r="AN13" s="109" t="s">
        <v>16</v>
      </c>
      <c r="AO13" s="109" t="s">
        <v>189</v>
      </c>
      <c r="AP13" s="109"/>
      <c r="AQ13" s="109" t="s">
        <v>81</v>
      </c>
    </row>
    <row r="14" spans="3:43" ht="15.75" thickBot="1" x14ac:dyDescent="0.3">
      <c r="C14" s="29" t="str">
        <f>"R-SW_Apt"&amp;"_"&amp;RIGHT(E14,3)&amp;"_N1"</f>
        <v>R-SW_Apt_WOO_N1</v>
      </c>
      <c r="D14" s="25" t="s">
        <v>112</v>
      </c>
      <c r="E14" s="27" t="s">
        <v>309</v>
      </c>
      <c r="F14" s="27"/>
      <c r="G14" s="60" t="s">
        <v>298</v>
      </c>
      <c r="H14" s="259">
        <v>1</v>
      </c>
      <c r="I14" s="260">
        <v>1</v>
      </c>
      <c r="J14" s="260">
        <v>1</v>
      </c>
      <c r="K14" s="261">
        <v>1</v>
      </c>
      <c r="L14" s="47"/>
      <c r="M14" s="35"/>
      <c r="N14" s="35"/>
      <c r="O14" s="48"/>
      <c r="P14" s="259">
        <f t="shared" ref="P14:S14" si="13">H14*0.7</f>
        <v>0.7</v>
      </c>
      <c r="Q14" s="260">
        <f t="shared" si="13"/>
        <v>0.7</v>
      </c>
      <c r="R14" s="260">
        <f t="shared" si="13"/>
        <v>0.7</v>
      </c>
      <c r="S14" s="261">
        <f t="shared" si="13"/>
        <v>0.7</v>
      </c>
      <c r="T14" s="56">
        <v>20</v>
      </c>
      <c r="U14" s="27"/>
      <c r="V14" s="396">
        <f>(JRC_Data!BB11/1000)*($U$150/$U$151)</f>
        <v>6.6663223140495873</v>
      </c>
      <c r="W14" s="396">
        <f>(JRC_Data!BC11/1000)*($U$150/$U$151)</f>
        <v>6.6663223140495873</v>
      </c>
      <c r="X14" s="396">
        <f>(JRC_Data!BD11/1000)*($U$150/$U$151)</f>
        <v>7.4070247933884303</v>
      </c>
      <c r="Y14" s="396">
        <f>(JRC_Data!BE11/1000)*($U$150/$U$151)</f>
        <v>7.4070247933884303</v>
      </c>
      <c r="Z14" s="396">
        <v>0.25</v>
      </c>
      <c r="AA14" s="69"/>
      <c r="AB14" s="76"/>
      <c r="AC14" s="76"/>
      <c r="AD14" s="76"/>
      <c r="AE14" s="76"/>
      <c r="AF14" s="66">
        <f t="shared" si="6"/>
        <v>0.56764799999999993</v>
      </c>
      <c r="AG14" s="69"/>
      <c r="AH14" s="69">
        <v>2019</v>
      </c>
      <c r="AI14" s="69">
        <v>18</v>
      </c>
      <c r="AK14" s="112"/>
      <c r="AL14" s="111" t="str">
        <f t="shared" si="1"/>
        <v>R-SW_Apt_WOO_N1</v>
      </c>
      <c r="AM14" s="111" t="str">
        <f t="shared" si="1"/>
        <v>Residential Biomass Boiler - New 2 SH + WH</v>
      </c>
      <c r="AN14" s="112" t="s">
        <v>16</v>
      </c>
      <c r="AO14" s="112" t="s">
        <v>189</v>
      </c>
      <c r="AP14" s="112"/>
      <c r="AQ14" s="112" t="s">
        <v>81</v>
      </c>
    </row>
    <row r="15" spans="3:43" ht="15.75" thickBot="1" x14ac:dyDescent="0.3">
      <c r="C15" s="36" t="s">
        <v>319</v>
      </c>
      <c r="D15" s="36"/>
      <c r="E15" s="37"/>
      <c r="F15" s="37"/>
      <c r="G15" s="37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7"/>
      <c r="U15" s="37"/>
      <c r="V15" s="36"/>
      <c r="W15" s="36"/>
      <c r="X15" s="36"/>
      <c r="Y15" s="36"/>
      <c r="Z15" s="36"/>
      <c r="AA15" s="37"/>
      <c r="AB15" s="39"/>
      <c r="AC15" s="39"/>
      <c r="AD15" s="39"/>
      <c r="AE15" s="39"/>
      <c r="AF15" s="36"/>
      <c r="AG15" s="37"/>
      <c r="AH15" s="37"/>
      <c r="AI15" s="37"/>
      <c r="AK15" s="113"/>
      <c r="AL15" s="114" t="str">
        <f>C16</f>
        <v>R-SH_Apt_ELC_N1</v>
      </c>
      <c r="AM15" s="114" t="str">
        <f>D16</f>
        <v>Residential Electric Heater - New 1 SH</v>
      </c>
      <c r="AN15" s="113" t="s">
        <v>16</v>
      </c>
      <c r="AO15" s="113" t="s">
        <v>189</v>
      </c>
      <c r="AP15" s="113"/>
      <c r="AQ15" s="113" t="s">
        <v>81</v>
      </c>
    </row>
    <row r="16" spans="3:43" ht="15" x14ac:dyDescent="0.25">
      <c r="C16" s="99" t="str">
        <f>"R-SH_Apt"&amp;"_"&amp;RIGHT(E16,3)&amp;"_N1"</f>
        <v>R-SH_Apt_ELC_N1</v>
      </c>
      <c r="D16" s="83" t="s">
        <v>113</v>
      </c>
      <c r="E16" s="124" t="s">
        <v>162</v>
      </c>
      <c r="F16" s="124"/>
      <c r="G16" s="84" t="s">
        <v>139</v>
      </c>
      <c r="H16" s="265">
        <v>1</v>
      </c>
      <c r="I16" s="266">
        <v>1</v>
      </c>
      <c r="J16" s="266">
        <v>1</v>
      </c>
      <c r="K16" s="267">
        <v>1</v>
      </c>
      <c r="L16" s="77"/>
      <c r="M16" s="78"/>
      <c r="N16" s="78"/>
      <c r="O16" s="79"/>
      <c r="P16" s="77"/>
      <c r="Q16" s="78"/>
      <c r="R16" s="78"/>
      <c r="S16" s="79"/>
      <c r="T16" s="124">
        <v>20</v>
      </c>
      <c r="U16" s="81"/>
      <c r="V16" s="82">
        <f>(JRC_Data!BB48/1000)*($U$149/$U$151)</f>
        <v>3.9173553719008263</v>
      </c>
      <c r="W16" s="82">
        <f>(JRC_Data!BC48/1000)*($U$149/$U$151)</f>
        <v>3.9173553719008263</v>
      </c>
      <c r="X16" s="82">
        <f>(JRC_Data!BD48/1000)*($U$149/$U$151)</f>
        <v>3.9173553719008263</v>
      </c>
      <c r="Y16" s="82">
        <f>(JRC_Data!BE48/1000)*($U$149/$U$151)</f>
        <v>3.9173553719008263</v>
      </c>
      <c r="Z16" s="85">
        <f>JRC_Data!BL48/1000</f>
        <v>0.05</v>
      </c>
      <c r="AA16" s="86"/>
      <c r="AB16" s="87"/>
      <c r="AC16" s="87"/>
      <c r="AD16" s="87"/>
      <c r="AE16" s="87"/>
      <c r="AF16" s="85">
        <f>31.536*(AI16/1000)</f>
        <v>0.47304000000000002</v>
      </c>
      <c r="AG16" s="86"/>
      <c r="AH16" s="86">
        <v>2019</v>
      </c>
      <c r="AI16" s="86">
        <v>15</v>
      </c>
      <c r="AK16" s="107"/>
      <c r="AL16" s="106" t="str">
        <f t="shared" ref="AL16:AM21" si="14">C18</f>
        <v>R-SH_Apt_ELC_HPN1</v>
      </c>
      <c r="AM16" s="106" t="str">
        <f t="shared" si="14"/>
        <v>Residential Electric Heat Pump - Air to Air - SH</v>
      </c>
      <c r="AN16" s="107" t="s">
        <v>16</v>
      </c>
      <c r="AO16" s="107" t="s">
        <v>189</v>
      </c>
      <c r="AP16" s="107"/>
      <c r="AQ16" s="107" t="s">
        <v>81</v>
      </c>
    </row>
    <row r="17" spans="3:43" ht="15" x14ac:dyDescent="0.25">
      <c r="C17" s="36" t="s">
        <v>320</v>
      </c>
      <c r="D17" s="36"/>
      <c r="E17" s="37"/>
      <c r="F17" s="37"/>
      <c r="G17" s="37"/>
      <c r="H17" s="38"/>
      <c r="I17" s="36">
        <f>$H$18*I18</f>
        <v>1.0666666666666667</v>
      </c>
      <c r="J17" s="36">
        <f>$H$18*J18</f>
        <v>1.2333333333333334</v>
      </c>
      <c r="K17" s="36">
        <f>$H$18*K18</f>
        <v>1.3333333333333333</v>
      </c>
      <c r="L17" s="38"/>
      <c r="M17" s="38"/>
      <c r="N17" s="38"/>
      <c r="O17" s="38"/>
      <c r="P17" s="38"/>
      <c r="Q17" s="38"/>
      <c r="R17" s="38"/>
      <c r="S17" s="38"/>
      <c r="T17" s="37"/>
      <c r="U17" s="37"/>
      <c r="V17" s="36"/>
      <c r="W17" s="36"/>
      <c r="X17" s="36"/>
      <c r="Y17" s="36"/>
      <c r="Z17" s="36"/>
      <c r="AA17" s="37"/>
      <c r="AB17" s="39"/>
      <c r="AC17" s="39"/>
      <c r="AD17" s="39"/>
      <c r="AE17" s="39"/>
      <c r="AF17" s="36"/>
      <c r="AG17" s="37"/>
      <c r="AH17" s="37"/>
      <c r="AI17" s="37"/>
      <c r="AK17" s="109"/>
      <c r="AL17" s="108" t="str">
        <f t="shared" si="14"/>
        <v>R-HC_Apt_ELC_HPN1</v>
      </c>
      <c r="AM17" s="108" t="str">
        <f t="shared" si="14"/>
        <v>Residential Electric Heat Pump - Air to Air - SH + SC</v>
      </c>
      <c r="AN17" s="109" t="s">
        <v>16</v>
      </c>
      <c r="AO17" s="109" t="s">
        <v>189</v>
      </c>
      <c r="AP17" s="109"/>
      <c r="AQ17" s="109" t="s">
        <v>81</v>
      </c>
    </row>
    <row r="18" spans="3:43" ht="15" x14ac:dyDescent="0.25">
      <c r="C18" s="22" t="str">
        <f>"R-SH_Apt"&amp;"_"&amp;RIGHT(E18,3)&amp;"_HPN1"</f>
        <v>R-SH_Apt_ELC_HPN1</v>
      </c>
      <c r="D18" s="23" t="s">
        <v>115</v>
      </c>
      <c r="E18" s="92" t="s">
        <v>162</v>
      </c>
      <c r="F18" s="92" t="s">
        <v>611</v>
      </c>
      <c r="G18" s="59" t="s">
        <v>139</v>
      </c>
      <c r="H18" s="22">
        <v>1</v>
      </c>
      <c r="I18" s="23">
        <f>JRC_Data!AD16/JRC_Data!$AC$16</f>
        <v>1.0666666666666667</v>
      </c>
      <c r="J18" s="23">
        <f>JRC_Data!AE16/JRC_Data!$AC$16</f>
        <v>1.2333333333333334</v>
      </c>
      <c r="K18" s="59">
        <f>JRC_Data!AF16/JRC_Data!$AC$16</f>
        <v>1.3333333333333333</v>
      </c>
      <c r="L18" s="22"/>
      <c r="M18" s="23"/>
      <c r="N18" s="23"/>
      <c r="O18" s="59"/>
      <c r="P18" s="22"/>
      <c r="Q18" s="23"/>
      <c r="R18" s="23"/>
      <c r="S18" s="59"/>
      <c r="T18" s="55">
        <v>20</v>
      </c>
      <c r="U18" s="92"/>
      <c r="V18" s="43">
        <f>(JRC_Data!BB16/1000)*($U$149/$U$152)</f>
        <v>2.1281632653061227</v>
      </c>
      <c r="W18" s="43">
        <f>(JRC_Data!BC16/1000)*($U$149/$U$152)</f>
        <v>2.0314285714285716</v>
      </c>
      <c r="X18" s="43">
        <f>(JRC_Data!BD16/1000)*($U$149/$U$152)</f>
        <v>1.8379591836734692</v>
      </c>
      <c r="Y18" s="43">
        <f>(JRC_Data!BE16/1000)*($U$149/$U$152)</f>
        <v>1.7412244897959184</v>
      </c>
      <c r="Z18" s="43">
        <f>JRC_Data!BL16/1000</f>
        <v>3.4000000000000002E-2</v>
      </c>
      <c r="AA18" s="91"/>
      <c r="AB18" s="276"/>
      <c r="AC18" s="276"/>
      <c r="AD18" s="276"/>
      <c r="AE18" s="276"/>
      <c r="AF18" s="88">
        <f t="shared" ref="AF18:AF23" si="15">31.536*(AI18/1000)</f>
        <v>0.15768000000000001</v>
      </c>
      <c r="AG18" s="91"/>
      <c r="AH18" s="91">
        <v>2100</v>
      </c>
      <c r="AI18" s="91">
        <v>5</v>
      </c>
      <c r="AK18" s="109"/>
      <c r="AL18" s="108" t="str">
        <f t="shared" si="14"/>
        <v>R-SH_Apt_ELC_HPN2</v>
      </c>
      <c r="AM18" s="108" t="str">
        <f t="shared" si="14"/>
        <v>Residential Electric Heat Pump - Air to Water - SH</v>
      </c>
      <c r="AN18" s="109" t="s">
        <v>16</v>
      </c>
      <c r="AO18" s="109" t="s">
        <v>189</v>
      </c>
      <c r="AP18" s="109"/>
      <c r="AQ18" s="109" t="s">
        <v>81</v>
      </c>
    </row>
    <row r="19" spans="3:43" ht="15" x14ac:dyDescent="0.25">
      <c r="C19" s="25" t="str">
        <f>"R-HC_Apt"&amp;"_"&amp;RIGHT(E19,3)&amp;"_HPN1"</f>
        <v>R-HC_Apt_ELC_HPN1</v>
      </c>
      <c r="D19" s="26" t="s">
        <v>116</v>
      </c>
      <c r="E19" s="27" t="s">
        <v>162</v>
      </c>
      <c r="F19" s="27" t="s">
        <v>611</v>
      </c>
      <c r="G19" s="60" t="s">
        <v>299</v>
      </c>
      <c r="H19" s="25">
        <v>1</v>
      </c>
      <c r="I19" s="26">
        <f>JRC_Data!AD16/JRC_Data!$AC$16</f>
        <v>1.0666666666666667</v>
      </c>
      <c r="J19" s="26">
        <f>JRC_Data!AE16/JRC_Data!$AC$16</f>
        <v>1.2333333333333334</v>
      </c>
      <c r="K19" s="60">
        <f>JRC_Data!AF16/JRC_Data!$AC$16</f>
        <v>1.3333333333333333</v>
      </c>
      <c r="L19" s="25">
        <v>1</v>
      </c>
      <c r="M19" s="26">
        <f>JRC_Data!AD16/JRC_Data!$AC$16</f>
        <v>1.0666666666666667</v>
      </c>
      <c r="N19" s="26">
        <f>JRC_Data!AE16/JRC_Data!$AC$16</f>
        <v>1.2333333333333334</v>
      </c>
      <c r="O19" s="60">
        <f>JRC_Data!AF16/JRC_Data!$AC$16</f>
        <v>1.3333333333333333</v>
      </c>
      <c r="P19" s="25"/>
      <c r="Q19" s="26"/>
      <c r="R19" s="26"/>
      <c r="S19" s="60"/>
      <c r="T19" s="56">
        <v>20</v>
      </c>
      <c r="U19" s="27"/>
      <c r="V19" s="25">
        <f>(JRC_Data!BB16/1000)*($U$150/$U$152)</f>
        <v>2.1461224489795923</v>
      </c>
      <c r="W19" s="25">
        <f>(JRC_Data!BC16/1000)*($U$150/$U$152)</f>
        <v>2.0485714285714289</v>
      </c>
      <c r="X19" s="25">
        <f>(JRC_Data!BD16/1000)*($U$150/$U$152)</f>
        <v>1.8534693877551021</v>
      </c>
      <c r="Y19" s="25">
        <f>(JRC_Data!BE16/1000)*($U$150/$U$152)</f>
        <v>1.755918367346939</v>
      </c>
      <c r="Z19" s="25">
        <f>JRC_Data!BL16/1000</f>
        <v>3.4000000000000002E-2</v>
      </c>
      <c r="AA19" s="69"/>
      <c r="AB19" s="76"/>
      <c r="AC19" s="76"/>
      <c r="AD19" s="76"/>
      <c r="AE19" s="76"/>
      <c r="AF19" s="66">
        <f t="shared" si="15"/>
        <v>0.15768000000000001</v>
      </c>
      <c r="AG19" s="69"/>
      <c r="AH19" s="69">
        <v>2100</v>
      </c>
      <c r="AI19" s="69">
        <v>5</v>
      </c>
      <c r="AK19" s="109"/>
      <c r="AL19" s="108" t="str">
        <f t="shared" si="14"/>
        <v>R-SW_Apt_ELC_HPN1</v>
      </c>
      <c r="AM19" s="108" t="str">
        <f t="shared" si="14"/>
        <v>Residential Electric Heat Pump - Air to Water - SH + WH</v>
      </c>
      <c r="AN19" s="109" t="s">
        <v>16</v>
      </c>
      <c r="AO19" s="109" t="s">
        <v>189</v>
      </c>
      <c r="AP19" s="109"/>
      <c r="AQ19" s="109" t="s">
        <v>81</v>
      </c>
    </row>
    <row r="20" spans="3:43" ht="15" x14ac:dyDescent="0.25">
      <c r="C20" s="43" t="str">
        <f>"R-SH_Apt"&amp;"_"&amp;RIGHT(E20,3)&amp;"_HPN2"</f>
        <v>R-SH_Apt_ELC_HPN2</v>
      </c>
      <c r="D20" s="32" t="s">
        <v>117</v>
      </c>
      <c r="E20" s="33" t="s">
        <v>162</v>
      </c>
      <c r="F20" s="33" t="s">
        <v>611</v>
      </c>
      <c r="G20" s="61" t="s">
        <v>139</v>
      </c>
      <c r="H20" s="43">
        <f>JRC_Data!AC18/JRC_Data!$AC$16</f>
        <v>1</v>
      </c>
      <c r="I20" s="32">
        <f>JRC_Data!AD18/JRC_Data!$AC$16</f>
        <v>1.0999999999999999</v>
      </c>
      <c r="J20" s="32">
        <f>JRC_Data!AE18/JRC_Data!$AC$16</f>
        <v>1.2333333333333334</v>
      </c>
      <c r="K20" s="61">
        <f>JRC_Data!AF18/JRC_Data!$AC$16</f>
        <v>1.3333333333333333</v>
      </c>
      <c r="L20" s="43"/>
      <c r="M20" s="32"/>
      <c r="N20" s="32"/>
      <c r="O20" s="61"/>
      <c r="P20" s="43"/>
      <c r="Q20" s="32"/>
      <c r="R20" s="32"/>
      <c r="S20" s="61"/>
      <c r="T20" s="57">
        <v>20</v>
      </c>
      <c r="U20" s="33"/>
      <c r="V20" s="395">
        <v>7.5039999999999996</v>
      </c>
      <c r="W20" s="395">
        <f>V20*0.91</f>
        <v>6.82864</v>
      </c>
      <c r="X20" s="395">
        <f>W20*0.91</f>
        <v>6.2140624000000004</v>
      </c>
      <c r="Y20" s="395">
        <f>V20*0.82</f>
        <v>6.1532799999999996</v>
      </c>
      <c r="Z20" s="395">
        <v>0.1</v>
      </c>
      <c r="AA20" s="68"/>
      <c r="AB20" s="76"/>
      <c r="AC20" s="76"/>
      <c r="AD20" s="75"/>
      <c r="AE20" s="75"/>
      <c r="AF20" s="65">
        <f t="shared" si="15"/>
        <v>0.15768000000000001</v>
      </c>
      <c r="AG20" s="68"/>
      <c r="AH20" s="68">
        <v>2019</v>
      </c>
      <c r="AI20" s="68">
        <v>5</v>
      </c>
      <c r="AK20" s="225"/>
      <c r="AL20" s="108" t="str">
        <f t="shared" si="14"/>
        <v>R-SH_Apt_ELC_HPN3</v>
      </c>
      <c r="AM20" s="108" t="str">
        <f t="shared" si="14"/>
        <v>Residential Electric Heat Pump - Ground to Water - SH</v>
      </c>
      <c r="AN20" s="109" t="s">
        <v>16</v>
      </c>
      <c r="AO20" s="109" t="s">
        <v>189</v>
      </c>
      <c r="AP20" s="109"/>
      <c r="AQ20" s="109" t="s">
        <v>81</v>
      </c>
    </row>
    <row r="21" spans="3:43" ht="15.75" thickBot="1" x14ac:dyDescent="0.3">
      <c r="C21" s="25" t="str">
        <f>"R-SW_Apt"&amp;"_"&amp;RIGHT(E21,3)&amp;"_HPN1"</f>
        <v>R-SW_Apt_ELC_HPN1</v>
      </c>
      <c r="D21" s="26" t="s">
        <v>118</v>
      </c>
      <c r="E21" s="27" t="s">
        <v>162</v>
      </c>
      <c r="F21" s="27" t="s">
        <v>714</v>
      </c>
      <c r="G21" s="60" t="s">
        <v>298</v>
      </c>
      <c r="H21" s="25">
        <f>JRC_Data!AC18/JRC_Data!$AC$16</f>
        <v>1</v>
      </c>
      <c r="I21" s="26">
        <f>JRC_Data!AD18/JRC_Data!$AC$16</f>
        <v>1.0999999999999999</v>
      </c>
      <c r="J21" s="26">
        <f>JRC_Data!AE18/JRC_Data!$AC$16</f>
        <v>1.2333333333333334</v>
      </c>
      <c r="K21" s="60">
        <f>JRC_Data!AF18/JRC_Data!$AC$16</f>
        <v>1.3333333333333333</v>
      </c>
      <c r="L21" s="25"/>
      <c r="M21" s="26"/>
      <c r="N21" s="26"/>
      <c r="O21" s="60"/>
      <c r="P21" s="25">
        <f>H21*0.7</f>
        <v>0.7</v>
      </c>
      <c r="Q21" s="26">
        <f t="shared" ref="Q21:S21" si="16">I21*0.7</f>
        <v>0.76999999999999991</v>
      </c>
      <c r="R21" s="26">
        <f t="shared" si="16"/>
        <v>0.86333333333333329</v>
      </c>
      <c r="S21" s="60">
        <f t="shared" si="16"/>
        <v>0.93333333333333324</v>
      </c>
      <c r="T21" s="56">
        <v>20</v>
      </c>
      <c r="U21" s="27"/>
      <c r="V21" s="396">
        <f>V20*($U$150/$U$149)</f>
        <v>7.5673248945147682</v>
      </c>
      <c r="W21" s="396">
        <f>W20*($U$150/$U$149)</f>
        <v>6.8862656540084393</v>
      </c>
      <c r="X21" s="396">
        <f>X20*($U$150/$U$149)</f>
        <v>6.2665017451476803</v>
      </c>
      <c r="Y21" s="396">
        <f>Y20*($U$150/$U$149)</f>
        <v>6.2052064135021103</v>
      </c>
      <c r="Z21" s="396">
        <v>0.1</v>
      </c>
      <c r="AA21" s="69"/>
      <c r="AB21" s="76"/>
      <c r="AC21" s="76"/>
      <c r="AD21" s="76"/>
      <c r="AE21" s="76"/>
      <c r="AF21" s="66">
        <f t="shared" si="15"/>
        <v>0.18921600000000002</v>
      </c>
      <c r="AG21" s="69"/>
      <c r="AH21" s="69">
        <v>2019</v>
      </c>
      <c r="AI21" s="69">
        <v>6</v>
      </c>
      <c r="AK21" s="115"/>
      <c r="AL21" s="111" t="str">
        <f t="shared" si="14"/>
        <v>R-HC_Apt_ELC_HPN2</v>
      </c>
      <c r="AM21" s="111" t="str">
        <f t="shared" si="14"/>
        <v>Residential Electric Heat Pump - Ground to Water - SH + SC</v>
      </c>
      <c r="AN21" s="112" t="s">
        <v>16</v>
      </c>
      <c r="AO21" s="112" t="s">
        <v>189</v>
      </c>
      <c r="AP21" s="112"/>
      <c r="AQ21" s="112" t="s">
        <v>81</v>
      </c>
    </row>
    <row r="22" spans="3:43" ht="15" x14ac:dyDescent="0.25">
      <c r="C22" s="25" t="str">
        <f>"R-SH_Apt"&amp;"_"&amp;RIGHT(E22,3)&amp;"_HPN3"</f>
        <v>R-SH_Apt_ELC_HPN3</v>
      </c>
      <c r="D22" s="26" t="s">
        <v>120</v>
      </c>
      <c r="E22" s="27" t="s">
        <v>162</v>
      </c>
      <c r="F22" s="27" t="s">
        <v>611</v>
      </c>
      <c r="G22" s="60" t="s">
        <v>139</v>
      </c>
      <c r="H22" s="43">
        <f>JRC_Data!AC20/JRC_Data!$AC$16</f>
        <v>1.0999999999999999</v>
      </c>
      <c r="I22" s="32">
        <f>JRC_Data!AD20/JRC_Data!$AC$16</f>
        <v>1.1666666666666667</v>
      </c>
      <c r="J22" s="32">
        <f>JRC_Data!AE20/JRC_Data!$AC$16</f>
        <v>1.3333333333333333</v>
      </c>
      <c r="K22" s="61">
        <f>JRC_Data!AF20/JRC_Data!$AC$16</f>
        <v>1.5</v>
      </c>
      <c r="L22" s="43"/>
      <c r="M22" s="32"/>
      <c r="N22" s="32"/>
      <c r="O22" s="61"/>
      <c r="P22" s="43"/>
      <c r="Q22" s="32"/>
      <c r="R22" s="32"/>
      <c r="S22" s="61"/>
      <c r="T22" s="57">
        <v>20</v>
      </c>
      <c r="U22" s="33"/>
      <c r="V22" s="43">
        <f>(JRC_Data!BB20/1000)*($U$149/$U$152)</f>
        <v>13.542857142857143</v>
      </c>
      <c r="W22" s="43">
        <f>(JRC_Data!BC20/1000)*($U$149/$U$152)</f>
        <v>12.575510204081631</v>
      </c>
      <c r="X22" s="43">
        <f>(JRC_Data!BD20/1000)*($U$149/$U$152)</f>
        <v>11.608163265306121</v>
      </c>
      <c r="Y22" s="43">
        <f>(JRC_Data!BE20/1000)*($U$149/$U$152)</f>
        <v>10.640816326530611</v>
      </c>
      <c r="Z22" s="43">
        <f>JRC_Data!BL20/1000</f>
        <v>0.2</v>
      </c>
      <c r="AA22" s="68"/>
      <c r="AB22" s="75"/>
      <c r="AC22" s="75"/>
      <c r="AD22" s="75"/>
      <c r="AE22" s="75"/>
      <c r="AF22" s="65">
        <f t="shared" si="15"/>
        <v>0.15768000000000001</v>
      </c>
      <c r="AG22" s="68"/>
      <c r="AH22" s="68">
        <v>2019</v>
      </c>
      <c r="AI22" s="68">
        <v>5</v>
      </c>
      <c r="AK22" s="116"/>
      <c r="AL22" s="106" t="str">
        <f>C25</f>
        <v>R-SW_Apt_GAS_HPN1</v>
      </c>
      <c r="AM22" s="106" t="str">
        <f>D25</f>
        <v>Residential Gas Absorption Heat Pump - Air to Water - SH + WH</v>
      </c>
      <c r="AN22" s="107" t="s">
        <v>16</v>
      </c>
      <c r="AO22" s="107" t="s">
        <v>189</v>
      </c>
      <c r="AP22" s="107"/>
      <c r="AQ22" s="107" t="s">
        <v>81</v>
      </c>
    </row>
    <row r="23" spans="3:43" ht="15.75" thickBot="1" x14ac:dyDescent="0.3">
      <c r="C23" s="97" t="str">
        <f>"R-HC_Apt"&amp;"_"&amp;RIGHT(E23,3)&amp;"_HPN2"</f>
        <v>R-HC_Apt_ELC_HPN2</v>
      </c>
      <c r="D23" s="93" t="s">
        <v>121</v>
      </c>
      <c r="E23" s="122" t="s">
        <v>162</v>
      </c>
      <c r="F23" s="122" t="s">
        <v>611</v>
      </c>
      <c r="G23" s="98" t="s">
        <v>299</v>
      </c>
      <c r="H23" s="25">
        <f>JRC_Data!AC20/JRC_Data!$AC$16</f>
        <v>1.0999999999999999</v>
      </c>
      <c r="I23" s="26">
        <f>JRC_Data!AD20/JRC_Data!$AC$16</f>
        <v>1.1666666666666667</v>
      </c>
      <c r="J23" s="26">
        <f>JRC_Data!AE20/JRC_Data!$AC$16</f>
        <v>1.3333333333333333</v>
      </c>
      <c r="K23" s="60">
        <f>JRC_Data!AF20/JRC_Data!$AC$16</f>
        <v>1.5</v>
      </c>
      <c r="L23" s="25">
        <v>1</v>
      </c>
      <c r="M23" s="26">
        <f>JRC_Data!AD20/JRC_Data!$AC$16</f>
        <v>1.1666666666666667</v>
      </c>
      <c r="N23" s="26">
        <f>JRC_Data!AE20/JRC_Data!$AC$16</f>
        <v>1.3333333333333333</v>
      </c>
      <c r="O23" s="60">
        <f>JRC_Data!AF20/JRC_Data!$AC$16</f>
        <v>1.5</v>
      </c>
      <c r="P23" s="25"/>
      <c r="Q23" s="26"/>
      <c r="R23" s="26"/>
      <c r="S23" s="60"/>
      <c r="T23" s="56">
        <v>20</v>
      </c>
      <c r="U23" s="27"/>
      <c r="V23" s="25">
        <f>(JRC_Data!BB20/1000)*($U$150/$U$152)</f>
        <v>13.657142857142858</v>
      </c>
      <c r="W23" s="25">
        <f>(JRC_Data!BC20/1000)*($U$150/$U$152)</f>
        <v>12.681632653061225</v>
      </c>
      <c r="X23" s="25">
        <f>(JRC_Data!BD20/1000)*($U$150/$U$152)</f>
        <v>11.706122448979592</v>
      </c>
      <c r="Y23" s="25">
        <f>(JRC_Data!BE20/1000)*($U$150/$U$152)</f>
        <v>10.73061224489796</v>
      </c>
      <c r="Z23" s="25">
        <f>JRC_Data!BL20/1000</f>
        <v>0.2</v>
      </c>
      <c r="AA23" s="69"/>
      <c r="AB23" s="76"/>
      <c r="AC23" s="76"/>
      <c r="AD23" s="76"/>
      <c r="AE23" s="76"/>
      <c r="AF23" s="66">
        <f t="shared" si="15"/>
        <v>0.15768000000000001</v>
      </c>
      <c r="AG23" s="69"/>
      <c r="AH23" s="69">
        <v>2019</v>
      </c>
      <c r="AI23" s="69">
        <v>5</v>
      </c>
      <c r="AK23" s="226"/>
      <c r="AL23" s="111" t="str">
        <f>C26</f>
        <v>R-SW_Apt_GAS_HPN2</v>
      </c>
      <c r="AM23" s="111" t="str">
        <f>D26</f>
        <v>Residential Gas Engine Heat Pump - Air to Water - SH + WH</v>
      </c>
      <c r="AN23" s="112" t="s">
        <v>16</v>
      </c>
      <c r="AO23" s="112" t="s">
        <v>189</v>
      </c>
      <c r="AP23" s="112"/>
      <c r="AQ23" s="112" t="s">
        <v>81</v>
      </c>
    </row>
    <row r="24" spans="3:43" ht="15.75" thickBot="1" x14ac:dyDescent="0.3">
      <c r="C24" s="36" t="s">
        <v>321</v>
      </c>
      <c r="D24" s="36"/>
      <c r="E24" s="37"/>
      <c r="F24" s="37"/>
      <c r="G24" s="37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7"/>
      <c r="U24" s="37"/>
      <c r="V24" s="36"/>
      <c r="W24" s="36"/>
      <c r="X24" s="36"/>
      <c r="Y24" s="36"/>
      <c r="Z24" s="36"/>
      <c r="AA24" s="90"/>
      <c r="AB24" s="39"/>
      <c r="AC24" s="39"/>
      <c r="AD24" s="39"/>
      <c r="AE24" s="39"/>
      <c r="AF24" s="36"/>
      <c r="AG24" s="37"/>
      <c r="AH24" s="37"/>
      <c r="AI24" s="37"/>
      <c r="AK24" s="227"/>
      <c r="AL24" s="114" t="str">
        <f>C28</f>
        <v>R-SW_Apt_GAS_HHPN1</v>
      </c>
      <c r="AM24" s="114" t="str">
        <f>D28</f>
        <v>Residential Gas Hybrid Heat Pump - Air to Water - SH + WH</v>
      </c>
      <c r="AN24" s="113" t="s">
        <v>16</v>
      </c>
      <c r="AO24" s="113" t="s">
        <v>189</v>
      </c>
      <c r="AP24" s="113"/>
      <c r="AQ24" s="113" t="s">
        <v>81</v>
      </c>
    </row>
    <row r="25" spans="3:43" ht="15" x14ac:dyDescent="0.25">
      <c r="C25" s="22" t="str">
        <f>"R-SW_Apt"&amp;"_"&amp;RIGHT(E25,3)&amp;"_HPN1"</f>
        <v>R-SW_Apt_GAS_HPN1</v>
      </c>
      <c r="D25" s="23" t="s">
        <v>122</v>
      </c>
      <c r="E25" s="92" t="s">
        <v>310</v>
      </c>
      <c r="F25" s="92" t="s">
        <v>714</v>
      </c>
      <c r="G25" s="92" t="s">
        <v>298</v>
      </c>
      <c r="H25" s="395">
        <f>JRC_Data!AC28/0.81</f>
        <v>1.6666666666666667</v>
      </c>
      <c r="I25" s="395">
        <f>JRC_Data!AD28/0.81</f>
        <v>1.7901234567901232</v>
      </c>
      <c r="J25" s="395">
        <f>JRC_Data!AE28/0.81</f>
        <v>2.0987654320987654</v>
      </c>
      <c r="K25" s="395">
        <f>JRC_Data!AF28/0.81</f>
        <v>2.0987654320987654</v>
      </c>
      <c r="L25" s="49"/>
      <c r="M25" s="50"/>
      <c r="N25" s="50"/>
      <c r="O25" s="51"/>
      <c r="P25" s="22">
        <f>H25*0.7</f>
        <v>1.1666666666666667</v>
      </c>
      <c r="Q25" s="23">
        <f t="shared" ref="Q25:S25" si="17">I25*0.7</f>
        <v>1.2530864197530862</v>
      </c>
      <c r="R25" s="23">
        <f t="shared" si="17"/>
        <v>1.4691358024691357</v>
      </c>
      <c r="S25" s="59">
        <f t="shared" si="17"/>
        <v>1.4691358024691357</v>
      </c>
      <c r="T25" s="92">
        <v>20</v>
      </c>
      <c r="U25" s="51"/>
      <c r="V25" s="22">
        <f>(JRC_Data!BB28/1000)*($U$150/$U$153)</f>
        <v>14.395366795366796</v>
      </c>
      <c r="W25" s="22">
        <f>(JRC_Data!BC28/1000)*($U$150/$U$153)</f>
        <v>13.472586872586874</v>
      </c>
      <c r="X25" s="22">
        <f>(JRC_Data!BD28/1000)*($U$150/$U$153)</f>
        <v>11.627027027027028</v>
      </c>
      <c r="Y25" s="22">
        <f>(JRC_Data!BE28/1000)*($U$150/$U$153)</f>
        <v>11.627027027027028</v>
      </c>
      <c r="Z25" s="88">
        <f>JRC_Data!BL28/1000</f>
        <v>0.23499999999999999</v>
      </c>
      <c r="AA25" s="88"/>
      <c r="AB25" s="59"/>
      <c r="AC25" s="88"/>
      <c r="AD25" s="88"/>
      <c r="AE25" s="88"/>
      <c r="AF25" s="88">
        <f t="shared" ref="AF25:AF26" si="18">31.536*(AI25/1000)</f>
        <v>0.56764799999999993</v>
      </c>
      <c r="AG25" s="91"/>
      <c r="AH25" s="91">
        <v>2019</v>
      </c>
      <c r="AI25" s="91">
        <v>18</v>
      </c>
      <c r="AK25" s="228"/>
      <c r="AL25" s="106" t="str">
        <f>C30</f>
        <v>R-SW_Apt_HET_N1</v>
      </c>
      <c r="AM25" s="106" t="str">
        <f>D30</f>
        <v>Residential District Heating Centralized - SH + WH</v>
      </c>
      <c r="AN25" s="107" t="s">
        <v>16</v>
      </c>
      <c r="AO25" s="107" t="s">
        <v>189</v>
      </c>
      <c r="AP25" s="107"/>
      <c r="AQ25" s="107" t="s">
        <v>81</v>
      </c>
    </row>
    <row r="26" spans="3:43" ht="15.75" thickBot="1" x14ac:dyDescent="0.3">
      <c r="C26" s="268" t="str">
        <f>"R-SW_Apt"&amp;"_"&amp;RIGHT(E26,3)&amp;"_HPN2"</f>
        <v>R-SW_Apt_GAS_HPN2</v>
      </c>
      <c r="D26" s="29" t="s">
        <v>123</v>
      </c>
      <c r="E26" s="30" t="s">
        <v>310</v>
      </c>
      <c r="F26" s="30" t="s">
        <v>714</v>
      </c>
      <c r="G26" s="30" t="s">
        <v>298</v>
      </c>
      <c r="H26" s="396">
        <f>JRC_Data!AC30/0.9</f>
        <v>1.6666666666666665</v>
      </c>
      <c r="I26" s="396">
        <f>JRC_Data!AD30/0.9</f>
        <v>1.7222222222222223</v>
      </c>
      <c r="J26" s="396">
        <f>JRC_Data!AE30/0.9</f>
        <v>1.7222222222222223</v>
      </c>
      <c r="K26" s="396">
        <f>JRC_Data!AF30/0.9</f>
        <v>1.7777777777777779</v>
      </c>
      <c r="L26" s="52"/>
      <c r="M26" s="53"/>
      <c r="N26" s="53"/>
      <c r="O26" s="54"/>
      <c r="P26" s="268">
        <f>H26*0.7</f>
        <v>1.1666666666666665</v>
      </c>
      <c r="Q26" s="29">
        <f t="shared" ref="Q26" si="19">I26*0.7</f>
        <v>1.2055555555555555</v>
      </c>
      <c r="R26" s="29">
        <f t="shared" ref="R26" si="20">J26*0.7</f>
        <v>1.2055555555555555</v>
      </c>
      <c r="S26" s="62">
        <f t="shared" ref="S26" si="21">K26*0.7</f>
        <v>1.2444444444444445</v>
      </c>
      <c r="T26" s="30">
        <v>15</v>
      </c>
      <c r="U26" s="54"/>
      <c r="V26" s="268">
        <f>(JRC_Data!BB30/1000)*($U$150/$U$153)</f>
        <v>43.832046332046332</v>
      </c>
      <c r="W26" s="268">
        <f>(JRC_Data!BC30/1000)*($U$150/$U$153)</f>
        <v>43.832046332046332</v>
      </c>
      <c r="X26" s="268">
        <f>(JRC_Data!BD30/1000)*($U$150/$U$153)</f>
        <v>43.832046332046332</v>
      </c>
      <c r="Y26" s="268">
        <f>(JRC_Data!BE30/1000)*($U$150/$U$153)</f>
        <v>43.832046332046332</v>
      </c>
      <c r="Z26" s="67">
        <f>JRC_Data!BL30/1000</f>
        <v>0.23499999999999999</v>
      </c>
      <c r="AA26" s="67"/>
      <c r="AB26" s="62"/>
      <c r="AC26" s="67"/>
      <c r="AD26" s="67"/>
      <c r="AE26" s="67"/>
      <c r="AF26" s="67">
        <f t="shared" si="18"/>
        <v>0.56764799999999993</v>
      </c>
      <c r="AG26" s="70"/>
      <c r="AH26" s="70">
        <v>2019</v>
      </c>
      <c r="AI26" s="70">
        <v>18</v>
      </c>
      <c r="AK26" s="117"/>
      <c r="AL26" s="111" t="str">
        <f>C31</f>
        <v>R-SW_Apt_HET_N2</v>
      </c>
      <c r="AM26" s="111" t="str">
        <f>D31</f>
        <v>Residential District Heating Decentralized - SH + WH</v>
      </c>
      <c r="AN26" s="112" t="s">
        <v>16</v>
      </c>
      <c r="AO26" s="112" t="s">
        <v>189</v>
      </c>
      <c r="AP26" s="112"/>
      <c r="AQ26" s="112" t="s">
        <v>81</v>
      </c>
    </row>
    <row r="27" spans="3:43" ht="15" x14ac:dyDescent="0.25">
      <c r="C27" s="36" t="s">
        <v>322</v>
      </c>
      <c r="D27" s="36"/>
      <c r="E27" s="37"/>
      <c r="F27" s="37"/>
      <c r="G27" s="37"/>
      <c r="H27" s="37"/>
      <c r="I27" s="37"/>
      <c r="J27" s="37"/>
      <c r="K27" s="37"/>
      <c r="L27" s="37"/>
      <c r="M27" s="38"/>
      <c r="N27" s="38"/>
      <c r="O27" s="38"/>
      <c r="P27" s="38"/>
      <c r="Q27" s="38"/>
      <c r="R27" s="38"/>
      <c r="S27" s="38"/>
      <c r="T27" s="37"/>
      <c r="U27" s="37"/>
      <c r="V27" s="36"/>
      <c r="W27" s="36"/>
      <c r="X27" s="36"/>
      <c r="Y27" s="36"/>
      <c r="Z27" s="36"/>
      <c r="AA27" s="37"/>
      <c r="AB27" s="39"/>
      <c r="AC27" s="39"/>
      <c r="AD27" s="39"/>
      <c r="AE27" s="39"/>
      <c r="AF27" s="36"/>
      <c r="AG27" s="37"/>
      <c r="AH27" s="37"/>
      <c r="AI27" s="37"/>
      <c r="AK27" s="228"/>
      <c r="AL27" s="106" t="str">
        <f>C33</f>
        <v>R-WH_Apt_ELC_N1</v>
      </c>
      <c r="AM27" s="106" t="str">
        <f>D33</f>
        <v xml:space="preserve">Residential Electric Water Heater </v>
      </c>
      <c r="AN27" s="107" t="s">
        <v>16</v>
      </c>
      <c r="AO27" s="107" t="s">
        <v>189</v>
      </c>
      <c r="AP27" s="107"/>
      <c r="AQ27" s="107" t="s">
        <v>81</v>
      </c>
    </row>
    <row r="28" spans="3:43" ht="15.75" thickBot="1" x14ac:dyDescent="0.3">
      <c r="C28" s="99" t="str">
        <f>"R-SW_Apt"&amp;"_"&amp;RIGHT(E28,3)&amp;"_HHPN1"</f>
        <v>R-SW_Apt_GAS_HHPN1</v>
      </c>
      <c r="D28" s="83" t="s">
        <v>131</v>
      </c>
      <c r="E28" s="124" t="s">
        <v>314</v>
      </c>
      <c r="F28" s="124" t="s">
        <v>714</v>
      </c>
      <c r="G28" s="101" t="s">
        <v>298</v>
      </c>
      <c r="H28" s="395">
        <f>1*$AD$28+JRC_Data!AD18*(1.2-$AD$28)</f>
        <v>3.2699999999999996</v>
      </c>
      <c r="I28" s="395">
        <f>1*$AD$28+JRC_Data!AE18*(1.2-$AD$28)</f>
        <v>3.6299999999999994</v>
      </c>
      <c r="J28" s="395">
        <f>1*$AD$28+JRC_Data!AF18*(1.2-$AD$28)</f>
        <v>3.8999999999999995</v>
      </c>
      <c r="K28" s="395">
        <f>1*$AD$28+JRC_Data!AG18*(1.2-$AD$28)</f>
        <v>3.8999999999999995</v>
      </c>
      <c r="L28" s="52"/>
      <c r="M28" s="53"/>
      <c r="N28" s="53"/>
      <c r="O28" s="54"/>
      <c r="P28" s="268">
        <f>H28*0.7</f>
        <v>2.2889999999999997</v>
      </c>
      <c r="Q28" s="29">
        <f>I28*0.7</f>
        <v>2.5409999999999995</v>
      </c>
      <c r="R28" s="29">
        <f t="shared" ref="R28:S28" si="22">J28*0.7</f>
        <v>2.7299999999999995</v>
      </c>
      <c r="S28" s="62">
        <f t="shared" si="22"/>
        <v>2.7299999999999995</v>
      </c>
      <c r="T28" s="272">
        <v>20</v>
      </c>
      <c r="U28" s="273"/>
      <c r="V28" s="82">
        <f>(V21+V10)*0.8</f>
        <v>8.3046953586497896</v>
      </c>
      <c r="W28" s="82">
        <f t="shared" ref="W28:Y28" si="23">(W21+W10)*0.8</f>
        <v>7.7598479662447266</v>
      </c>
      <c r="X28" s="82">
        <f t="shared" si="23"/>
        <v>7.2640368391561196</v>
      </c>
      <c r="Y28" s="82">
        <f t="shared" si="23"/>
        <v>7.2150005738396636</v>
      </c>
      <c r="Z28" s="277">
        <f>(JRC_Data!BL9+JRC_Data!BL18)*0.8/1000</f>
        <v>0.308</v>
      </c>
      <c r="AA28" s="86"/>
      <c r="AB28" s="87"/>
      <c r="AC28" s="87"/>
      <c r="AD28" s="87">
        <v>0.3</v>
      </c>
      <c r="AE28" s="69">
        <v>5</v>
      </c>
      <c r="AF28" s="85">
        <f>31.536*(AI28/1000)</f>
        <v>0.30274559999999995</v>
      </c>
      <c r="AG28" s="86"/>
      <c r="AH28" s="86">
        <v>2019</v>
      </c>
      <c r="AI28" s="86">
        <f>AI10*AD28+AI21*(1-AD28)</f>
        <v>9.5999999999999979</v>
      </c>
      <c r="AK28" s="4"/>
      <c r="AL28" s="108" t="str">
        <f>C34</f>
        <v>R-WH_Apt_SOL_N1</v>
      </c>
      <c r="AM28" s="108" t="str">
        <f>D34</f>
        <v xml:space="preserve">Residential Solar Water Heater </v>
      </c>
      <c r="AN28" s="109" t="s">
        <v>16</v>
      </c>
      <c r="AO28" s="109" t="s">
        <v>189</v>
      </c>
      <c r="AP28" s="109"/>
      <c r="AQ28" s="109" t="s">
        <v>81</v>
      </c>
    </row>
    <row r="29" spans="3:43" ht="15.75" thickBot="1" x14ac:dyDescent="0.3">
      <c r="C29" s="36" t="s">
        <v>323</v>
      </c>
      <c r="D29" s="36"/>
      <c r="E29" s="37"/>
      <c r="F29" s="37"/>
      <c r="G29" s="37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7"/>
      <c r="U29" s="37"/>
      <c r="V29" s="36" t="s">
        <v>569</v>
      </c>
      <c r="W29" s="36"/>
      <c r="X29" s="36"/>
      <c r="Y29" s="36"/>
      <c r="Z29" s="36"/>
      <c r="AA29" s="37"/>
      <c r="AB29" s="39"/>
      <c r="AC29" s="39"/>
      <c r="AD29" s="39"/>
      <c r="AE29" s="39"/>
      <c r="AF29" s="36"/>
      <c r="AG29" s="37"/>
      <c r="AH29" s="37"/>
      <c r="AI29" s="37"/>
      <c r="AK29" s="4"/>
      <c r="AL29" s="108" t="str">
        <f>C36</f>
        <v>R-SC_Apt_ELC_N1</v>
      </c>
      <c r="AM29" s="108" t="str">
        <f>D36</f>
        <v>Room Residential Electric Air Conditioning</v>
      </c>
      <c r="AN29" s="107" t="s">
        <v>16</v>
      </c>
      <c r="AO29" s="107" t="s">
        <v>189</v>
      </c>
      <c r="AP29" s="107"/>
      <c r="AQ29" s="107" t="s">
        <v>81</v>
      </c>
    </row>
    <row r="30" spans="3:43" ht="15" x14ac:dyDescent="0.25">
      <c r="C30" s="22" t="str">
        <f>"R-SW_Apt"&amp;"_"&amp;RIGHT(E30,3)&amp;"_N1"</f>
        <v>R-SW_Apt_HET_N1</v>
      </c>
      <c r="D30" s="23" t="s">
        <v>125</v>
      </c>
      <c r="E30" s="92" t="s">
        <v>297</v>
      </c>
      <c r="F30" s="92"/>
      <c r="G30" s="24" t="s">
        <v>298</v>
      </c>
      <c r="H30" s="262">
        <v>1</v>
      </c>
      <c r="I30" s="263">
        <v>1</v>
      </c>
      <c r="J30" s="263">
        <v>1</v>
      </c>
      <c r="K30" s="264">
        <v>1</v>
      </c>
      <c r="L30" s="49"/>
      <c r="M30" s="50"/>
      <c r="N30" s="50"/>
      <c r="O30" s="51"/>
      <c r="P30" s="262">
        <v>1</v>
      </c>
      <c r="Q30" s="263">
        <v>1</v>
      </c>
      <c r="R30" s="263">
        <v>1</v>
      </c>
      <c r="S30" s="264">
        <v>1</v>
      </c>
      <c r="T30" s="55">
        <v>20</v>
      </c>
      <c r="U30" s="51"/>
      <c r="V30" s="22">
        <f>(JRC_Data!BB62/1000)*($U$150/$U$148)</f>
        <v>2.6555555555555554</v>
      </c>
      <c r="W30" s="22">
        <f>(JRC_Data!BC62/1000)*($U$150/$U$148)</f>
        <v>2.6555555555555554</v>
      </c>
      <c r="X30" s="22">
        <f>(JRC_Data!BD62/1000)*($U$150/$U$148)</f>
        <v>2.6555555555555554</v>
      </c>
      <c r="Y30" s="22">
        <f>(JRC_Data!BE62/1000)*($U$150/$U$148)</f>
        <v>2.6555555555555554</v>
      </c>
      <c r="Z30" s="88">
        <f>JRC_Data!BL62/1000</f>
        <v>0.15</v>
      </c>
      <c r="AA30" s="88"/>
      <c r="AB30" s="88"/>
      <c r="AC30" s="88"/>
      <c r="AD30" s="88"/>
      <c r="AE30" s="88"/>
      <c r="AF30" s="88">
        <f t="shared" ref="AF30:AF31" si="24">31.536*(AI30/1000)</f>
        <v>0.56764799999999993</v>
      </c>
      <c r="AG30" s="91"/>
      <c r="AH30" s="91">
        <v>2019</v>
      </c>
      <c r="AI30" s="91">
        <v>18</v>
      </c>
      <c r="AL30" s="108" t="str">
        <f>C37</f>
        <v>R-SC_Apt_ELC_N2</v>
      </c>
      <c r="AM30" s="108" t="str">
        <f>D37</f>
        <v>Centralized Residential Electric Air Conditioning</v>
      </c>
      <c r="AN30" s="107" t="s">
        <v>16</v>
      </c>
      <c r="AO30" s="107" t="s">
        <v>189</v>
      </c>
      <c r="AP30" s="107"/>
      <c r="AQ30" s="107" t="s">
        <v>81</v>
      </c>
    </row>
    <row r="31" spans="3:43" x14ac:dyDescent="0.2">
      <c r="C31" s="268" t="str">
        <f>"R-SW_Apt"&amp;"_"&amp;RIGHT(E31,3)&amp;"_N2"</f>
        <v>R-SW_Apt_HET_N2</v>
      </c>
      <c r="D31" s="29" t="s">
        <v>126</v>
      </c>
      <c r="E31" s="30" t="s">
        <v>297</v>
      </c>
      <c r="F31" s="30"/>
      <c r="G31" s="31" t="s">
        <v>298</v>
      </c>
      <c r="H31" s="269">
        <v>1</v>
      </c>
      <c r="I31" s="270">
        <v>1</v>
      </c>
      <c r="J31" s="270">
        <v>1</v>
      </c>
      <c r="K31" s="271">
        <v>1</v>
      </c>
      <c r="L31" s="52"/>
      <c r="M31" s="53"/>
      <c r="N31" s="53"/>
      <c r="O31" s="54"/>
      <c r="P31" s="269">
        <v>1</v>
      </c>
      <c r="Q31" s="270">
        <v>1</v>
      </c>
      <c r="R31" s="270">
        <v>1</v>
      </c>
      <c r="S31" s="271">
        <v>1</v>
      </c>
      <c r="T31" s="58">
        <v>20</v>
      </c>
      <c r="U31" s="54"/>
      <c r="V31" s="268">
        <f>(JRC_Data!BB62/1000)*($U$150/$U$148)</f>
        <v>2.6555555555555554</v>
      </c>
      <c r="W31" s="268">
        <f>(JRC_Data!BC62/1000)*($U$150/$U$148)</f>
        <v>2.6555555555555554</v>
      </c>
      <c r="X31" s="268">
        <f>(JRC_Data!BD62/1000)*($U$150/$U$148)</f>
        <v>2.6555555555555554</v>
      </c>
      <c r="Y31" s="268">
        <f>(JRC_Data!BE62/1000)*($U$150/$U$148)</f>
        <v>2.6555555555555554</v>
      </c>
      <c r="Z31" s="66">
        <f>JRC_Data!BL62/1000</f>
        <v>0.15</v>
      </c>
      <c r="AA31" s="66"/>
      <c r="AB31" s="66"/>
      <c r="AC31" s="66"/>
      <c r="AD31" s="66"/>
      <c r="AE31" s="66"/>
      <c r="AF31" s="67">
        <f t="shared" si="24"/>
        <v>0.56764799999999993</v>
      </c>
      <c r="AG31" s="70"/>
      <c r="AH31" s="70">
        <v>2019</v>
      </c>
      <c r="AI31" s="70">
        <v>18</v>
      </c>
    </row>
    <row r="32" spans="3:43" x14ac:dyDescent="0.2">
      <c r="C32" s="36" t="s">
        <v>324</v>
      </c>
      <c r="D32" s="36"/>
      <c r="E32" s="37"/>
      <c r="F32" s="37"/>
      <c r="G32" s="37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7"/>
      <c r="U32" s="37"/>
      <c r="V32" s="36"/>
      <c r="W32" s="36"/>
      <c r="X32" s="36"/>
      <c r="Y32" s="36"/>
      <c r="Z32" s="36"/>
      <c r="AA32" s="37"/>
      <c r="AB32" s="39"/>
      <c r="AC32" s="39"/>
      <c r="AD32" s="39"/>
      <c r="AE32" s="39"/>
      <c r="AF32" s="36"/>
      <c r="AG32" s="37"/>
      <c r="AH32" s="37"/>
      <c r="AI32" s="37"/>
    </row>
    <row r="33" spans="3:44" x14ac:dyDescent="0.2">
      <c r="C33" s="32" t="str">
        <f>"R-WH_Apt"&amp;"_"&amp;RIGHT(E33,3)&amp;"_N1"</f>
        <v>R-WH_Apt_ELC_N1</v>
      </c>
      <c r="D33" s="23" t="s">
        <v>128</v>
      </c>
      <c r="E33" s="92" t="s">
        <v>162</v>
      </c>
      <c r="F33" s="92"/>
      <c r="G33" s="23" t="s">
        <v>141</v>
      </c>
      <c r="H33" s="49"/>
      <c r="I33" s="50"/>
      <c r="J33" s="50"/>
      <c r="K33" s="51"/>
      <c r="L33" s="49"/>
      <c r="M33" s="50"/>
      <c r="N33" s="50"/>
      <c r="O33" s="51"/>
      <c r="P33" s="262">
        <v>1</v>
      </c>
      <c r="Q33" s="263">
        <v>1</v>
      </c>
      <c r="R33" s="263">
        <v>1</v>
      </c>
      <c r="S33" s="264">
        <v>1</v>
      </c>
      <c r="T33" s="55">
        <v>30</v>
      </c>
      <c r="U33" s="51"/>
      <c r="V33" s="23">
        <f>(JRC_Data!BB48/1000)*($U$145/$U$146)</f>
        <v>3.6878868563919918</v>
      </c>
      <c r="W33" s="23">
        <f>(JRC_Data!BC48/1000)*($U$145/$U$146)</f>
        <v>3.6878868563919918</v>
      </c>
      <c r="X33" s="23">
        <f>(JRC_Data!BD48/1000)*($U$145/$U$146)</f>
        <v>3.6878868563919918</v>
      </c>
      <c r="Y33" s="23">
        <f>(JRC_Data!BE48/1000)*($U$145/$U$146)</f>
        <v>3.6878868563919918</v>
      </c>
      <c r="Z33" s="88">
        <f>JRC_Data!BL48/1000</f>
        <v>0.05</v>
      </c>
      <c r="AA33" s="88"/>
      <c r="AB33" s="88"/>
      <c r="AC33" s="88"/>
      <c r="AD33" s="88"/>
      <c r="AE33" s="88"/>
      <c r="AF33" s="88">
        <f t="shared" ref="AF33:AF34" si="25">31.536*(AI33/1000)</f>
        <v>0.15768000000000001</v>
      </c>
      <c r="AG33" s="91"/>
      <c r="AH33" s="91">
        <v>2019</v>
      </c>
      <c r="AI33" s="91">
        <v>5</v>
      </c>
    </row>
    <row r="34" spans="3:44" x14ac:dyDescent="0.2">
      <c r="C34" s="26" t="str">
        <f>"R-WH_Apt"&amp;"_"&amp;RIGHT(E34,3)&amp;"_N1"</f>
        <v>R-WH_Apt_SOL_N1</v>
      </c>
      <c r="D34" s="26" t="s">
        <v>129</v>
      </c>
      <c r="E34" s="27" t="s">
        <v>315</v>
      </c>
      <c r="F34" s="27"/>
      <c r="G34" s="26" t="s">
        <v>141</v>
      </c>
      <c r="H34" s="47"/>
      <c r="I34" s="35"/>
      <c r="J34" s="35"/>
      <c r="K34" s="48"/>
      <c r="L34" s="47"/>
      <c r="M34" s="35"/>
      <c r="N34" s="35"/>
      <c r="O34" s="48"/>
      <c r="P34" s="259">
        <v>1</v>
      </c>
      <c r="Q34" s="260">
        <v>1</v>
      </c>
      <c r="R34" s="260">
        <v>1</v>
      </c>
      <c r="S34" s="261">
        <v>1</v>
      </c>
      <c r="T34" s="56">
        <v>25</v>
      </c>
      <c r="U34" s="60">
        <v>30</v>
      </c>
      <c r="V34" s="26">
        <f>(JRC_Data!BB45/1000)*($U$145/$U$146)</f>
        <v>4.9786472561291895</v>
      </c>
      <c r="W34" s="26">
        <f>(JRC_Data!BC45/1000)*($U$145/$U$146)</f>
        <v>4.7020557418997893</v>
      </c>
      <c r="X34" s="26">
        <f>(JRC_Data!BD45/1000)*($U$145/$U$146)</f>
        <v>4.2410698848507904</v>
      </c>
      <c r="Y34" s="26">
        <f>(JRC_Data!BE45/1000)*($U$145/$U$146)</f>
        <v>3.4112953421625924</v>
      </c>
      <c r="Z34" s="88">
        <f>JRC_Data!BL45/1000</f>
        <v>6.2E-2</v>
      </c>
      <c r="AA34" s="66"/>
      <c r="AB34" s="66"/>
      <c r="AC34" s="66"/>
      <c r="AD34" s="66"/>
      <c r="AE34" s="66"/>
      <c r="AF34" s="66">
        <f t="shared" si="25"/>
        <v>0.15768000000000001</v>
      </c>
      <c r="AG34" s="69"/>
      <c r="AH34" s="69">
        <v>2019</v>
      </c>
      <c r="AI34" s="69">
        <v>5</v>
      </c>
    </row>
    <row r="35" spans="3:44" x14ac:dyDescent="0.2">
      <c r="C35" s="36" t="s">
        <v>325</v>
      </c>
      <c r="D35" s="36"/>
      <c r="E35" s="37"/>
      <c r="F35" s="37"/>
      <c r="G35" s="37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7"/>
      <c r="U35" s="37"/>
      <c r="V35" s="36"/>
      <c r="W35" s="36"/>
      <c r="X35" s="36"/>
      <c r="Y35" s="36"/>
      <c r="Z35" s="36"/>
      <c r="AA35" s="37"/>
      <c r="AB35" s="39"/>
      <c r="AC35" s="39"/>
      <c r="AD35" s="39"/>
      <c r="AE35" s="39"/>
      <c r="AF35" s="36"/>
      <c r="AG35" s="37"/>
      <c r="AH35" s="37"/>
      <c r="AI35" s="37"/>
    </row>
    <row r="36" spans="3:44" x14ac:dyDescent="0.2">
      <c r="C36" s="22" t="str">
        <f>"R-SC_Apt"&amp;"_"&amp;RIGHT(E36,3)&amp;"_N1"</f>
        <v>R-SC_Apt_ELC_N1</v>
      </c>
      <c r="D36" s="23" t="s">
        <v>571</v>
      </c>
      <c r="E36" s="92" t="s">
        <v>162</v>
      </c>
      <c r="F36" s="92"/>
      <c r="G36" s="24" t="s">
        <v>140</v>
      </c>
      <c r="H36" s="262"/>
      <c r="I36" s="263"/>
      <c r="J36" s="263"/>
      <c r="K36" s="264"/>
      <c r="L36" s="22">
        <v>1</v>
      </c>
      <c r="M36" s="23">
        <f>JRC_Data!AD16/JRC_Data!$AC$16</f>
        <v>1.0666666666666667</v>
      </c>
      <c r="N36" s="23">
        <f>JRC_Data!AE16/JRC_Data!$AC$16</f>
        <v>1.2333333333333334</v>
      </c>
      <c r="O36" s="59">
        <f>JRC_Data!AF16/JRC_Data!$AC$16</f>
        <v>1.3333333333333333</v>
      </c>
      <c r="P36" s="262"/>
      <c r="Q36" s="263"/>
      <c r="R36" s="263"/>
      <c r="S36" s="264"/>
      <c r="T36" s="55">
        <v>20</v>
      </c>
      <c r="U36" s="51"/>
      <c r="V36" s="22">
        <f>(JRC_Data!BB16/1000)*($U$146/$U$152)</f>
        <v>1.8396671215443359</v>
      </c>
      <c r="W36" s="22">
        <f>(JRC_Data!BC16/1000)*($U$146/$U$152)</f>
        <v>1.756045888746866</v>
      </c>
      <c r="X36" s="22">
        <f>(JRC_Data!BD16/1000)*($U$146/$U$152)</f>
        <v>1.5888034231519261</v>
      </c>
      <c r="Y36" s="22">
        <f>(JRC_Data!BE16/1000)*($U$146/$U$152)</f>
        <v>1.5051821903544564</v>
      </c>
      <c r="Z36" s="88">
        <f>JRC_Data!BL16/1000</f>
        <v>3.4000000000000002E-2</v>
      </c>
      <c r="AA36" s="88"/>
      <c r="AB36" s="88"/>
      <c r="AC36" s="88"/>
      <c r="AD36" s="88"/>
      <c r="AE36" s="88"/>
      <c r="AF36" s="88">
        <f t="shared" ref="AF36:AF37" si="26">31.536*(AI36/1000)</f>
        <v>0.15768000000000001</v>
      </c>
      <c r="AG36" s="91"/>
      <c r="AH36" s="91">
        <v>2019</v>
      </c>
      <c r="AI36" s="91">
        <v>5</v>
      </c>
    </row>
    <row r="37" spans="3:44" ht="15" x14ac:dyDescent="0.25">
      <c r="C37" s="268" t="str">
        <f>"R-SC_Apt"&amp;"_"&amp;RIGHT(E37,3)&amp;"_N2"</f>
        <v>R-SC_Apt_ELC_N2</v>
      </c>
      <c r="D37" s="29" t="s">
        <v>572</v>
      </c>
      <c r="E37" s="30" t="s">
        <v>162</v>
      </c>
      <c r="F37" s="30"/>
      <c r="G37" s="31" t="s">
        <v>140</v>
      </c>
      <c r="H37" s="269"/>
      <c r="I37" s="270"/>
      <c r="J37" s="270"/>
      <c r="K37" s="271"/>
      <c r="L37" s="268">
        <v>1</v>
      </c>
      <c r="M37" s="29">
        <f>JRC_Data!AI26/JRC_Data!$AH$26</f>
        <v>1.0333333333333334</v>
      </c>
      <c r="N37" s="29">
        <f>JRC_Data!AJ26/JRC_Data!$AH$26</f>
        <v>1.1333333333333333</v>
      </c>
      <c r="O37" s="62">
        <f>JRC_Data!AK26/JRC_Data!$AH$26</f>
        <v>1.1666666666666667</v>
      </c>
      <c r="P37" s="269"/>
      <c r="Q37" s="270"/>
      <c r="R37" s="270"/>
      <c r="S37" s="271"/>
      <c r="T37" s="58">
        <v>20</v>
      </c>
      <c r="U37" s="54"/>
      <c r="V37" s="268">
        <f>(JRC_Data!BB26/1000)</f>
        <v>1.875</v>
      </c>
      <c r="W37" s="268">
        <f>(JRC_Data!BC26/1000)</f>
        <v>1.78125</v>
      </c>
      <c r="X37" s="268">
        <f>(JRC_Data!BD26/1000)</f>
        <v>1.59375</v>
      </c>
      <c r="Y37" s="268">
        <f>(JRC_Data!BE26/1000)</f>
        <v>1.5</v>
      </c>
      <c r="Z37" s="66">
        <f>JRC_Data!BL26/1000</f>
        <v>0.29443999999999998</v>
      </c>
      <c r="AA37" s="66"/>
      <c r="AB37" s="66"/>
      <c r="AC37" s="66"/>
      <c r="AD37" s="66"/>
      <c r="AE37" s="66"/>
      <c r="AF37" s="67">
        <f t="shared" si="26"/>
        <v>0.15768000000000001</v>
      </c>
      <c r="AG37" s="70"/>
      <c r="AH37" s="70">
        <v>2019</v>
      </c>
      <c r="AI37" s="70">
        <v>5</v>
      </c>
      <c r="AK37" s="500" t="s">
        <v>696</v>
      </c>
      <c r="AL37" s="501"/>
      <c r="AM37" s="501"/>
      <c r="AN37" s="501"/>
      <c r="AO37" s="501"/>
      <c r="AP37" s="501"/>
      <c r="AQ37" s="501"/>
      <c r="AR37" s="502"/>
    </row>
    <row r="38" spans="3:44" ht="15.75" thickBot="1" x14ac:dyDescent="0.25">
      <c r="AK38" s="132" t="s">
        <v>697</v>
      </c>
      <c r="AL38" s="132" t="s">
        <v>698</v>
      </c>
      <c r="AM38" s="132" t="s">
        <v>699</v>
      </c>
      <c r="AN38" s="132" t="s">
        <v>700</v>
      </c>
      <c r="AO38" s="132" t="s">
        <v>701</v>
      </c>
      <c r="AP38" s="132" t="s">
        <v>702</v>
      </c>
      <c r="AQ38" s="132" t="s">
        <v>703</v>
      </c>
      <c r="AR38" s="132" t="s">
        <v>704</v>
      </c>
    </row>
    <row r="39" spans="3:44" ht="48.75" thickBot="1" x14ac:dyDescent="0.25">
      <c r="AK39" s="503" t="s">
        <v>705</v>
      </c>
      <c r="AL39" s="503" t="s">
        <v>706</v>
      </c>
      <c r="AM39" s="503" t="s">
        <v>707</v>
      </c>
      <c r="AN39" s="504" t="s">
        <v>700</v>
      </c>
      <c r="AO39" s="504" t="s">
        <v>708</v>
      </c>
      <c r="AP39" s="504" t="s">
        <v>709</v>
      </c>
      <c r="AQ39" s="504" t="s">
        <v>710</v>
      </c>
      <c r="AR39" s="504" t="s">
        <v>711</v>
      </c>
    </row>
    <row r="40" spans="3:44" x14ac:dyDescent="0.2">
      <c r="H40" s="8" t="s">
        <v>22</v>
      </c>
      <c r="AK40" s="505" t="str">
        <f>AI40&amp;"NRG"</f>
        <v>NRG</v>
      </c>
      <c r="AL40" s="505" t="s">
        <v>712</v>
      </c>
      <c r="AM40" s="505" t="s">
        <v>713</v>
      </c>
      <c r="AN40" s="506" t="s">
        <v>16</v>
      </c>
      <c r="AO40" s="505" t="s">
        <v>499</v>
      </c>
      <c r="AP40" s="505"/>
      <c r="AQ40" s="505" t="s">
        <v>499</v>
      </c>
      <c r="AR40" s="505" t="s">
        <v>499</v>
      </c>
    </row>
    <row r="41" spans="3:44" ht="45.75" thickBot="1" x14ac:dyDescent="0.25">
      <c r="C41" s="17" t="s">
        <v>24</v>
      </c>
      <c r="D41" s="18" t="s">
        <v>35</v>
      </c>
      <c r="E41" s="17" t="s">
        <v>26</v>
      </c>
      <c r="F41" s="17" t="s">
        <v>609</v>
      </c>
      <c r="G41" s="17" t="s">
        <v>27</v>
      </c>
      <c r="H41" s="20" t="s">
        <v>246</v>
      </c>
      <c r="I41" s="20" t="s">
        <v>247</v>
      </c>
      <c r="J41" s="20" t="s">
        <v>248</v>
      </c>
      <c r="K41" s="20" t="s">
        <v>249</v>
      </c>
      <c r="L41" s="20" t="s">
        <v>250</v>
      </c>
      <c r="M41" s="20" t="s">
        <v>251</v>
      </c>
      <c r="N41" s="20" t="s">
        <v>252</v>
      </c>
      <c r="O41" s="20" t="s">
        <v>253</v>
      </c>
      <c r="P41" s="20" t="s">
        <v>254</v>
      </c>
      <c r="Q41" s="20" t="s">
        <v>255</v>
      </c>
      <c r="R41" s="20" t="s">
        <v>256</v>
      </c>
      <c r="S41" s="20" t="s">
        <v>257</v>
      </c>
      <c r="T41" s="21" t="s">
        <v>29</v>
      </c>
      <c r="U41" s="21" t="s">
        <v>82</v>
      </c>
      <c r="V41" s="20" t="s">
        <v>260</v>
      </c>
      <c r="W41" s="20" t="s">
        <v>94</v>
      </c>
      <c r="X41" s="20" t="s">
        <v>95</v>
      </c>
      <c r="Y41" s="20" t="s">
        <v>96</v>
      </c>
      <c r="Z41" s="20" t="s">
        <v>67</v>
      </c>
      <c r="AA41" s="20" t="s">
        <v>68</v>
      </c>
      <c r="AB41" s="20" t="s">
        <v>329</v>
      </c>
      <c r="AC41" s="20" t="s">
        <v>330</v>
      </c>
      <c r="AD41" s="20" t="s">
        <v>331</v>
      </c>
      <c r="AE41" s="20" t="s">
        <v>262</v>
      </c>
      <c r="AF41" s="20" t="s">
        <v>83</v>
      </c>
      <c r="AG41" s="20" t="s">
        <v>316</v>
      </c>
      <c r="AH41" s="20" t="s">
        <v>84</v>
      </c>
      <c r="AI41" s="20" t="s">
        <v>607</v>
      </c>
    </row>
    <row r="42" spans="3:44" ht="38.25" x14ac:dyDescent="0.2">
      <c r="C42" s="19" t="s">
        <v>85</v>
      </c>
      <c r="D42" s="19" t="s">
        <v>36</v>
      </c>
      <c r="E42" s="19" t="s">
        <v>86</v>
      </c>
      <c r="F42" s="19" t="s">
        <v>610</v>
      </c>
      <c r="G42" s="19" t="s">
        <v>87</v>
      </c>
      <c r="H42" s="537" t="s">
        <v>88</v>
      </c>
      <c r="I42" s="538"/>
      <c r="J42" s="538"/>
      <c r="K42" s="539"/>
      <c r="L42" s="537" t="s">
        <v>89</v>
      </c>
      <c r="M42" s="538"/>
      <c r="N42" s="538"/>
      <c r="O42" s="539"/>
      <c r="P42" s="537" t="s">
        <v>90</v>
      </c>
      <c r="Q42" s="538"/>
      <c r="R42" s="538"/>
      <c r="S42" s="539"/>
      <c r="T42" s="537" t="s">
        <v>91</v>
      </c>
      <c r="U42" s="539"/>
      <c r="V42" s="540" t="s">
        <v>92</v>
      </c>
      <c r="W42" s="541"/>
      <c r="X42" s="541"/>
      <c r="Y42" s="542"/>
      <c r="Z42" s="63"/>
      <c r="AA42" s="63"/>
      <c r="AB42" s="71" t="s">
        <v>223</v>
      </c>
      <c r="AC42" s="74" t="s">
        <v>223</v>
      </c>
      <c r="AD42" s="74" t="s">
        <v>223</v>
      </c>
      <c r="AE42" s="74" t="s">
        <v>261</v>
      </c>
      <c r="AF42" s="63" t="s">
        <v>72</v>
      </c>
      <c r="AG42" s="63" t="s">
        <v>93</v>
      </c>
      <c r="AH42" s="63"/>
      <c r="AI42" s="63"/>
      <c r="AK42" s="13" t="s">
        <v>23</v>
      </c>
      <c r="AL42" s="14"/>
      <c r="AM42" s="14"/>
      <c r="AN42" s="14"/>
      <c r="AO42" s="14"/>
      <c r="AP42" s="14"/>
      <c r="AQ42" s="14"/>
    </row>
    <row r="43" spans="3:44" ht="15.75" thickBot="1" x14ac:dyDescent="0.25">
      <c r="C43" s="17" t="s">
        <v>328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388"/>
      <c r="U43" s="388"/>
      <c r="V43" s="388"/>
      <c r="W43" s="388"/>
      <c r="X43" s="388"/>
      <c r="Y43" s="388"/>
      <c r="Z43" s="388"/>
      <c r="AA43" s="388"/>
      <c r="AB43" s="388"/>
      <c r="AC43" s="388"/>
      <c r="AD43" s="388"/>
      <c r="AE43" s="388"/>
      <c r="AF43" s="388"/>
      <c r="AG43" s="388"/>
      <c r="AH43" s="388"/>
      <c r="AI43" s="388"/>
      <c r="AK43" s="15" t="s">
        <v>30</v>
      </c>
      <c r="AL43" s="15" t="s">
        <v>24</v>
      </c>
      <c r="AM43" s="15" t="s">
        <v>25</v>
      </c>
      <c r="AN43" s="15" t="s">
        <v>31</v>
      </c>
      <c r="AO43" s="15" t="s">
        <v>32</v>
      </c>
      <c r="AP43" s="15" t="s">
        <v>33</v>
      </c>
      <c r="AQ43" s="15" t="s">
        <v>73</v>
      </c>
    </row>
    <row r="44" spans="3:44" ht="33.75" x14ac:dyDescent="0.2">
      <c r="C44" s="40" t="s">
        <v>318</v>
      </c>
      <c r="D44" s="41"/>
      <c r="E44" s="41"/>
      <c r="F44" s="41"/>
      <c r="G44" s="42"/>
      <c r="H44" s="531" t="s">
        <v>37</v>
      </c>
      <c r="I44" s="532"/>
      <c r="J44" s="532"/>
      <c r="K44" s="533"/>
      <c r="L44" s="532" t="s">
        <v>37</v>
      </c>
      <c r="M44" s="532"/>
      <c r="N44" s="532"/>
      <c r="O44" s="533"/>
      <c r="P44" s="531" t="s">
        <v>37</v>
      </c>
      <c r="Q44" s="532"/>
      <c r="R44" s="532"/>
      <c r="S44" s="533"/>
      <c r="T44" s="534" t="s">
        <v>74</v>
      </c>
      <c r="U44" s="535"/>
      <c r="V44" s="534" t="s">
        <v>552</v>
      </c>
      <c r="W44" s="536"/>
      <c r="X44" s="536"/>
      <c r="Y44" s="535"/>
      <c r="Z44" s="389" t="s">
        <v>564</v>
      </c>
      <c r="AA44" s="389" t="s">
        <v>99</v>
      </c>
      <c r="AB44" s="390" t="s">
        <v>37</v>
      </c>
      <c r="AC44" s="389" t="s">
        <v>37</v>
      </c>
      <c r="AD44" s="389" t="s">
        <v>37</v>
      </c>
      <c r="AE44" s="389"/>
      <c r="AF44" s="391" t="s">
        <v>332</v>
      </c>
      <c r="AG44" s="389" t="s">
        <v>37</v>
      </c>
      <c r="AH44" s="389" t="s">
        <v>100</v>
      </c>
      <c r="AI44" s="389" t="s">
        <v>608</v>
      </c>
      <c r="AK44" s="224" t="s">
        <v>75</v>
      </c>
      <c r="AL44" s="224" t="s">
        <v>76</v>
      </c>
      <c r="AM44" s="224" t="s">
        <v>36</v>
      </c>
      <c r="AN44" s="224" t="s">
        <v>77</v>
      </c>
      <c r="AO44" s="224" t="s">
        <v>78</v>
      </c>
      <c r="AP44" s="224" t="s">
        <v>79</v>
      </c>
      <c r="AQ44" s="224" t="s">
        <v>80</v>
      </c>
    </row>
    <row r="45" spans="3:44" ht="15" x14ac:dyDescent="0.25">
      <c r="C45" s="22" t="str">
        <f>"R-SH_Att"&amp;"_"&amp;RIGHT(E45,3)&amp;"_N1"</f>
        <v>R-SH_Att_KER_N1</v>
      </c>
      <c r="D45" s="23" t="s">
        <v>102</v>
      </c>
      <c r="E45" s="92" t="s">
        <v>305</v>
      </c>
      <c r="F45" s="92"/>
      <c r="G45" s="59" t="s">
        <v>148</v>
      </c>
      <c r="H45" s="22">
        <v>1</v>
      </c>
      <c r="I45" s="23">
        <v>1</v>
      </c>
      <c r="J45" s="23">
        <v>1</v>
      </c>
      <c r="K45" s="59">
        <v>1</v>
      </c>
      <c r="L45" s="49"/>
      <c r="M45" s="50"/>
      <c r="N45" s="50"/>
      <c r="O45" s="51"/>
      <c r="P45" s="22"/>
      <c r="Q45" s="23"/>
      <c r="R45" s="23"/>
      <c r="S45" s="59"/>
      <c r="T45" s="57">
        <v>20</v>
      </c>
      <c r="U45" s="44"/>
      <c r="V45" s="395">
        <f>V49*1.3</f>
        <v>4.2250000000000005</v>
      </c>
      <c r="W45" s="395">
        <f t="shared" ref="W45:Y45" si="27">W49*1.3</f>
        <v>4.2250000000000005</v>
      </c>
      <c r="X45" s="395">
        <f t="shared" si="27"/>
        <v>4.2250000000000005</v>
      </c>
      <c r="Y45" s="395">
        <f t="shared" si="27"/>
        <v>4.2250000000000005</v>
      </c>
      <c r="Z45" s="395">
        <v>0.12</v>
      </c>
      <c r="AA45" s="68"/>
      <c r="AB45" s="45"/>
      <c r="AC45" s="75"/>
      <c r="AD45" s="75"/>
      <c r="AE45" s="75"/>
      <c r="AF45" s="65">
        <f t="shared" ref="AF45:AF83" si="28">31.536*(AI45/1000)</f>
        <v>0.63072000000000006</v>
      </c>
      <c r="AG45" s="68"/>
      <c r="AH45" s="68">
        <v>2019</v>
      </c>
      <c r="AI45" s="68">
        <v>20</v>
      </c>
      <c r="AK45" s="109" t="s">
        <v>34</v>
      </c>
      <c r="AL45" s="108" t="str">
        <f t="shared" ref="AL45:AL60" si="29">C45</f>
        <v>R-SH_Att_KER_N1</v>
      </c>
      <c r="AM45" s="108" t="str">
        <f t="shared" ref="AM45:AM60" si="30">D45</f>
        <v>Residential Kerosene Heating Oil - New 1 SH</v>
      </c>
      <c r="AN45" s="109" t="s">
        <v>16</v>
      </c>
      <c r="AO45" s="109" t="s">
        <v>189</v>
      </c>
      <c r="AP45" s="109"/>
      <c r="AQ45" s="109" t="s">
        <v>81</v>
      </c>
    </row>
    <row r="46" spans="3:44" ht="15" x14ac:dyDescent="0.25">
      <c r="C46" s="25" t="str">
        <f>"R-SW_Att"&amp;"_"&amp;RIGHT(E46,3)&amp;"_N1"</f>
        <v>R-SW_Att_KER_N1</v>
      </c>
      <c r="D46" s="26" t="s">
        <v>103</v>
      </c>
      <c r="E46" s="27" t="s">
        <v>305</v>
      </c>
      <c r="F46" s="27"/>
      <c r="G46" s="60" t="s">
        <v>300</v>
      </c>
      <c r="H46" s="25">
        <v>1</v>
      </c>
      <c r="I46" s="26">
        <v>1</v>
      </c>
      <c r="J46" s="26">
        <v>1</v>
      </c>
      <c r="K46" s="60">
        <v>1</v>
      </c>
      <c r="L46" s="47"/>
      <c r="M46" s="35"/>
      <c r="N46" s="35"/>
      <c r="O46" s="48"/>
      <c r="P46" s="25">
        <f>H46*0.7</f>
        <v>0.7</v>
      </c>
      <c r="Q46" s="26">
        <f t="shared" ref="Q46:Q48" si="31">I46*0.7</f>
        <v>0.7</v>
      </c>
      <c r="R46" s="26">
        <f t="shared" ref="R46:R48" si="32">J46*0.7</f>
        <v>0.7</v>
      </c>
      <c r="S46" s="60">
        <f t="shared" ref="S46:S48" si="33">K46*0.7</f>
        <v>0.7</v>
      </c>
      <c r="T46" s="56">
        <v>20</v>
      </c>
      <c r="U46" s="28"/>
      <c r="V46" s="396">
        <f>V50*1.3</f>
        <v>4.2773760330578519</v>
      </c>
      <c r="W46" s="396">
        <f t="shared" ref="W46:Y46" si="34">W50*1.3</f>
        <v>4.2773760330578519</v>
      </c>
      <c r="X46" s="396">
        <f t="shared" si="34"/>
        <v>4.2773760330578519</v>
      </c>
      <c r="Y46" s="396">
        <f t="shared" si="34"/>
        <v>4.2773760330578519</v>
      </c>
      <c r="Z46" s="396">
        <v>0.12</v>
      </c>
      <c r="AA46" s="69"/>
      <c r="AB46" s="47"/>
      <c r="AC46" s="76"/>
      <c r="AD46" s="76"/>
      <c r="AE46" s="76"/>
      <c r="AF46" s="66">
        <f t="shared" si="28"/>
        <v>0.7884000000000001</v>
      </c>
      <c r="AG46" s="69"/>
      <c r="AH46" s="69">
        <v>2019</v>
      </c>
      <c r="AI46" s="69">
        <v>25</v>
      </c>
      <c r="AK46" s="109"/>
      <c r="AL46" s="108" t="str">
        <f t="shared" si="29"/>
        <v>R-SW_Att_KER_N1</v>
      </c>
      <c r="AM46" s="108" t="str">
        <f t="shared" si="30"/>
        <v>Residential Kerosene Heating Oil - New 2 SH + WH</v>
      </c>
      <c r="AN46" s="109" t="s">
        <v>16</v>
      </c>
      <c r="AO46" s="109" t="s">
        <v>189</v>
      </c>
      <c r="AP46" s="109"/>
      <c r="AQ46" s="109" t="s">
        <v>81</v>
      </c>
    </row>
    <row r="47" spans="3:44" ht="15" x14ac:dyDescent="0.25">
      <c r="C47" s="43" t="str">
        <f>"R-SW_Att"&amp;"_"&amp;RIGHT(E47,3)&amp;"_N2"</f>
        <v>R-SW_Att_KER_N2</v>
      </c>
      <c r="D47" s="32" t="s">
        <v>104</v>
      </c>
      <c r="E47" s="33" t="s">
        <v>307</v>
      </c>
      <c r="F47" s="33"/>
      <c r="G47" s="61" t="s">
        <v>300</v>
      </c>
      <c r="H47" s="43">
        <v>1</v>
      </c>
      <c r="I47" s="32">
        <v>1</v>
      </c>
      <c r="J47" s="32">
        <v>1</v>
      </c>
      <c r="K47" s="61">
        <v>1</v>
      </c>
      <c r="L47" s="45"/>
      <c r="M47" s="34"/>
      <c r="N47" s="34"/>
      <c r="O47" s="46"/>
      <c r="P47" s="43">
        <f>H47*0.7</f>
        <v>0.7</v>
      </c>
      <c r="Q47" s="32">
        <f t="shared" si="31"/>
        <v>0.7</v>
      </c>
      <c r="R47" s="32">
        <f t="shared" si="32"/>
        <v>0.7</v>
      </c>
      <c r="S47" s="61">
        <f t="shared" si="33"/>
        <v>0.7</v>
      </c>
      <c r="T47" s="57">
        <v>20</v>
      </c>
      <c r="U47" s="44"/>
      <c r="V47" s="65">
        <f>((JRC_Data!BB7+JRC_Data!BB45)*0.8/1000)*$U$152</f>
        <v>9.0810810810810807</v>
      </c>
      <c r="W47" s="65">
        <f>((JRC_Data!BC7+JRC_Data!BC45)*0.8/1000)*$U$152</f>
        <v>8.8540540540540533</v>
      </c>
      <c r="X47" s="65">
        <f>((JRC_Data!BD7+JRC_Data!BD45)*0.8/1000)*$U$152</f>
        <v>8.4756756756756761</v>
      </c>
      <c r="Y47" s="65">
        <f>((JRC_Data!BE7+JRC_Data!BE45)*0.8/1000)*$U$152</f>
        <v>7.7945945945945949</v>
      </c>
      <c r="Z47" s="61">
        <f>((JRC_Data!BL7+JRC_Data!BL45)*0.8)/1000</f>
        <v>0.2656</v>
      </c>
      <c r="AA47" s="68"/>
      <c r="AB47" s="45">
        <v>0.1</v>
      </c>
      <c r="AC47" s="75"/>
      <c r="AD47" s="75"/>
      <c r="AE47" s="229">
        <v>5</v>
      </c>
      <c r="AF47" s="65">
        <f t="shared" si="28"/>
        <v>0.7884000000000001</v>
      </c>
      <c r="AG47" s="68"/>
      <c r="AH47" s="68">
        <v>2019</v>
      </c>
      <c r="AI47" s="68">
        <v>25</v>
      </c>
      <c r="AK47" s="109"/>
      <c r="AL47" s="108" t="str">
        <f t="shared" si="29"/>
        <v>R-SW_Att_KER_N2</v>
      </c>
      <c r="AM47" s="108" t="str">
        <f t="shared" si="30"/>
        <v>Residential Kerosene Heating Oil - New 3 SH+WH + Solar</v>
      </c>
      <c r="AN47" s="109" t="s">
        <v>16</v>
      </c>
      <c r="AO47" s="109" t="s">
        <v>189</v>
      </c>
      <c r="AP47" s="109"/>
      <c r="AQ47" s="109" t="s">
        <v>81</v>
      </c>
    </row>
    <row r="48" spans="3:44" ht="15" x14ac:dyDescent="0.25">
      <c r="C48" s="25" t="str">
        <f>"R-SW_Att"&amp;"_"&amp;RIGHT(E48,3)&amp;"_N3"</f>
        <v>R-SW_Att_KER_N3</v>
      </c>
      <c r="D48" s="26" t="s">
        <v>108</v>
      </c>
      <c r="E48" s="27" t="s">
        <v>308</v>
      </c>
      <c r="F48" s="27"/>
      <c r="G48" s="60" t="s">
        <v>300</v>
      </c>
      <c r="H48" s="25">
        <v>1</v>
      </c>
      <c r="I48" s="26">
        <v>1.0249999999999999</v>
      </c>
      <c r="J48" s="26">
        <v>1.0249999999999999</v>
      </c>
      <c r="K48" s="60">
        <v>1.0249999999999999</v>
      </c>
      <c r="L48" s="47"/>
      <c r="M48" s="35"/>
      <c r="N48" s="35"/>
      <c r="O48" s="48"/>
      <c r="P48" s="25">
        <f>H48*0.7</f>
        <v>0.7</v>
      </c>
      <c r="Q48" s="26">
        <f t="shared" si="31"/>
        <v>0.71749999999999992</v>
      </c>
      <c r="R48" s="26">
        <f t="shared" si="32"/>
        <v>0.71749999999999992</v>
      </c>
      <c r="S48" s="60">
        <f t="shared" si="33"/>
        <v>0.71749999999999992</v>
      </c>
      <c r="T48" s="56">
        <v>20</v>
      </c>
      <c r="U48" s="28"/>
      <c r="V48" s="66">
        <f>((JRC_Data!BB7+JRC_Data!BB11)*0.8/1000)*$U$152</f>
        <v>10.102702702702702</v>
      </c>
      <c r="W48" s="66">
        <f>((JRC_Data!BC7+JRC_Data!BC11)*0.8/1000)*$U$152</f>
        <v>10.102702702702702</v>
      </c>
      <c r="X48" s="66">
        <f>((JRC_Data!BD7+JRC_Data!BD11)*0.8/1000)*$U$152</f>
        <v>10.670270270270269</v>
      </c>
      <c r="Y48" s="66">
        <f>((JRC_Data!BE7+JRC_Data!BE11)*0.8/1000)*$U$152</f>
        <v>10.670270270270269</v>
      </c>
      <c r="Z48" s="61">
        <f>((JRC_Data!BL7+JRC_Data!BL11)*0.8)/1000</f>
        <v>0.23680000000000001</v>
      </c>
      <c r="AA48" s="69"/>
      <c r="AB48" s="47"/>
      <c r="AC48" s="76">
        <v>0.47</v>
      </c>
      <c r="AD48" s="76"/>
      <c r="AE48" s="69">
        <v>5</v>
      </c>
      <c r="AF48" s="66">
        <f>31.536*(AI48/1000)</f>
        <v>0.7884000000000001</v>
      </c>
      <c r="AG48" s="69"/>
      <c r="AH48" s="69">
        <v>2019</v>
      </c>
      <c r="AI48" s="69">
        <v>25</v>
      </c>
      <c r="AK48" s="109"/>
      <c r="AL48" s="108" t="str">
        <f t="shared" si="29"/>
        <v>R-SW_Att_KER_N3</v>
      </c>
      <c r="AM48" s="108" t="str">
        <f t="shared" si="30"/>
        <v>Residential Kerosene Heating Oil - New 3 SH+WH + Wood Stove</v>
      </c>
      <c r="AN48" s="110" t="s">
        <v>16</v>
      </c>
      <c r="AO48" s="110" t="s">
        <v>189</v>
      </c>
      <c r="AP48" s="109"/>
      <c r="AQ48" s="109"/>
    </row>
    <row r="49" spans="3:43" ht="15" x14ac:dyDescent="0.25">
      <c r="C49" s="43" t="str">
        <f>"R-SH_Att"&amp;"_"&amp;RIGHT(E49,3)&amp;"_N1"</f>
        <v>R-SH_Att_GAS_N1</v>
      </c>
      <c r="D49" s="32" t="s">
        <v>101</v>
      </c>
      <c r="E49" s="33" t="s">
        <v>310</v>
      </c>
      <c r="F49" s="33"/>
      <c r="G49" s="61" t="s">
        <v>148</v>
      </c>
      <c r="H49" s="43">
        <v>1</v>
      </c>
      <c r="I49" s="32">
        <v>1</v>
      </c>
      <c r="J49" s="32">
        <v>1</v>
      </c>
      <c r="K49" s="61">
        <v>1</v>
      </c>
      <c r="L49" s="45"/>
      <c r="M49" s="34"/>
      <c r="N49" s="34"/>
      <c r="O49" s="46"/>
      <c r="P49" s="43"/>
      <c r="Q49" s="32"/>
      <c r="R49" s="32"/>
      <c r="S49" s="61"/>
      <c r="T49" s="57">
        <v>20</v>
      </c>
      <c r="U49" s="44"/>
      <c r="V49" s="395">
        <f>3.25</f>
        <v>3.25</v>
      </c>
      <c r="W49" s="395">
        <f t="shared" ref="W49:Y49" si="35">3.25</f>
        <v>3.25</v>
      </c>
      <c r="X49" s="395">
        <f t="shared" si="35"/>
        <v>3.25</v>
      </c>
      <c r="Y49" s="395">
        <f t="shared" si="35"/>
        <v>3.25</v>
      </c>
      <c r="Z49" s="395">
        <v>0.12</v>
      </c>
      <c r="AA49" s="68"/>
      <c r="AB49" s="45"/>
      <c r="AC49" s="75"/>
      <c r="AD49" s="75"/>
      <c r="AE49" s="75"/>
      <c r="AF49" s="65">
        <f t="shared" si="28"/>
        <v>0.63072000000000006</v>
      </c>
      <c r="AG49" s="68"/>
      <c r="AH49" s="68">
        <v>2019</v>
      </c>
      <c r="AI49" s="68">
        <v>20</v>
      </c>
      <c r="AK49" s="109"/>
      <c r="AL49" s="108" t="str">
        <f t="shared" si="29"/>
        <v>R-SH_Att_GAS_N1</v>
      </c>
      <c r="AM49" s="108" t="str">
        <f t="shared" si="30"/>
        <v>Residential Natural Gas Heating - New 1 SH</v>
      </c>
      <c r="AN49" s="109" t="s">
        <v>16</v>
      </c>
      <c r="AO49" s="109" t="s">
        <v>189</v>
      </c>
      <c r="AP49" s="109"/>
      <c r="AQ49" s="109" t="s">
        <v>81</v>
      </c>
    </row>
    <row r="50" spans="3:43" ht="15" x14ac:dyDescent="0.25">
      <c r="C50" s="25" t="str">
        <f>"R-SW_Att"&amp;"_"&amp;RIGHT(E50,3)&amp;"_N1"</f>
        <v>R-SW_Att_GAS_N1</v>
      </c>
      <c r="D50" s="26" t="s">
        <v>105</v>
      </c>
      <c r="E50" s="27" t="s">
        <v>310</v>
      </c>
      <c r="F50" s="27"/>
      <c r="G50" s="60" t="s">
        <v>300</v>
      </c>
      <c r="H50" s="25">
        <v>1</v>
      </c>
      <c r="I50" s="26">
        <v>1</v>
      </c>
      <c r="J50" s="26">
        <v>1</v>
      </c>
      <c r="K50" s="60">
        <v>1</v>
      </c>
      <c r="L50" s="47"/>
      <c r="M50" s="35"/>
      <c r="N50" s="35"/>
      <c r="O50" s="48"/>
      <c r="P50" s="25">
        <f>H50*0.7</f>
        <v>0.7</v>
      </c>
      <c r="Q50" s="26">
        <f t="shared" ref="Q50:Q52" si="36">I50*0.7</f>
        <v>0.7</v>
      </c>
      <c r="R50" s="26">
        <f t="shared" ref="R50:R52" si="37">J50*0.7</f>
        <v>0.7</v>
      </c>
      <c r="S50" s="60">
        <f t="shared" ref="S50:S52" si="38">K50*0.7</f>
        <v>0.7</v>
      </c>
      <c r="T50" s="56">
        <v>20</v>
      </c>
      <c r="U50" s="28"/>
      <c r="V50" s="396">
        <f>V49*($U$152/$U$151)</f>
        <v>3.2902892561983474</v>
      </c>
      <c r="W50" s="396">
        <f>W49*($U$152/$U$151)</f>
        <v>3.2902892561983474</v>
      </c>
      <c r="X50" s="396">
        <f>X49*($U$152/$U$151)</f>
        <v>3.2902892561983474</v>
      </c>
      <c r="Y50" s="396">
        <f>Y49*($U$152/$U$151)</f>
        <v>3.2902892561983474</v>
      </c>
      <c r="Z50" s="396">
        <v>0.12</v>
      </c>
      <c r="AA50" s="69"/>
      <c r="AB50" s="47"/>
      <c r="AC50" s="76"/>
      <c r="AD50" s="76"/>
      <c r="AE50" s="76"/>
      <c r="AF50" s="66">
        <f t="shared" si="28"/>
        <v>0.7884000000000001</v>
      </c>
      <c r="AG50" s="69"/>
      <c r="AH50" s="69">
        <v>2019</v>
      </c>
      <c r="AI50" s="69">
        <v>25</v>
      </c>
      <c r="AK50" s="109"/>
      <c r="AL50" s="108" t="str">
        <f t="shared" si="29"/>
        <v>R-SW_Att_GAS_N1</v>
      </c>
      <c r="AM50" s="108" t="str">
        <f t="shared" si="30"/>
        <v>Residential Natural Gas Heating - New 2 SH + WH</v>
      </c>
      <c r="AN50" s="109" t="s">
        <v>16</v>
      </c>
      <c r="AO50" s="109" t="s">
        <v>189</v>
      </c>
      <c r="AP50" s="109"/>
      <c r="AQ50" s="109" t="s">
        <v>81</v>
      </c>
    </row>
    <row r="51" spans="3:43" ht="15" x14ac:dyDescent="0.25">
      <c r="C51" s="43" t="str">
        <f>"R-SW_Att"&amp;"_"&amp;RIGHT(E51,3)&amp;"_N2"</f>
        <v>R-SW_Att_GAS_N2</v>
      </c>
      <c r="D51" s="32" t="s">
        <v>106</v>
      </c>
      <c r="E51" s="33" t="s">
        <v>311</v>
      </c>
      <c r="F51" s="33"/>
      <c r="G51" s="61" t="s">
        <v>300</v>
      </c>
      <c r="H51" s="43">
        <v>1</v>
      </c>
      <c r="I51" s="32">
        <v>1</v>
      </c>
      <c r="J51" s="32">
        <v>1</v>
      </c>
      <c r="K51" s="61">
        <v>1</v>
      </c>
      <c r="L51" s="45"/>
      <c r="M51" s="34"/>
      <c r="N51" s="34"/>
      <c r="O51" s="46"/>
      <c r="P51" s="43">
        <f>H51*0.7</f>
        <v>0.7</v>
      </c>
      <c r="Q51" s="32">
        <f t="shared" si="36"/>
        <v>0.7</v>
      </c>
      <c r="R51" s="32">
        <f t="shared" si="37"/>
        <v>0.7</v>
      </c>
      <c r="S51" s="61">
        <f t="shared" si="38"/>
        <v>0.7</v>
      </c>
      <c r="T51" s="57">
        <v>20</v>
      </c>
      <c r="U51" s="44"/>
      <c r="V51" s="395">
        <v>12.75</v>
      </c>
      <c r="W51" s="395">
        <f>V51*0.9685</f>
        <v>12.348375000000001</v>
      </c>
      <c r="X51" s="395">
        <f>V51*0.916</f>
        <v>11.679</v>
      </c>
      <c r="Y51" s="395">
        <f>V51*0.812</f>
        <v>10.353000000000002</v>
      </c>
      <c r="Z51" s="395">
        <v>0.19</v>
      </c>
      <c r="AA51" s="68"/>
      <c r="AB51" s="45">
        <v>0.1</v>
      </c>
      <c r="AC51" s="75"/>
      <c r="AD51" s="75"/>
      <c r="AE51" s="229">
        <v>5</v>
      </c>
      <c r="AF51" s="65">
        <f t="shared" si="28"/>
        <v>0.7884000000000001</v>
      </c>
      <c r="AG51" s="68"/>
      <c r="AH51" s="68">
        <v>2019</v>
      </c>
      <c r="AI51" s="68">
        <v>25</v>
      </c>
      <c r="AK51" s="109"/>
      <c r="AL51" s="108" t="str">
        <f t="shared" si="29"/>
        <v>R-SW_Att_GAS_N2</v>
      </c>
      <c r="AM51" s="108" t="str">
        <f t="shared" si="30"/>
        <v>Residential Natural Gas Heating - New 3 SH + WH + Solar</v>
      </c>
      <c r="AN51" s="109" t="s">
        <v>16</v>
      </c>
      <c r="AO51" s="109" t="s">
        <v>189</v>
      </c>
      <c r="AP51" s="109"/>
      <c r="AQ51" s="109" t="s">
        <v>81</v>
      </c>
    </row>
    <row r="52" spans="3:43" ht="15" x14ac:dyDescent="0.25">
      <c r="C52" s="25" t="str">
        <f>"R-SW_Att"&amp;"_"&amp;RIGHT(E52,3)&amp;"_N3"</f>
        <v>R-SW_Att_GAS_N3</v>
      </c>
      <c r="D52" s="26" t="s">
        <v>107</v>
      </c>
      <c r="E52" s="27" t="s">
        <v>312</v>
      </c>
      <c r="F52" s="27"/>
      <c r="G52" s="60" t="s">
        <v>300</v>
      </c>
      <c r="H52" s="25">
        <v>1</v>
      </c>
      <c r="I52" s="26">
        <v>1.0249999999999999</v>
      </c>
      <c r="J52" s="26">
        <v>1.0249999999999999</v>
      </c>
      <c r="K52" s="60">
        <v>1.0249999999999999</v>
      </c>
      <c r="L52" s="47"/>
      <c r="M52" s="35"/>
      <c r="N52" s="35"/>
      <c r="O52" s="48"/>
      <c r="P52" s="25">
        <f>H52*0.7</f>
        <v>0.7</v>
      </c>
      <c r="Q52" s="26">
        <f t="shared" si="36"/>
        <v>0.71749999999999992</v>
      </c>
      <c r="R52" s="26">
        <f t="shared" si="37"/>
        <v>0.71749999999999992</v>
      </c>
      <c r="S52" s="60">
        <f t="shared" si="38"/>
        <v>0.71749999999999992</v>
      </c>
      <c r="T52" s="56">
        <v>20</v>
      </c>
      <c r="U52" s="28"/>
      <c r="V52" s="66">
        <f>((JRC_Data!BB9+JRC_Data!BB11)*0.8/1000)*($U$152/$U$151)</f>
        <v>8.7066115702479348</v>
      </c>
      <c r="W52" s="66">
        <f>((JRC_Data!BC9+JRC_Data!BC11)*0.8/1000)*($U$152/$U$151)</f>
        <v>8.7066115702479348</v>
      </c>
      <c r="X52" s="66">
        <f>((JRC_Data!BD9+JRC_Data!BD11)*0.8/1000)*($U$152/$U$151)</f>
        <v>9.3140495867768589</v>
      </c>
      <c r="Y52" s="66">
        <f>((JRC_Data!BE9+JRC_Data!BE11)*0.8/1000)*($U$152/$U$151)</f>
        <v>9.3140495867768589</v>
      </c>
      <c r="Z52" s="61">
        <f>((JRC_Data!BL9+JRC_Data!BL11)*0.8)/1000</f>
        <v>0.20880000000000001</v>
      </c>
      <c r="AA52" s="69"/>
      <c r="AB52" s="47"/>
      <c r="AC52" s="76">
        <v>0.47</v>
      </c>
      <c r="AD52" s="76"/>
      <c r="AE52" s="69">
        <v>5</v>
      </c>
      <c r="AF52" s="66">
        <f t="shared" si="28"/>
        <v>0.7884000000000001</v>
      </c>
      <c r="AG52" s="69"/>
      <c r="AH52" s="69">
        <v>2019</v>
      </c>
      <c r="AI52" s="69">
        <v>25</v>
      </c>
      <c r="AK52" s="109"/>
      <c r="AL52" s="108" t="str">
        <f t="shared" si="29"/>
        <v>R-SW_Att_GAS_N3</v>
      </c>
      <c r="AM52" s="108" t="str">
        <f t="shared" si="30"/>
        <v>Residential Natural Gas Heating - New 4 SH + WH + Wood Stove</v>
      </c>
      <c r="AN52" s="109" t="s">
        <v>16</v>
      </c>
      <c r="AO52" s="109" t="s">
        <v>189</v>
      </c>
      <c r="AP52" s="109"/>
      <c r="AQ52" s="109" t="s">
        <v>81</v>
      </c>
    </row>
    <row r="53" spans="3:43" ht="15" x14ac:dyDescent="0.25">
      <c r="C53" s="43" t="str">
        <f>"R-SH_Att"&amp;"_"&amp;RIGHT(E53,3)&amp;"_N1"</f>
        <v>R-SH_Att_LPG_N1</v>
      </c>
      <c r="D53" s="32" t="s">
        <v>109</v>
      </c>
      <c r="E53" s="33" t="s">
        <v>306</v>
      </c>
      <c r="F53" s="33"/>
      <c r="G53" s="61" t="s">
        <v>148</v>
      </c>
      <c r="H53" s="43">
        <v>1</v>
      </c>
      <c r="I53" s="32">
        <v>1</v>
      </c>
      <c r="J53" s="32">
        <v>1</v>
      </c>
      <c r="K53" s="61">
        <v>1</v>
      </c>
      <c r="L53" s="45"/>
      <c r="M53" s="34"/>
      <c r="N53" s="34"/>
      <c r="O53" s="46"/>
      <c r="P53" s="43"/>
      <c r="Q53" s="32"/>
      <c r="R53" s="32"/>
      <c r="S53" s="61"/>
      <c r="T53" s="57">
        <v>20</v>
      </c>
      <c r="U53" s="44"/>
      <c r="V53" s="395">
        <f>SUM(V49+0.25)</f>
        <v>3.5</v>
      </c>
      <c r="W53" s="395">
        <f t="shared" ref="W53:Y53" si="39">SUM(W49+0.25)</f>
        <v>3.5</v>
      </c>
      <c r="X53" s="395">
        <f t="shared" si="39"/>
        <v>3.5</v>
      </c>
      <c r="Y53" s="395">
        <f t="shared" si="39"/>
        <v>3.5</v>
      </c>
      <c r="Z53" s="395">
        <f>SUM(0.12+0.15)</f>
        <v>0.27</v>
      </c>
      <c r="AA53" s="68"/>
      <c r="AB53" s="45"/>
      <c r="AC53" s="75"/>
      <c r="AD53" s="75"/>
      <c r="AE53" s="75"/>
      <c r="AF53" s="65">
        <f t="shared" si="28"/>
        <v>0.63072000000000006</v>
      </c>
      <c r="AG53" s="68"/>
      <c r="AH53" s="68">
        <v>2019</v>
      </c>
      <c r="AI53" s="68">
        <v>20</v>
      </c>
      <c r="AK53" s="109"/>
      <c r="AL53" s="108" t="str">
        <f t="shared" si="29"/>
        <v>R-SH_Att_LPG_N1</v>
      </c>
      <c r="AM53" s="108" t="str">
        <f t="shared" si="30"/>
        <v>Residential Liquid Petroleum Gas- New 1 SH</v>
      </c>
      <c r="AN53" s="109" t="s">
        <v>16</v>
      </c>
      <c r="AO53" s="109" t="s">
        <v>189</v>
      </c>
      <c r="AP53" s="109"/>
      <c r="AQ53" s="109" t="s">
        <v>81</v>
      </c>
    </row>
    <row r="54" spans="3:43" ht="15" x14ac:dyDescent="0.25">
      <c r="C54" s="25" t="str">
        <f>"R-SW_Att"&amp;"_"&amp;RIGHT(E54,3)&amp;"_N1"</f>
        <v>R-SW_Att_LPG_N1</v>
      </c>
      <c r="D54" s="26" t="s">
        <v>110</v>
      </c>
      <c r="E54" s="27" t="s">
        <v>306</v>
      </c>
      <c r="F54" s="27"/>
      <c r="G54" s="60" t="s">
        <v>300</v>
      </c>
      <c r="H54" s="25">
        <v>1</v>
      </c>
      <c r="I54" s="26">
        <v>1</v>
      </c>
      <c r="J54" s="26">
        <v>1</v>
      </c>
      <c r="K54" s="60">
        <v>1</v>
      </c>
      <c r="L54" s="47"/>
      <c r="M54" s="35"/>
      <c r="N54" s="35"/>
      <c r="O54" s="48"/>
      <c r="P54" s="25">
        <f>H54*0.7</f>
        <v>0.7</v>
      </c>
      <c r="Q54" s="26">
        <f t="shared" ref="Q54" si="40">I54*0.7</f>
        <v>0.7</v>
      </c>
      <c r="R54" s="26">
        <f t="shared" ref="R54" si="41">J54*0.7</f>
        <v>0.7</v>
      </c>
      <c r="S54" s="60">
        <f t="shared" ref="S54" si="42">K54*0.7</f>
        <v>0.7</v>
      </c>
      <c r="T54" s="56">
        <v>20</v>
      </c>
      <c r="U54" s="28"/>
      <c r="V54" s="396">
        <f>V49*($U$152/$U$151)+0.25</f>
        <v>3.5402892561983474</v>
      </c>
      <c r="W54" s="396">
        <f t="shared" ref="W54:Y54" si="43">W49*($U$152/$U$151)+0.25</f>
        <v>3.5402892561983474</v>
      </c>
      <c r="X54" s="396">
        <f t="shared" si="43"/>
        <v>3.5402892561983474</v>
      </c>
      <c r="Y54" s="396">
        <f t="shared" si="43"/>
        <v>3.5402892561983474</v>
      </c>
      <c r="Z54" s="395">
        <f>SUM(0.12+0.15)</f>
        <v>0.27</v>
      </c>
      <c r="AA54" s="69"/>
      <c r="AB54" s="47"/>
      <c r="AC54" s="76"/>
      <c r="AD54" s="76"/>
      <c r="AE54" s="76"/>
      <c r="AF54" s="66">
        <f t="shared" si="28"/>
        <v>0.7884000000000001</v>
      </c>
      <c r="AG54" s="69"/>
      <c r="AH54" s="69">
        <v>2019</v>
      </c>
      <c r="AI54" s="69">
        <v>25</v>
      </c>
      <c r="AK54" s="109"/>
      <c r="AL54" s="108" t="str">
        <f t="shared" si="29"/>
        <v>R-SW_Att_LPG_N1</v>
      </c>
      <c r="AM54" s="108" t="str">
        <f t="shared" si="30"/>
        <v>Residential Liquid Petroleum Gas- New 2 SH + WH</v>
      </c>
      <c r="AN54" s="109" t="s">
        <v>16</v>
      </c>
      <c r="AO54" s="109" t="s">
        <v>189</v>
      </c>
      <c r="AP54" s="109"/>
      <c r="AQ54" s="109" t="s">
        <v>81</v>
      </c>
    </row>
    <row r="55" spans="3:43" ht="15" x14ac:dyDescent="0.25">
      <c r="C55" s="43" t="str">
        <f>"R-SH_Att"&amp;"_"&amp;RIGHT(E55,3)&amp;"_N1"</f>
        <v>R-SH_Att_WOO_N1</v>
      </c>
      <c r="D55" s="32" t="s">
        <v>111</v>
      </c>
      <c r="E55" s="33" t="s">
        <v>309</v>
      </c>
      <c r="F55" s="33"/>
      <c r="G55" s="61" t="s">
        <v>148</v>
      </c>
      <c r="H55" s="43">
        <v>1</v>
      </c>
      <c r="I55" s="32">
        <v>1</v>
      </c>
      <c r="J55" s="32">
        <v>1</v>
      </c>
      <c r="K55" s="61">
        <v>1</v>
      </c>
      <c r="L55" s="45"/>
      <c r="M55" s="34"/>
      <c r="N55" s="34"/>
      <c r="O55" s="46"/>
      <c r="P55" s="43"/>
      <c r="Q55" s="32"/>
      <c r="R55" s="32"/>
      <c r="S55" s="61"/>
      <c r="T55" s="57">
        <v>20</v>
      </c>
      <c r="U55" s="44"/>
      <c r="V55" s="395">
        <v>20.48</v>
      </c>
      <c r="W55" s="395">
        <f>V55*0.96777</f>
        <v>19.819929600000002</v>
      </c>
      <c r="X55" s="395">
        <f>V55*0.914844</f>
        <v>18.736005120000002</v>
      </c>
      <c r="Y55" s="395">
        <f>V55*0.8181</f>
        <v>16.754688000000002</v>
      </c>
      <c r="Z55" s="395">
        <v>0.25</v>
      </c>
      <c r="AA55" s="68"/>
      <c r="AB55" s="43"/>
      <c r="AC55" s="75"/>
      <c r="AD55" s="75"/>
      <c r="AE55" s="75"/>
      <c r="AF55" s="65">
        <f t="shared" si="28"/>
        <v>0.63072000000000006</v>
      </c>
      <c r="AG55" s="68"/>
      <c r="AH55" s="68">
        <v>2019</v>
      </c>
      <c r="AI55" s="68">
        <v>20</v>
      </c>
      <c r="AK55" s="109"/>
      <c r="AL55" s="108" t="str">
        <f t="shared" si="29"/>
        <v>R-SH_Att_WOO_N1</v>
      </c>
      <c r="AM55" s="108" t="str">
        <f t="shared" si="30"/>
        <v>Residential Biomass Boiler - New 1 SH</v>
      </c>
      <c r="AN55" s="109" t="s">
        <v>16</v>
      </c>
      <c r="AO55" s="109" t="s">
        <v>189</v>
      </c>
      <c r="AP55" s="109"/>
      <c r="AQ55" s="109" t="s">
        <v>81</v>
      </c>
    </row>
    <row r="56" spans="3:43" ht="15.75" thickBot="1" x14ac:dyDescent="0.3">
      <c r="C56" s="25" t="str">
        <f>"R-SW_Att"&amp;"_"&amp;RIGHT(E56,3)&amp;"_N1"</f>
        <v>R-SW_Att_WOO_N1</v>
      </c>
      <c r="D56" s="26" t="s">
        <v>112</v>
      </c>
      <c r="E56" s="27" t="s">
        <v>309</v>
      </c>
      <c r="F56" s="27"/>
      <c r="G56" s="60" t="s">
        <v>300</v>
      </c>
      <c r="H56" s="25">
        <v>1</v>
      </c>
      <c r="I56" s="26">
        <v>1</v>
      </c>
      <c r="J56" s="26">
        <v>1</v>
      </c>
      <c r="K56" s="60">
        <v>1</v>
      </c>
      <c r="L56" s="47"/>
      <c r="M56" s="35"/>
      <c r="N56" s="35"/>
      <c r="O56" s="48"/>
      <c r="P56" s="25">
        <f t="shared" ref="P56:S60" si="44">H56*0.7</f>
        <v>0.7</v>
      </c>
      <c r="Q56" s="26">
        <f t="shared" si="44"/>
        <v>0.7</v>
      </c>
      <c r="R56" s="26">
        <f t="shared" si="44"/>
        <v>0.7</v>
      </c>
      <c r="S56" s="60">
        <f t="shared" si="44"/>
        <v>0.7</v>
      </c>
      <c r="T56" s="56">
        <v>20</v>
      </c>
      <c r="U56" s="28"/>
      <c r="V56" s="396">
        <f>V55*($U$152/$U$151)</f>
        <v>20.733884297520664</v>
      </c>
      <c r="W56" s="396">
        <f>W55*($U$152/$U$151)</f>
        <v>20.065631206611574</v>
      </c>
      <c r="X56" s="396">
        <f>X55*($U$152/$U$151)</f>
        <v>18.968269646280994</v>
      </c>
      <c r="Y56" s="396">
        <f>Y55*($U$152/$U$151)</f>
        <v>16.962390743801656</v>
      </c>
      <c r="Z56" s="396">
        <v>0.25</v>
      </c>
      <c r="AA56" s="69"/>
      <c r="AB56" s="47"/>
      <c r="AC56" s="76"/>
      <c r="AD56" s="76"/>
      <c r="AE56" s="76"/>
      <c r="AF56" s="66">
        <f t="shared" si="28"/>
        <v>0.7884000000000001</v>
      </c>
      <c r="AG56" s="69"/>
      <c r="AH56" s="69">
        <v>2019</v>
      </c>
      <c r="AI56" s="69">
        <v>25</v>
      </c>
      <c r="AK56" s="112"/>
      <c r="AL56" s="111" t="str">
        <f t="shared" si="29"/>
        <v>R-SW_Att_WOO_N1</v>
      </c>
      <c r="AM56" s="111" t="str">
        <f t="shared" si="30"/>
        <v>Residential Biomass Boiler - New 2 SH + WH</v>
      </c>
      <c r="AN56" s="112" t="s">
        <v>16</v>
      </c>
      <c r="AO56" s="112" t="s">
        <v>189</v>
      </c>
      <c r="AP56" s="112"/>
      <c r="AQ56" s="112" t="s">
        <v>81</v>
      </c>
    </row>
    <row r="57" spans="3:43" ht="15.75" thickBot="1" x14ac:dyDescent="0.3">
      <c r="C57" s="43" t="str">
        <f>"R-SH_Att"&amp;"_"&amp;"FPL"&amp;"_N1"</f>
        <v>R-SH_Att_FPL_N1</v>
      </c>
      <c r="D57" s="32" t="s">
        <v>616</v>
      </c>
      <c r="E57" s="33" t="s">
        <v>613</v>
      </c>
      <c r="F57" s="33"/>
      <c r="G57" s="61" t="s">
        <v>148</v>
      </c>
      <c r="H57" s="43">
        <v>0.55000000000000004</v>
      </c>
      <c r="I57" s="43">
        <v>0.55000000000000004</v>
      </c>
      <c r="J57" s="43">
        <v>0.55000000000000004</v>
      </c>
      <c r="K57" s="43">
        <v>0.55000000000000004</v>
      </c>
      <c r="L57" s="47"/>
      <c r="M57" s="35"/>
      <c r="N57" s="35"/>
      <c r="O57" s="48"/>
      <c r="P57" s="25"/>
      <c r="Q57" s="26"/>
      <c r="R57" s="26"/>
      <c r="S57" s="60"/>
      <c r="T57" s="57">
        <v>20</v>
      </c>
      <c r="U57" s="28"/>
      <c r="V57" s="396">
        <f>((JRC_Data!BB13)/1000)*$U$151</f>
        <v>2.4293436293436295</v>
      </c>
      <c r="W57" s="396">
        <f>((JRC_Data!BC13)/1000)*$U$151</f>
        <v>2.4293436293436295</v>
      </c>
      <c r="X57" s="396">
        <f>((JRC_Data!BD13)/1000)*$U$151</f>
        <v>3.2702702702702702</v>
      </c>
      <c r="Y57" s="396">
        <f>((JRC_Data!BE13)/1000)*$U$151</f>
        <v>3.2702702702702702</v>
      </c>
      <c r="Z57" s="396">
        <v>0.12</v>
      </c>
      <c r="AA57" s="69"/>
      <c r="AB57" s="47"/>
      <c r="AC57" s="76"/>
      <c r="AD57" s="76"/>
      <c r="AE57" s="76"/>
      <c r="AF57" s="66">
        <f t="shared" si="28"/>
        <v>0.63072000000000006</v>
      </c>
      <c r="AG57" s="69"/>
      <c r="AH57" s="68">
        <v>2019</v>
      </c>
      <c r="AI57" s="69">
        <v>20</v>
      </c>
      <c r="AK57" s="112"/>
      <c r="AL57" s="111" t="s">
        <v>614</v>
      </c>
      <c r="AM57" s="111" t="str">
        <f t="shared" si="30"/>
        <v>Residential  Stove New 1 - SH</v>
      </c>
      <c r="AN57" s="109" t="s">
        <v>16</v>
      </c>
      <c r="AO57" s="109" t="s">
        <v>189</v>
      </c>
      <c r="AP57" s="112"/>
      <c r="AQ57" s="112"/>
    </row>
    <row r="58" spans="3:43" ht="15.75" thickBot="1" x14ac:dyDescent="0.3">
      <c r="C58" s="25" t="str">
        <f>"R-SW_Att"&amp;"_"&amp;"FPL"&amp;"_N1"</f>
        <v>R-SW_Att_FPL_N1</v>
      </c>
      <c r="D58" s="26" t="s">
        <v>617</v>
      </c>
      <c r="E58" s="27" t="s">
        <v>613</v>
      </c>
      <c r="F58" s="27"/>
      <c r="G58" s="60" t="s">
        <v>300</v>
      </c>
      <c r="H58" s="43">
        <v>0.55000000000000004</v>
      </c>
      <c r="I58" s="43">
        <v>0.55000000000000004</v>
      </c>
      <c r="J58" s="43">
        <v>0.55000000000000004</v>
      </c>
      <c r="K58" s="43">
        <v>0.55000000000000004</v>
      </c>
      <c r="L58" s="47"/>
      <c r="M58" s="35"/>
      <c r="N58" s="35"/>
      <c r="O58" s="48"/>
      <c r="P58" s="25">
        <f t="shared" ref="P58" si="45">H58*0.7</f>
        <v>0.38500000000000001</v>
      </c>
      <c r="Q58" s="26">
        <f t="shared" ref="Q58" si="46">I58*0.7</f>
        <v>0.38500000000000001</v>
      </c>
      <c r="R58" s="26">
        <f t="shared" ref="R58" si="47">J58*0.7</f>
        <v>0.38500000000000001</v>
      </c>
      <c r="S58" s="60">
        <f t="shared" ref="S58" si="48">K58*0.7</f>
        <v>0.38500000000000001</v>
      </c>
      <c r="T58" s="56">
        <v>20</v>
      </c>
      <c r="U58" s="28"/>
      <c r="V58" s="396">
        <f>((JRC_Data!BB13)/1000)*$U$152</f>
        <v>2.4594594594594597</v>
      </c>
      <c r="W58" s="396">
        <f>((JRC_Data!BC13)/1000)*$U$152</f>
        <v>2.4594594594594597</v>
      </c>
      <c r="X58" s="396">
        <f>((JRC_Data!BD13)/1000)*$U$152</f>
        <v>3.310810810810811</v>
      </c>
      <c r="Y58" s="396">
        <f>((JRC_Data!BE13)/1000)*$U$152</f>
        <v>3.310810810810811</v>
      </c>
      <c r="Z58" s="458">
        <v>0.12</v>
      </c>
      <c r="AA58" s="69"/>
      <c r="AB58" s="47"/>
      <c r="AC58" s="76"/>
      <c r="AD58" s="76"/>
      <c r="AE58" s="76"/>
      <c r="AF58" s="66">
        <f t="shared" si="28"/>
        <v>0.63072000000000006</v>
      </c>
      <c r="AG58" s="69"/>
      <c r="AH58" s="69">
        <v>2019</v>
      </c>
      <c r="AI58" s="69">
        <v>20</v>
      </c>
      <c r="AK58" s="112"/>
      <c r="AL58" s="111" t="s">
        <v>615</v>
      </c>
      <c r="AM58" s="111" t="str">
        <f t="shared" si="30"/>
        <v>Residential  Stove with back boiler New 1 - SH +WH</v>
      </c>
      <c r="AN58" s="112" t="s">
        <v>16</v>
      </c>
      <c r="AO58" s="112" t="s">
        <v>189</v>
      </c>
      <c r="AP58" s="112"/>
      <c r="AQ58" s="112"/>
    </row>
    <row r="59" spans="3:43" ht="15.75" thickBot="1" x14ac:dyDescent="0.3">
      <c r="C59" s="43" t="s">
        <v>618</v>
      </c>
      <c r="D59" s="32" t="s">
        <v>296</v>
      </c>
      <c r="E59" s="33" t="s">
        <v>313</v>
      </c>
      <c r="F59" s="33"/>
      <c r="G59" s="61" t="s">
        <v>148</v>
      </c>
      <c r="H59" s="43">
        <v>0.82</v>
      </c>
      <c r="I59" s="43">
        <v>0.82</v>
      </c>
      <c r="J59" s="43">
        <v>0.82</v>
      </c>
      <c r="K59" s="43">
        <v>0.82</v>
      </c>
      <c r="L59" s="45"/>
      <c r="M59" s="34"/>
      <c r="N59" s="34"/>
      <c r="O59" s="46"/>
      <c r="P59" s="43"/>
      <c r="Q59" s="32"/>
      <c r="R59" s="32"/>
      <c r="S59" s="61"/>
      <c r="T59" s="57">
        <v>20</v>
      </c>
      <c r="U59" s="44"/>
      <c r="V59" s="65">
        <f>V45</f>
        <v>4.2250000000000005</v>
      </c>
      <c r="W59" s="65">
        <f t="shared" ref="W59:Z60" si="49">W45</f>
        <v>4.2250000000000005</v>
      </c>
      <c r="X59" s="65">
        <f t="shared" si="49"/>
        <v>4.2250000000000005</v>
      </c>
      <c r="Y59" s="65">
        <f t="shared" si="49"/>
        <v>4.2250000000000005</v>
      </c>
      <c r="Z59" s="65">
        <f t="shared" si="49"/>
        <v>0.12</v>
      </c>
      <c r="AA59" s="68"/>
      <c r="AB59" s="45"/>
      <c r="AC59" s="75"/>
      <c r="AD59" s="75"/>
      <c r="AE59" s="75"/>
      <c r="AF59" s="65">
        <f>31.536*(AI59/1000)</f>
        <v>0.63072000000000006</v>
      </c>
      <c r="AG59" s="68"/>
      <c r="AH59" s="68">
        <v>2019</v>
      </c>
      <c r="AI59" s="68">
        <v>20</v>
      </c>
      <c r="AK59" s="112"/>
      <c r="AL59" s="111" t="str">
        <f t="shared" si="29"/>
        <v>R-SH_Att_HVO_N1</v>
      </c>
      <c r="AM59" s="111" t="str">
        <f t="shared" si="30"/>
        <v>Residential  Hydrotreated vegetable oil - New 1 SH</v>
      </c>
      <c r="AN59" s="112" t="s">
        <v>16</v>
      </c>
      <c r="AO59" s="112" t="s">
        <v>189</v>
      </c>
      <c r="AP59" s="112"/>
      <c r="AQ59" s="112" t="s">
        <v>81</v>
      </c>
    </row>
    <row r="60" spans="3:43" ht="15.75" thickBot="1" x14ac:dyDescent="0.3">
      <c r="C60" s="25" t="s">
        <v>619</v>
      </c>
      <c r="D60" s="26" t="s">
        <v>575</v>
      </c>
      <c r="E60" s="27" t="s">
        <v>313</v>
      </c>
      <c r="F60" s="27"/>
      <c r="G60" s="60" t="s">
        <v>300</v>
      </c>
      <c r="H60" s="25">
        <v>0.82</v>
      </c>
      <c r="I60" s="25">
        <v>0.82</v>
      </c>
      <c r="J60" s="25">
        <v>0.82</v>
      </c>
      <c r="K60" s="25">
        <v>0.82</v>
      </c>
      <c r="L60" s="52"/>
      <c r="M60" s="53"/>
      <c r="N60" s="53"/>
      <c r="O60" s="54"/>
      <c r="P60" s="268">
        <f t="shared" si="44"/>
        <v>0.57399999999999995</v>
      </c>
      <c r="Q60" s="29">
        <f t="shared" si="44"/>
        <v>0.57399999999999995</v>
      </c>
      <c r="R60" s="29">
        <f t="shared" si="44"/>
        <v>0.57399999999999995</v>
      </c>
      <c r="S60" s="62">
        <f t="shared" si="44"/>
        <v>0.57399999999999995</v>
      </c>
      <c r="T60" s="58">
        <v>20</v>
      </c>
      <c r="U60" s="31"/>
      <c r="V60" s="65">
        <f>V46</f>
        <v>4.2773760330578519</v>
      </c>
      <c r="W60" s="65">
        <f t="shared" ref="W60:Y60" si="50">W46</f>
        <v>4.2773760330578519</v>
      </c>
      <c r="X60" s="65">
        <f t="shared" si="50"/>
        <v>4.2773760330578519</v>
      </c>
      <c r="Y60" s="65">
        <f t="shared" si="50"/>
        <v>4.2773760330578519</v>
      </c>
      <c r="Z60" s="65">
        <f t="shared" si="49"/>
        <v>0.12</v>
      </c>
      <c r="AA60" s="69"/>
      <c r="AB60" s="47"/>
      <c r="AC60" s="76"/>
      <c r="AD60" s="76"/>
      <c r="AE60" s="76"/>
      <c r="AF60" s="66">
        <f t="shared" si="28"/>
        <v>0.7884000000000001</v>
      </c>
      <c r="AG60" s="70"/>
      <c r="AH60" s="70">
        <v>2019</v>
      </c>
      <c r="AI60" s="70">
        <v>25</v>
      </c>
      <c r="AK60" s="112"/>
      <c r="AL60" s="111" t="str">
        <f t="shared" si="29"/>
        <v>R-SW_Att_HVO_N1</v>
      </c>
      <c r="AM60" s="111" t="str">
        <f t="shared" si="30"/>
        <v>Residential  Hydrotreated vegetable oil - New 1 SH + WH</v>
      </c>
      <c r="AN60" s="112" t="s">
        <v>16</v>
      </c>
      <c r="AO60" s="112" t="s">
        <v>189</v>
      </c>
      <c r="AP60" s="112"/>
      <c r="AQ60" s="112" t="s">
        <v>81</v>
      </c>
    </row>
    <row r="61" spans="3:43" ht="15.75" thickBot="1" x14ac:dyDescent="0.3">
      <c r="C61" s="36" t="s">
        <v>319</v>
      </c>
      <c r="D61" s="36"/>
      <c r="E61" s="37"/>
      <c r="F61" s="37"/>
      <c r="G61" s="37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7"/>
      <c r="U61" s="37"/>
      <c r="V61" s="36"/>
      <c r="W61" s="36"/>
      <c r="X61" s="36"/>
      <c r="Y61" s="36"/>
      <c r="Z61" s="36"/>
      <c r="AA61" s="37"/>
      <c r="AB61" s="39"/>
      <c r="AC61" s="39"/>
      <c r="AD61" s="39"/>
      <c r="AE61" s="39"/>
      <c r="AF61" s="36"/>
      <c r="AG61" s="37"/>
      <c r="AH61" s="37"/>
      <c r="AI61" s="37"/>
      <c r="AK61" s="113"/>
      <c r="AL61" s="114" t="str">
        <f>C62</f>
        <v>R-SH_Att_ELC_N1</v>
      </c>
      <c r="AM61" s="114" t="str">
        <f>D62</f>
        <v>Residential Electric Heater - New 1 SH</v>
      </c>
      <c r="AN61" s="113" t="s">
        <v>16</v>
      </c>
      <c r="AO61" s="113" t="s">
        <v>189</v>
      </c>
      <c r="AP61" s="113"/>
      <c r="AQ61" s="113" t="s">
        <v>81</v>
      </c>
    </row>
    <row r="62" spans="3:43" ht="15" x14ac:dyDescent="0.25">
      <c r="C62" s="99" t="str">
        <f>"R-SH_Att"&amp;"_"&amp;RIGHT(E62,3)&amp;"_N1"</f>
        <v>R-SH_Att_ELC_N1</v>
      </c>
      <c r="D62" s="83" t="s">
        <v>113</v>
      </c>
      <c r="E62" s="124" t="s">
        <v>162</v>
      </c>
      <c r="F62" s="124"/>
      <c r="G62" s="84" t="s">
        <v>148</v>
      </c>
      <c r="H62" s="265">
        <v>1</v>
      </c>
      <c r="I62" s="266">
        <v>1</v>
      </c>
      <c r="J62" s="266">
        <v>1</v>
      </c>
      <c r="K62" s="267">
        <v>1</v>
      </c>
      <c r="L62" s="77"/>
      <c r="M62" s="78"/>
      <c r="N62" s="78"/>
      <c r="O62" s="79"/>
      <c r="P62" s="77"/>
      <c r="Q62" s="78"/>
      <c r="R62" s="78"/>
      <c r="S62" s="79"/>
      <c r="T62" s="80">
        <v>20</v>
      </c>
      <c r="U62" s="81"/>
      <c r="V62" s="82">
        <f>(JRC_Data!BB48/1000)*($U$152/$U$151)</f>
        <v>4.0495867768595044</v>
      </c>
      <c r="W62" s="82">
        <f>(JRC_Data!BC48/1000)*($U$152/$U$151)</f>
        <v>4.0495867768595044</v>
      </c>
      <c r="X62" s="82">
        <f>(JRC_Data!BD48/1000)*($U$152/$U$151)</f>
        <v>4.0495867768595044</v>
      </c>
      <c r="Y62" s="82">
        <f>(JRC_Data!BE48/1000)*($U$152/$U$151)</f>
        <v>4.0495867768595044</v>
      </c>
      <c r="Z62" s="85">
        <f>JRC_Data!BL48/1000</f>
        <v>0.05</v>
      </c>
      <c r="AA62" s="86"/>
      <c r="AB62" s="87"/>
      <c r="AC62" s="87"/>
      <c r="AD62" s="87"/>
      <c r="AE62" s="87"/>
      <c r="AF62" s="85">
        <f t="shared" si="28"/>
        <v>0.63072000000000006</v>
      </c>
      <c r="AG62" s="86"/>
      <c r="AH62" s="86">
        <v>2019</v>
      </c>
      <c r="AI62" s="86">
        <v>20</v>
      </c>
      <c r="AK62" s="107"/>
      <c r="AL62" s="106" t="str">
        <f t="shared" ref="AL62:AM68" si="51">C64</f>
        <v>R-SH_Att_ELC_HPN1</v>
      </c>
      <c r="AM62" s="106" t="str">
        <f t="shared" si="51"/>
        <v>Residential Electric Heat Pump - Air to Air - SH</v>
      </c>
      <c r="AN62" s="107" t="s">
        <v>16</v>
      </c>
      <c r="AO62" s="107" t="s">
        <v>189</v>
      </c>
      <c r="AP62" s="107"/>
      <c r="AQ62" s="107" t="s">
        <v>81</v>
      </c>
    </row>
    <row r="63" spans="3:43" ht="15" x14ac:dyDescent="0.25">
      <c r="C63" s="36" t="s">
        <v>320</v>
      </c>
      <c r="D63" s="36"/>
      <c r="E63" s="37"/>
      <c r="F63" s="37"/>
      <c r="G63" s="37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7"/>
      <c r="U63" s="37"/>
      <c r="V63" s="36"/>
      <c r="W63" s="36"/>
      <c r="X63" s="36"/>
      <c r="Y63" s="36"/>
      <c r="Z63" s="36"/>
      <c r="AA63" s="37"/>
      <c r="AB63" s="39"/>
      <c r="AC63" s="39"/>
      <c r="AD63" s="39"/>
      <c r="AE63" s="39"/>
      <c r="AF63" s="36"/>
      <c r="AG63" s="37"/>
      <c r="AH63" s="37"/>
      <c r="AI63" s="37"/>
      <c r="AK63" s="109"/>
      <c r="AL63" s="108" t="str">
        <f t="shared" si="51"/>
        <v>R-HC_Att_ELC_HPN1</v>
      </c>
      <c r="AM63" s="108" t="str">
        <f t="shared" si="51"/>
        <v>Residential Electric Heat Pump - Air to Air - SH + SC</v>
      </c>
      <c r="AN63" s="109" t="s">
        <v>16</v>
      </c>
      <c r="AO63" s="109" t="s">
        <v>189</v>
      </c>
      <c r="AP63" s="109"/>
      <c r="AQ63" s="109" t="s">
        <v>81</v>
      </c>
    </row>
    <row r="64" spans="3:43" ht="15" x14ac:dyDescent="0.25">
      <c r="C64" s="22" t="str">
        <f>"R-SH_Att"&amp;"_"&amp;RIGHT(E64,3)&amp;"_HPN1"</f>
        <v>R-SH_Att_ELC_HPN1</v>
      </c>
      <c r="D64" s="23" t="s">
        <v>115</v>
      </c>
      <c r="E64" s="92" t="s">
        <v>162</v>
      </c>
      <c r="F64" s="92" t="s">
        <v>611</v>
      </c>
      <c r="G64" s="59" t="s">
        <v>148</v>
      </c>
      <c r="H64" s="22">
        <v>1</v>
      </c>
      <c r="I64" s="23">
        <f>JRC_Data!AD16/JRC_Data!$AC$16</f>
        <v>1.0666666666666667</v>
      </c>
      <c r="J64" s="23">
        <f>JRC_Data!AE16/JRC_Data!$AC$16</f>
        <v>1.2333333333333334</v>
      </c>
      <c r="K64" s="59">
        <f>JRC_Data!AF16/JRC_Data!$AC$16</f>
        <v>1.3333333333333333</v>
      </c>
      <c r="L64" s="22"/>
      <c r="M64" s="23"/>
      <c r="N64" s="23"/>
      <c r="O64" s="59"/>
      <c r="P64" s="22"/>
      <c r="Q64" s="23"/>
      <c r="R64" s="23"/>
      <c r="S64" s="59"/>
      <c r="T64" s="55">
        <v>20</v>
      </c>
      <c r="U64" s="51"/>
      <c r="V64" s="22">
        <f>(JRC_Data!BB16/1000)*($U$151/$U$152)</f>
        <v>2.1730612244897962</v>
      </c>
      <c r="W64" s="22">
        <f>(JRC_Data!BC16/1000)*($U$151/$U$152)</f>
        <v>2.0742857142857147</v>
      </c>
      <c r="X64" s="22">
        <f>(JRC_Data!BD16/1000)*($U$151/$U$152)</f>
        <v>1.8767346938775511</v>
      </c>
      <c r="Y64" s="88">
        <f>(JRC_Data!BE16/1000)*($U$151/$U$152)</f>
        <v>1.7779591836734696</v>
      </c>
      <c r="Z64" s="88">
        <f>JRC_Data!BL16/1000</f>
        <v>3.4000000000000002E-2</v>
      </c>
      <c r="AA64" s="88"/>
      <c r="AB64" s="88"/>
      <c r="AC64" s="88"/>
      <c r="AD64" s="88"/>
      <c r="AE64" s="88"/>
      <c r="AF64" s="88">
        <f t="shared" si="28"/>
        <v>0.220752</v>
      </c>
      <c r="AG64" s="91"/>
      <c r="AH64" s="91">
        <v>2100</v>
      </c>
      <c r="AI64" s="91">
        <v>7</v>
      </c>
      <c r="AK64" s="109"/>
      <c r="AL64" s="108" t="str">
        <f t="shared" si="51"/>
        <v>R-SH_Att_ELC_HPN2</v>
      </c>
      <c r="AM64" s="108" t="str">
        <f t="shared" si="51"/>
        <v>Residential Electric Heat Pump - Air to Water - SH</v>
      </c>
      <c r="AN64" s="109" t="s">
        <v>16</v>
      </c>
      <c r="AO64" s="109" t="s">
        <v>189</v>
      </c>
      <c r="AP64" s="109"/>
      <c r="AQ64" s="109" t="s">
        <v>81</v>
      </c>
    </row>
    <row r="65" spans="3:43" ht="15" x14ac:dyDescent="0.25">
      <c r="C65" s="25" t="str">
        <f>"R-HC_Att"&amp;"_"&amp;RIGHT(E65,3)&amp;"_HPN1"</f>
        <v>R-HC_Att_ELC_HPN1</v>
      </c>
      <c r="D65" s="26" t="s">
        <v>116</v>
      </c>
      <c r="E65" s="27" t="s">
        <v>162</v>
      </c>
      <c r="F65" s="27" t="s">
        <v>611</v>
      </c>
      <c r="G65" s="60" t="s">
        <v>301</v>
      </c>
      <c r="H65" s="25">
        <v>1</v>
      </c>
      <c r="I65" s="26">
        <f>JRC_Data!AD16/JRC_Data!$AC$16</f>
        <v>1.0666666666666667</v>
      </c>
      <c r="J65" s="26">
        <f>JRC_Data!AE16/JRC_Data!$AC$16</f>
        <v>1.2333333333333334</v>
      </c>
      <c r="K65" s="60">
        <f>JRC_Data!AF16/JRC_Data!$AC$16</f>
        <v>1.3333333333333333</v>
      </c>
      <c r="L65" s="25">
        <v>1</v>
      </c>
      <c r="M65" s="26">
        <f>JRC_Data!AD16/JRC_Data!$AC$16</f>
        <v>1.0666666666666667</v>
      </c>
      <c r="N65" s="26">
        <f>JRC_Data!AE16/JRC_Data!$AC$16</f>
        <v>1.2333333333333334</v>
      </c>
      <c r="O65" s="60">
        <f>JRC_Data!AF16/JRC_Data!$AC$16</f>
        <v>1.3333333333333333</v>
      </c>
      <c r="P65" s="25"/>
      <c r="Q65" s="26"/>
      <c r="R65" s="26"/>
      <c r="S65" s="60"/>
      <c r="T65" s="56">
        <v>20</v>
      </c>
      <c r="U65" s="48"/>
      <c r="V65" s="25">
        <f>(JRC_Data!BB16/1000)*($U$152/$U$152)</f>
        <v>2.2000000000000002</v>
      </c>
      <c r="W65" s="25">
        <f>(JRC_Data!BC16/1000)*($U$152/$U$152)</f>
        <v>2.1</v>
      </c>
      <c r="X65" s="25">
        <f>(JRC_Data!BD16/1000)*($U$152/$U$152)</f>
        <v>1.9</v>
      </c>
      <c r="Y65" s="66">
        <f>(JRC_Data!BE16/1000)*($U$152/$U$152)</f>
        <v>1.8</v>
      </c>
      <c r="Z65" s="66">
        <f>JRC_Data!BL16/1000</f>
        <v>3.4000000000000002E-2</v>
      </c>
      <c r="AA65" s="66"/>
      <c r="AB65" s="66"/>
      <c r="AC65" s="66"/>
      <c r="AD65" s="66"/>
      <c r="AE65" s="66"/>
      <c r="AF65" s="66">
        <f t="shared" si="28"/>
        <v>0.26805600000000002</v>
      </c>
      <c r="AG65" s="69"/>
      <c r="AH65" s="69">
        <v>2100</v>
      </c>
      <c r="AI65" s="69">
        <v>8.5</v>
      </c>
      <c r="AK65" s="109"/>
      <c r="AL65" s="108" t="str">
        <f t="shared" si="51"/>
        <v>R-SW_Att_ELC_HPN1</v>
      </c>
      <c r="AM65" s="108" t="str">
        <f t="shared" si="51"/>
        <v>Residential Electric Heat Pump - Air to Water - SH + WH</v>
      </c>
      <c r="AN65" s="109" t="s">
        <v>16</v>
      </c>
      <c r="AO65" s="109" t="s">
        <v>189</v>
      </c>
      <c r="AP65" s="109"/>
      <c r="AQ65" s="109" t="s">
        <v>81</v>
      </c>
    </row>
    <row r="66" spans="3:43" ht="15" x14ac:dyDescent="0.25">
      <c r="C66" s="43" t="str">
        <f>"R-SH_Att"&amp;"_"&amp;RIGHT(E66,3)&amp;"_HPN2"</f>
        <v>R-SH_Att_ELC_HPN2</v>
      </c>
      <c r="D66" s="32" t="s">
        <v>117</v>
      </c>
      <c r="E66" s="33" t="s">
        <v>162</v>
      </c>
      <c r="F66" s="33" t="s">
        <v>611</v>
      </c>
      <c r="G66" s="61" t="s">
        <v>148</v>
      </c>
      <c r="H66" s="43">
        <v>1</v>
      </c>
      <c r="I66" s="32">
        <f>JRC_Data!AD18/JRC_Data!$AC$16</f>
        <v>1.0999999999999999</v>
      </c>
      <c r="J66" s="32">
        <f>JRC_Data!AE18/JRC_Data!$AC$16</f>
        <v>1.2333333333333334</v>
      </c>
      <c r="K66" s="61">
        <f>JRC_Data!AF18/JRC_Data!$AC$16</f>
        <v>1.3333333333333333</v>
      </c>
      <c r="L66" s="43"/>
      <c r="M66" s="32"/>
      <c r="N66" s="32"/>
      <c r="O66" s="61"/>
      <c r="P66" s="43"/>
      <c r="Q66" s="32"/>
      <c r="R66" s="32"/>
      <c r="S66" s="61"/>
      <c r="T66" s="57">
        <v>20</v>
      </c>
      <c r="U66" s="46"/>
      <c r="V66" s="395">
        <v>8.5299999999999994</v>
      </c>
      <c r="W66" s="395">
        <f>V66*0.91</f>
        <v>7.7622999999999998</v>
      </c>
      <c r="X66" s="395">
        <f>W66*0.91</f>
        <v>7.0636929999999998</v>
      </c>
      <c r="Y66" s="395">
        <f>V66*0.82</f>
        <v>6.9945999999999993</v>
      </c>
      <c r="Z66" s="395">
        <v>0.1</v>
      </c>
      <c r="AA66" s="65"/>
      <c r="AB66" s="65"/>
      <c r="AC66" s="65"/>
      <c r="AD66" s="65"/>
      <c r="AE66" s="65"/>
      <c r="AF66" s="65">
        <f t="shared" si="28"/>
        <v>0.220752</v>
      </c>
      <c r="AG66" s="68"/>
      <c r="AH66" s="68">
        <v>2019</v>
      </c>
      <c r="AI66" s="68">
        <v>7</v>
      </c>
      <c r="AK66" s="225"/>
      <c r="AL66" s="108" t="str">
        <f t="shared" si="51"/>
        <v>R-SW_Att_ELC_HPN2</v>
      </c>
      <c r="AM66" s="108" t="str">
        <f t="shared" si="51"/>
        <v>Residential Electric Heat Pump - Air to Water - SH + WH + Solar</v>
      </c>
      <c r="AN66" s="109" t="s">
        <v>16</v>
      </c>
      <c r="AO66" s="109" t="s">
        <v>189</v>
      </c>
      <c r="AP66" s="109"/>
      <c r="AQ66" s="109" t="s">
        <v>81</v>
      </c>
    </row>
    <row r="67" spans="3:43" ht="15" x14ac:dyDescent="0.25">
      <c r="C67" s="25" t="str">
        <f>"R-SW_Att"&amp;"_"&amp;RIGHT(E67,3)&amp;"_HPN1"</f>
        <v>R-SW_Att_ELC_HPN1</v>
      </c>
      <c r="D67" s="26" t="s">
        <v>118</v>
      </c>
      <c r="E67" s="27" t="s">
        <v>162</v>
      </c>
      <c r="F67" s="27" t="s">
        <v>714</v>
      </c>
      <c r="G67" s="60" t="s">
        <v>300</v>
      </c>
      <c r="H67" s="25">
        <v>1</v>
      </c>
      <c r="I67" s="26">
        <f>JRC_Data!AD18/JRC_Data!$AC$16</f>
        <v>1.0999999999999999</v>
      </c>
      <c r="J67" s="26">
        <f>JRC_Data!AE18/JRC_Data!$AC$16</f>
        <v>1.2333333333333334</v>
      </c>
      <c r="K67" s="60">
        <f>JRC_Data!AF18/JRC_Data!$AC$16</f>
        <v>1.3333333333333333</v>
      </c>
      <c r="L67" s="25"/>
      <c r="M67" s="26"/>
      <c r="N67" s="26"/>
      <c r="O67" s="60"/>
      <c r="P67" s="25">
        <f>H67*0.7</f>
        <v>0.7</v>
      </c>
      <c r="Q67" s="26">
        <f t="shared" ref="Q67:Q68" si="52">I67*0.7</f>
        <v>0.76999999999999991</v>
      </c>
      <c r="R67" s="26">
        <f t="shared" ref="R67:R68" si="53">J67*0.7</f>
        <v>0.86333333333333329</v>
      </c>
      <c r="S67" s="60">
        <f t="shared" ref="S67:S68" si="54">K67*0.7</f>
        <v>0.93333333333333324</v>
      </c>
      <c r="T67" s="56">
        <v>20</v>
      </c>
      <c r="U67" s="48"/>
      <c r="V67" s="396">
        <f>V66*($U$150/$U$149)</f>
        <v>8.6019831223628689</v>
      </c>
      <c r="W67" s="396">
        <f>W66*($U$150/$U$149)</f>
        <v>7.8278046413502116</v>
      </c>
      <c r="X67" s="396">
        <f>X66*($U$150/$U$149)</f>
        <v>7.1233022236286923</v>
      </c>
      <c r="Y67" s="396">
        <f>Y66*($U$150/$U$149)</f>
        <v>7.0536261603375525</v>
      </c>
      <c r="Z67" s="396">
        <v>0.1</v>
      </c>
      <c r="AA67" s="66"/>
      <c r="AB67" s="66"/>
      <c r="AC67" s="66"/>
      <c r="AD67" s="66"/>
      <c r="AE67" s="66"/>
      <c r="AF67" s="66">
        <f t="shared" si="28"/>
        <v>0.26805600000000002</v>
      </c>
      <c r="AG67" s="69"/>
      <c r="AH67" s="69">
        <v>2019</v>
      </c>
      <c r="AI67" s="69">
        <v>8.5</v>
      </c>
      <c r="AK67" s="225"/>
      <c r="AL67" s="108" t="str">
        <f t="shared" si="51"/>
        <v>R-SH_Att_ELC_HPN3</v>
      </c>
      <c r="AM67" s="108" t="str">
        <f t="shared" si="51"/>
        <v>Residential Electric Heat Pump - Ground to Water - SH</v>
      </c>
      <c r="AN67" s="109" t="s">
        <v>16</v>
      </c>
      <c r="AO67" s="109" t="s">
        <v>189</v>
      </c>
      <c r="AP67" s="109"/>
      <c r="AQ67" s="109" t="s">
        <v>81</v>
      </c>
    </row>
    <row r="68" spans="3:43" ht="15.75" thickBot="1" x14ac:dyDescent="0.3">
      <c r="C68" s="43" t="str">
        <f>"R-SW_Att"&amp;"_"&amp;RIGHT(E68,3)&amp;"_HPN2"</f>
        <v>R-SW_Att_ELC_HPN2</v>
      </c>
      <c r="D68" s="32" t="s">
        <v>119</v>
      </c>
      <c r="E68" s="33" t="s">
        <v>603</v>
      </c>
      <c r="F68" s="33" t="s">
        <v>714</v>
      </c>
      <c r="G68" s="61" t="s">
        <v>300</v>
      </c>
      <c r="H68" s="43">
        <v>1</v>
      </c>
      <c r="I68" s="32">
        <v>1.1100000000000001</v>
      </c>
      <c r="J68" s="32">
        <v>1.19</v>
      </c>
      <c r="K68" s="61">
        <v>1.19</v>
      </c>
      <c r="L68" s="43"/>
      <c r="M68" s="32"/>
      <c r="N68" s="32"/>
      <c r="O68" s="61"/>
      <c r="P68" s="43">
        <f>H68*0.7</f>
        <v>0.7</v>
      </c>
      <c r="Q68" s="32">
        <f t="shared" si="52"/>
        <v>0.77700000000000002</v>
      </c>
      <c r="R68" s="32">
        <f t="shared" si="53"/>
        <v>0.83299999999999996</v>
      </c>
      <c r="S68" s="61">
        <f t="shared" si="54"/>
        <v>0.83299999999999996</v>
      </c>
      <c r="T68" s="57">
        <v>20</v>
      </c>
      <c r="U68" s="46"/>
      <c r="V68" s="43">
        <f>((JRC_Data!BB18+JRC_Data!BB45)*0.8/1000)*($U$152/$U$151)</f>
        <v>13.282644628099174</v>
      </c>
      <c r="W68" s="43">
        <f>((JRC_Data!BC18+JRC_Data!BC45)*0.8/1000)*($U$152/$U$151)</f>
        <v>12.229752066115703</v>
      </c>
      <c r="X68" s="43">
        <f>((JRC_Data!BD18+JRC_Data!BD45)*0.8/1000)*($U$152/$U$151)</f>
        <v>11.824793388429752</v>
      </c>
      <c r="Y68" s="65">
        <f>((JRC_Data!BE18+JRC_Data!BE45)*0.8/1000)*($U$152/$U$151)</f>
        <v>10.285950413223141</v>
      </c>
      <c r="Z68" s="65">
        <f>((JRC_Data!BL18+JRC_Data!BL45)*0.8)/1000</f>
        <v>0.16960000000000003</v>
      </c>
      <c r="AA68" s="65"/>
      <c r="AB68" s="75">
        <v>0.1</v>
      </c>
      <c r="AC68" s="65"/>
      <c r="AD68" s="65"/>
      <c r="AE68" s="229">
        <v>5</v>
      </c>
      <c r="AF68" s="65">
        <f t="shared" si="28"/>
        <v>0.26805600000000002</v>
      </c>
      <c r="AG68" s="68"/>
      <c r="AH68" s="68">
        <v>2019</v>
      </c>
      <c r="AI68" s="68">
        <v>8.5</v>
      </c>
      <c r="AK68" s="115"/>
      <c r="AL68" s="111" t="str">
        <f t="shared" si="51"/>
        <v>R-HC_Att_ELC_HPN2</v>
      </c>
      <c r="AM68" s="111" t="str">
        <f t="shared" si="51"/>
        <v>Residential Electric Heat Pump - Ground to Water - SH + SC</v>
      </c>
      <c r="AN68" s="112" t="s">
        <v>16</v>
      </c>
      <c r="AO68" s="112" t="s">
        <v>189</v>
      </c>
      <c r="AP68" s="112"/>
      <c r="AQ68" s="112" t="s">
        <v>81</v>
      </c>
    </row>
    <row r="69" spans="3:43" ht="15" x14ac:dyDescent="0.25">
      <c r="C69" s="25" t="str">
        <f>"R-SH_Att"&amp;"_"&amp;RIGHT(E69,3)&amp;"_HPN3"</f>
        <v>R-SH_Att_ELC_HPN3</v>
      </c>
      <c r="D69" s="26" t="s">
        <v>120</v>
      </c>
      <c r="E69" s="27" t="s">
        <v>162</v>
      </c>
      <c r="F69" s="27" t="s">
        <v>611</v>
      </c>
      <c r="G69" s="60" t="s">
        <v>148</v>
      </c>
      <c r="H69" s="25">
        <f>JRC_Data!AC20/JRC_Data!$AC$16</f>
        <v>1.0999999999999999</v>
      </c>
      <c r="I69" s="26">
        <f>JRC_Data!AD20/JRC_Data!$AC$16</f>
        <v>1.1666666666666667</v>
      </c>
      <c r="J69" s="26">
        <f>JRC_Data!AE20/JRC_Data!$AC$16</f>
        <v>1.3333333333333333</v>
      </c>
      <c r="K69" s="60">
        <f>JRC_Data!AF20/JRC_Data!$AC$16</f>
        <v>1.5</v>
      </c>
      <c r="L69" s="25"/>
      <c r="M69" s="26"/>
      <c r="N69" s="26"/>
      <c r="O69" s="60"/>
      <c r="P69" s="25"/>
      <c r="Q69" s="26"/>
      <c r="R69" s="26"/>
      <c r="S69" s="60"/>
      <c r="T69" s="56">
        <v>20</v>
      </c>
      <c r="U69" s="48"/>
      <c r="V69" s="25">
        <f>(JRC_Data!BB20/1000)*($U$151/$U$152)</f>
        <v>13.828571428571429</v>
      </c>
      <c r="W69" s="25">
        <f>(JRC_Data!BC20/1000)*($U$151/$U$152)</f>
        <v>12.840816326530613</v>
      </c>
      <c r="X69" s="25">
        <f>(JRC_Data!BD20/1000)*($U$151/$U$152)</f>
        <v>11.853061224489796</v>
      </c>
      <c r="Y69" s="66">
        <f>(JRC_Data!BE20/1000)*($U$151/$U$152)</f>
        <v>10.865306122448981</v>
      </c>
      <c r="Z69" s="66">
        <f>JRC_Data!BL20/1000</f>
        <v>0.2</v>
      </c>
      <c r="AA69" s="66"/>
      <c r="AB69" s="66"/>
      <c r="AC69" s="66"/>
      <c r="AD69" s="66"/>
      <c r="AE69" s="66"/>
      <c r="AF69" s="66">
        <f t="shared" si="28"/>
        <v>0.220752</v>
      </c>
      <c r="AG69" s="69"/>
      <c r="AH69" s="69">
        <v>2019</v>
      </c>
      <c r="AI69" s="69">
        <v>7</v>
      </c>
      <c r="AK69" s="116"/>
      <c r="AL69" s="106" t="str">
        <f>C72</f>
        <v>R-SW_Att_GAS_HPN1</v>
      </c>
      <c r="AM69" s="106" t="str">
        <f>D72</f>
        <v>Residential Gas Absorption Heat Pump - Air to Water - SH + WH</v>
      </c>
      <c r="AN69" s="107" t="s">
        <v>16</v>
      </c>
      <c r="AO69" s="107" t="s">
        <v>189</v>
      </c>
      <c r="AP69" s="107"/>
      <c r="AQ69" s="107" t="s">
        <v>81</v>
      </c>
    </row>
    <row r="70" spans="3:43" ht="15.75" thickBot="1" x14ac:dyDescent="0.3">
      <c r="C70" s="97" t="str">
        <f>"R-HC_Att"&amp;"_"&amp;RIGHT(E70,3)&amp;"_HPN2"</f>
        <v>R-HC_Att_ELC_HPN2</v>
      </c>
      <c r="D70" s="93" t="s">
        <v>121</v>
      </c>
      <c r="E70" s="122" t="s">
        <v>162</v>
      </c>
      <c r="F70" s="122" t="s">
        <v>611</v>
      </c>
      <c r="G70" s="98" t="s">
        <v>301</v>
      </c>
      <c r="H70" s="97">
        <f>JRC_Data!AC20/JRC_Data!$AC$16</f>
        <v>1.0999999999999999</v>
      </c>
      <c r="I70" s="93">
        <f>JRC_Data!AD20/JRC_Data!$AC$16</f>
        <v>1.1666666666666667</v>
      </c>
      <c r="J70" s="93">
        <f>JRC_Data!AE20/JRC_Data!$AC$16</f>
        <v>1.3333333333333333</v>
      </c>
      <c r="K70" s="98">
        <f>JRC_Data!AF20/JRC_Data!$AC$16</f>
        <v>1.5</v>
      </c>
      <c r="L70" s="97">
        <f>JRC_Data!AC20/JRC_Data!$AC$16</f>
        <v>1.0999999999999999</v>
      </c>
      <c r="M70" s="93">
        <f>JRC_Data!AD20/JRC_Data!$AC$16</f>
        <v>1.1666666666666667</v>
      </c>
      <c r="N70" s="93">
        <f>JRC_Data!AE20/JRC_Data!$AC$16</f>
        <v>1.3333333333333333</v>
      </c>
      <c r="O70" s="98">
        <f>JRC_Data!AF20/JRC_Data!$AC$16</f>
        <v>1.5</v>
      </c>
      <c r="P70" s="97"/>
      <c r="Q70" s="93"/>
      <c r="R70" s="93"/>
      <c r="S70" s="98"/>
      <c r="T70" s="104">
        <v>20</v>
      </c>
      <c r="U70" s="105"/>
      <c r="V70" s="97">
        <f>(JRC_Data!BB20/1000)*($U$152/$U$152)</f>
        <v>14</v>
      </c>
      <c r="W70" s="97">
        <f>(JRC_Data!BC20/1000)*($U$152/$U$152)</f>
        <v>13</v>
      </c>
      <c r="X70" s="97">
        <f>(JRC_Data!BD20/1000)*($U$152/$U$152)</f>
        <v>12</v>
      </c>
      <c r="Y70" s="89">
        <f>(JRC_Data!BE20/1000)*($U$152/$U$152)</f>
        <v>11</v>
      </c>
      <c r="Z70" s="89">
        <f>JRC_Data!BL20/1000</f>
        <v>0.2</v>
      </c>
      <c r="AA70" s="89"/>
      <c r="AB70" s="89"/>
      <c r="AC70" s="89"/>
      <c r="AD70" s="89"/>
      <c r="AE70" s="89"/>
      <c r="AF70" s="89">
        <f t="shared" si="28"/>
        <v>0.26805600000000002</v>
      </c>
      <c r="AG70" s="94"/>
      <c r="AH70" s="94">
        <v>2019</v>
      </c>
      <c r="AI70" s="94">
        <v>8.5</v>
      </c>
      <c r="AK70" s="226"/>
      <c r="AL70" s="111" t="str">
        <f>C73</f>
        <v>R-SW_Att_GAS_HPN2</v>
      </c>
      <c r="AM70" s="111" t="str">
        <f>D73</f>
        <v>Residential Gas Engine Heat Pump - Air to Water - SH + WH</v>
      </c>
      <c r="AN70" s="112" t="s">
        <v>16</v>
      </c>
      <c r="AO70" s="112" t="s">
        <v>189</v>
      </c>
      <c r="AP70" s="112"/>
      <c r="AQ70" s="112" t="s">
        <v>81</v>
      </c>
    </row>
    <row r="71" spans="3:43" ht="15.75" thickBot="1" x14ac:dyDescent="0.3">
      <c r="C71" s="36" t="s">
        <v>321</v>
      </c>
      <c r="D71" s="36"/>
      <c r="E71" s="37"/>
      <c r="F71" s="37"/>
      <c r="G71" s="37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7"/>
      <c r="U71" s="37"/>
      <c r="V71" s="36"/>
      <c r="W71" s="36"/>
      <c r="X71" s="36"/>
      <c r="Y71" s="36"/>
      <c r="Z71" s="36"/>
      <c r="AA71" s="90"/>
      <c r="AB71" s="39"/>
      <c r="AC71" s="39"/>
      <c r="AD71" s="39"/>
      <c r="AE71" s="39"/>
      <c r="AF71" s="36"/>
      <c r="AG71" s="37"/>
      <c r="AH71" s="37"/>
      <c r="AI71" s="37"/>
      <c r="AK71" s="227"/>
      <c r="AL71" s="114" t="str">
        <f>C75</f>
        <v>R-SW_Att_GAS_HHPN1</v>
      </c>
      <c r="AM71" s="114" t="str">
        <f>D75</f>
        <v>Residential Gas Hybrid Heat Pump - Air to Water - SH + WH</v>
      </c>
      <c r="AN71" s="113" t="s">
        <v>16</v>
      </c>
      <c r="AO71" s="113" t="s">
        <v>189</v>
      </c>
      <c r="AP71" s="113"/>
      <c r="AQ71" s="113" t="s">
        <v>81</v>
      </c>
    </row>
    <row r="72" spans="3:43" ht="15" x14ac:dyDescent="0.25">
      <c r="C72" s="22" t="str">
        <f>"R-SW_Att"&amp;"_"&amp;RIGHT(E72,3)&amp;"_HPN1"</f>
        <v>R-SW_Att_GAS_HPN1</v>
      </c>
      <c r="D72" s="23" t="s">
        <v>122</v>
      </c>
      <c r="E72" s="92" t="s">
        <v>310</v>
      </c>
      <c r="F72" s="92" t="s">
        <v>714</v>
      </c>
      <c r="G72" s="92" t="s">
        <v>300</v>
      </c>
      <c r="H72" s="395">
        <f>JRC_Data!AC28/0.81</f>
        <v>1.6666666666666667</v>
      </c>
      <c r="I72" s="395">
        <f>JRC_Data!AD28/0.81</f>
        <v>1.7901234567901232</v>
      </c>
      <c r="J72" s="395">
        <f>JRC_Data!AE28/0.81</f>
        <v>2.0987654320987654</v>
      </c>
      <c r="K72" s="395">
        <f>JRC_Data!AF28/0.81</f>
        <v>2.0987654320987654</v>
      </c>
      <c r="L72" s="49"/>
      <c r="M72" s="50"/>
      <c r="N72" s="50"/>
      <c r="O72" s="51"/>
      <c r="P72" s="22">
        <f>H72*0.7</f>
        <v>1.1666666666666667</v>
      </c>
      <c r="Q72" s="23">
        <f t="shared" ref="Q72:Q73" si="55">I72*0.7</f>
        <v>1.2530864197530862</v>
      </c>
      <c r="R72" s="23">
        <f t="shared" ref="R72:R73" si="56">J72*0.7</f>
        <v>1.4691358024691357</v>
      </c>
      <c r="S72" s="59">
        <f t="shared" ref="S72:S73" si="57">K72*0.7</f>
        <v>1.4691358024691357</v>
      </c>
      <c r="T72" s="92">
        <v>20</v>
      </c>
      <c r="U72" s="51"/>
      <c r="V72" s="22">
        <f>(JRC_Data!BB28/1000)*($U$152/$U$153)</f>
        <v>14.756756756756756</v>
      </c>
      <c r="W72" s="22">
        <f>(JRC_Data!BC28/1000)*($U$152/$U$153)</f>
        <v>13.810810810810811</v>
      </c>
      <c r="X72" s="22">
        <f>(JRC_Data!BD28/1000)*($U$152/$U$153)</f>
        <v>11.918918918918919</v>
      </c>
      <c r="Y72" s="88">
        <f>(JRC_Data!BE28/1000)*($U$152/$U$153)</f>
        <v>11.918918918918919</v>
      </c>
      <c r="Z72" s="88">
        <f>JRC_Data!BL28/1000</f>
        <v>0.23499999999999999</v>
      </c>
      <c r="AA72" s="88"/>
      <c r="AB72" s="59"/>
      <c r="AC72" s="88"/>
      <c r="AD72" s="88"/>
      <c r="AE72" s="88"/>
      <c r="AF72" s="88">
        <f t="shared" si="28"/>
        <v>0.7884000000000001</v>
      </c>
      <c r="AG72" s="91"/>
      <c r="AH72" s="91">
        <v>2019</v>
      </c>
      <c r="AI72" s="91">
        <v>25</v>
      </c>
      <c r="AK72" s="228"/>
      <c r="AL72" s="106" t="str">
        <f>C77</f>
        <v>R-SW_Att_HET_N1</v>
      </c>
      <c r="AM72" s="106" t="str">
        <f>D77</f>
        <v>Residential District Heating Centralized - SH + WH</v>
      </c>
      <c r="AN72" s="107" t="s">
        <v>16</v>
      </c>
      <c r="AO72" s="107" t="s">
        <v>189</v>
      </c>
      <c r="AP72" s="107"/>
      <c r="AQ72" s="107" t="s">
        <v>81</v>
      </c>
    </row>
    <row r="73" spans="3:43" ht="15.75" thickBot="1" x14ac:dyDescent="0.3">
      <c r="C73" s="268" t="str">
        <f>"R-SW_Att"&amp;"_"&amp;RIGHT(E73,3)&amp;"_HPN2"</f>
        <v>R-SW_Att_GAS_HPN2</v>
      </c>
      <c r="D73" s="29" t="s">
        <v>123</v>
      </c>
      <c r="E73" s="30" t="s">
        <v>310</v>
      </c>
      <c r="F73" s="30" t="s">
        <v>714</v>
      </c>
      <c r="G73" s="30" t="s">
        <v>300</v>
      </c>
      <c r="H73" s="396">
        <f>JRC_Data!AC30/0.9</f>
        <v>1.6666666666666665</v>
      </c>
      <c r="I73" s="396">
        <f>JRC_Data!AD30/0.9</f>
        <v>1.7222222222222223</v>
      </c>
      <c r="J73" s="396">
        <f>JRC_Data!AE30/0.9</f>
        <v>1.7222222222222223</v>
      </c>
      <c r="K73" s="396">
        <f>JRC_Data!AF30/0.9</f>
        <v>1.7777777777777779</v>
      </c>
      <c r="L73" s="52"/>
      <c r="M73" s="53"/>
      <c r="N73" s="53"/>
      <c r="O73" s="54"/>
      <c r="P73" s="268">
        <f>H73*0.7</f>
        <v>1.1666666666666665</v>
      </c>
      <c r="Q73" s="29">
        <f t="shared" si="55"/>
        <v>1.2055555555555555</v>
      </c>
      <c r="R73" s="29">
        <f t="shared" si="56"/>
        <v>1.2055555555555555</v>
      </c>
      <c r="S73" s="62">
        <f t="shared" si="57"/>
        <v>1.2444444444444445</v>
      </c>
      <c r="T73" s="30">
        <v>15</v>
      </c>
      <c r="U73" s="54"/>
      <c r="V73" s="268">
        <f>(JRC_Data!BB30/1000)*($U$152/$U$153)</f>
        <v>44.932432432432435</v>
      </c>
      <c r="W73" s="268">
        <f>(JRC_Data!BC30/1000)*($U$152/$U$153)</f>
        <v>44.932432432432435</v>
      </c>
      <c r="X73" s="268">
        <f>(JRC_Data!BD30/1000)*($U$152/$U$153)</f>
        <v>44.932432432432435</v>
      </c>
      <c r="Y73" s="67">
        <f>(JRC_Data!BE30/1000)*($U$152/$U$153)</f>
        <v>44.932432432432435</v>
      </c>
      <c r="Z73" s="67">
        <f>JRC_Data!BL28/1000</f>
        <v>0.23499999999999999</v>
      </c>
      <c r="AA73" s="67"/>
      <c r="AB73" s="62"/>
      <c r="AC73" s="67"/>
      <c r="AD73" s="67"/>
      <c r="AE73" s="67"/>
      <c r="AF73" s="67">
        <f>31.536*(AI73/1000)</f>
        <v>0.7884000000000001</v>
      </c>
      <c r="AG73" s="70"/>
      <c r="AH73" s="70">
        <v>2019</v>
      </c>
      <c r="AI73" s="70">
        <v>25</v>
      </c>
      <c r="AK73" s="117"/>
      <c r="AL73" s="111" t="str">
        <f>C78</f>
        <v>R-SW_Att_HET_N2</v>
      </c>
      <c r="AM73" s="111" t="str">
        <f>D78</f>
        <v>Residential District Heating Decentralized - SH + WH</v>
      </c>
      <c r="AN73" s="112" t="s">
        <v>16</v>
      </c>
      <c r="AO73" s="112" t="s">
        <v>189</v>
      </c>
      <c r="AP73" s="112"/>
      <c r="AQ73" s="112" t="s">
        <v>81</v>
      </c>
    </row>
    <row r="74" spans="3:43" ht="15" x14ac:dyDescent="0.25">
      <c r="C74" s="36" t="s">
        <v>114</v>
      </c>
      <c r="D74" s="36"/>
      <c r="E74" s="37"/>
      <c r="F74" s="37"/>
      <c r="G74" s="37"/>
      <c r="H74" s="37"/>
      <c r="I74" s="37"/>
      <c r="J74" s="37"/>
      <c r="K74" s="37"/>
      <c r="L74" s="38"/>
      <c r="M74" s="38"/>
      <c r="N74" s="38"/>
      <c r="O74" s="38"/>
      <c r="P74" s="36"/>
      <c r="Q74" s="36"/>
      <c r="R74" s="36"/>
      <c r="S74" s="36"/>
      <c r="T74" s="37"/>
      <c r="U74" s="37"/>
      <c r="V74" s="36"/>
      <c r="W74" s="36"/>
      <c r="X74" s="36"/>
      <c r="Y74" s="36"/>
      <c r="Z74" s="36"/>
      <c r="AA74" s="37"/>
      <c r="AB74" s="39"/>
      <c r="AC74" s="39"/>
      <c r="AD74" s="39"/>
      <c r="AE74" s="39"/>
      <c r="AF74" s="36"/>
      <c r="AG74" s="37"/>
      <c r="AH74" s="37"/>
      <c r="AI74" s="37"/>
      <c r="AK74" s="228"/>
      <c r="AL74" s="106" t="str">
        <f>C80</f>
        <v>R-WH_Att_ELC_N1</v>
      </c>
      <c r="AM74" s="106" t="str">
        <f>D80</f>
        <v xml:space="preserve">Residential Electric Water Heater </v>
      </c>
      <c r="AN74" s="107" t="s">
        <v>16</v>
      </c>
      <c r="AO74" s="107" t="s">
        <v>189</v>
      </c>
      <c r="AP74" s="107"/>
      <c r="AQ74" s="107" t="s">
        <v>81</v>
      </c>
    </row>
    <row r="75" spans="3:43" ht="15.75" thickBot="1" x14ac:dyDescent="0.3">
      <c r="C75" s="99" t="str">
        <f>"R-SW_Att"&amp;"_"&amp;RIGHT(E75,3)&amp;"_HHPN1"</f>
        <v>R-SW_Att_GAS_HHPN1</v>
      </c>
      <c r="D75" s="83" t="s">
        <v>131</v>
      </c>
      <c r="E75" s="124" t="s">
        <v>314</v>
      </c>
      <c r="F75" s="124" t="s">
        <v>714</v>
      </c>
      <c r="G75" s="101" t="s">
        <v>300</v>
      </c>
      <c r="H75" s="395">
        <f>1*$AD$28+JRC_Data!AD18*(1.2-$AD$28)</f>
        <v>3.2699999999999996</v>
      </c>
      <c r="I75" s="395">
        <f>1*$AD$28+JRC_Data!AE18*(1.2-$AD$28)</f>
        <v>3.6299999999999994</v>
      </c>
      <c r="J75" s="395">
        <f>1*$AD$28+JRC_Data!AF18*(1.2-$AD$28)</f>
        <v>3.8999999999999995</v>
      </c>
      <c r="K75" s="395">
        <f>1*$AD$28+JRC_Data!AG18*(1.2-$AD$28)</f>
        <v>3.8999999999999995</v>
      </c>
      <c r="L75" s="52"/>
      <c r="M75" s="53"/>
      <c r="N75" s="53"/>
      <c r="O75" s="54"/>
      <c r="P75" s="268">
        <f>H75*0.7</f>
        <v>2.2889999999999997</v>
      </c>
      <c r="Q75" s="29">
        <f t="shared" ref="Q75" si="58">I75*0.7</f>
        <v>2.5409999999999995</v>
      </c>
      <c r="R75" s="29">
        <f t="shared" ref="R75" si="59">J75*0.7</f>
        <v>2.7299999999999995</v>
      </c>
      <c r="S75" s="62">
        <f t="shared" ref="S75" si="60">K75*0.7</f>
        <v>2.7299999999999995</v>
      </c>
      <c r="T75" s="5">
        <v>20</v>
      </c>
      <c r="V75" s="82">
        <f>(V67+V50)*0.8</f>
        <v>9.5138179028489738</v>
      </c>
      <c r="W75" s="82">
        <f t="shared" ref="W75:Y75" si="61">(W67+W50)*0.8</f>
        <v>8.8944751180388462</v>
      </c>
      <c r="X75" s="82">
        <f t="shared" si="61"/>
        <v>8.3308731838616321</v>
      </c>
      <c r="Y75" s="82">
        <f t="shared" si="61"/>
        <v>8.2751323332287203</v>
      </c>
      <c r="Z75" s="387">
        <f>(JRC_Data!BL9+JRC_Data!BL18)*0.8/1000</f>
        <v>0.308</v>
      </c>
      <c r="AA75" s="86"/>
      <c r="AB75" s="87"/>
      <c r="AC75" s="87"/>
      <c r="AD75" s="87">
        <v>0.3</v>
      </c>
      <c r="AE75" s="86">
        <v>5</v>
      </c>
      <c r="AF75" s="85">
        <f t="shared" si="28"/>
        <v>0.42415920000000001</v>
      </c>
      <c r="AG75" s="86"/>
      <c r="AH75" s="86">
        <v>2019</v>
      </c>
      <c r="AI75" s="86">
        <f>AI50*AD75+AI68*(1-AD75)</f>
        <v>13.45</v>
      </c>
      <c r="AK75" s="4"/>
      <c r="AL75" s="108" t="str">
        <f>C81</f>
        <v>R-WH_Att_SOL_N1</v>
      </c>
      <c r="AM75" s="108" t="str">
        <f>D81</f>
        <v xml:space="preserve">Residential Solar Water Heater </v>
      </c>
      <c r="AN75" s="109" t="s">
        <v>16</v>
      </c>
      <c r="AO75" s="109" t="s">
        <v>189</v>
      </c>
      <c r="AP75" s="109"/>
      <c r="AQ75" s="109" t="s">
        <v>81</v>
      </c>
    </row>
    <row r="76" spans="3:43" ht="15" x14ac:dyDescent="0.25">
      <c r="C76" s="36" t="s">
        <v>124</v>
      </c>
      <c r="D76" s="36"/>
      <c r="E76" s="37"/>
      <c r="F76" s="37"/>
      <c r="G76" s="37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7"/>
      <c r="U76" s="37"/>
      <c r="V76" s="36"/>
      <c r="W76" s="36"/>
      <c r="X76" s="36"/>
      <c r="Y76" s="36"/>
      <c r="Z76" s="36"/>
      <c r="AA76" s="37"/>
      <c r="AB76" s="39"/>
      <c r="AC76" s="39"/>
      <c r="AD76" s="39"/>
      <c r="AE76" s="39"/>
      <c r="AF76" s="36"/>
      <c r="AG76" s="37"/>
      <c r="AH76" s="37"/>
      <c r="AI76" s="37"/>
      <c r="AK76" s="4"/>
      <c r="AL76" s="108" t="str">
        <f>C83</f>
        <v>R-SC_Att_ELC_N1</v>
      </c>
      <c r="AM76" s="108" t="str">
        <f>D83</f>
        <v>Residential Electric Air Conditioning</v>
      </c>
      <c r="AN76" s="107" t="s">
        <v>16</v>
      </c>
      <c r="AO76" s="107" t="s">
        <v>189</v>
      </c>
      <c r="AP76" s="107"/>
      <c r="AQ76" s="107" t="s">
        <v>81</v>
      </c>
    </row>
    <row r="77" spans="3:43" x14ac:dyDescent="0.2">
      <c r="C77" s="22" t="str">
        <f>"R-SW_Att"&amp;"_"&amp;RIGHT(E77,3)&amp;"_N1"</f>
        <v>R-SW_Att_HET_N1</v>
      </c>
      <c r="D77" s="23" t="s">
        <v>125</v>
      </c>
      <c r="E77" s="92" t="s">
        <v>297</v>
      </c>
      <c r="F77" s="92"/>
      <c r="G77" s="92" t="s">
        <v>300</v>
      </c>
      <c r="H77" s="22">
        <v>1</v>
      </c>
      <c r="I77" s="23">
        <v>1</v>
      </c>
      <c r="J77" s="23">
        <v>1</v>
      </c>
      <c r="K77" s="59">
        <v>1</v>
      </c>
      <c r="L77" s="49"/>
      <c r="M77" s="50"/>
      <c r="N77" s="50"/>
      <c r="O77" s="51"/>
      <c r="P77" s="262">
        <v>1</v>
      </c>
      <c r="Q77" s="263">
        <v>1</v>
      </c>
      <c r="R77" s="263">
        <v>1</v>
      </c>
      <c r="S77" s="264">
        <v>1</v>
      </c>
      <c r="T77" s="55">
        <v>20</v>
      </c>
      <c r="U77" s="51"/>
      <c r="V77" s="22">
        <f>(JRC_Data!BB62/1000)*($U$152/$U$148)</f>
        <v>2.7222222222222219</v>
      </c>
      <c r="W77" s="22">
        <f>(JRC_Data!BC62/1000)*($U$152/$U$148)</f>
        <v>2.7222222222222219</v>
      </c>
      <c r="X77" s="22">
        <f>(JRC_Data!BD62/1000)*($U$152/$U$148)</f>
        <v>2.7222222222222219</v>
      </c>
      <c r="Y77" s="22">
        <f>(JRC_Data!BE62/1000)*($U$152/$U$148)</f>
        <v>2.7222222222222219</v>
      </c>
      <c r="Z77" s="88">
        <f>JRC_Data!BL62/1000</f>
        <v>0.15</v>
      </c>
      <c r="AA77" s="88"/>
      <c r="AB77" s="88"/>
      <c r="AC77" s="88"/>
      <c r="AD77" s="88"/>
      <c r="AE77" s="88"/>
      <c r="AF77" s="88">
        <f t="shared" si="28"/>
        <v>0.7884000000000001</v>
      </c>
      <c r="AG77" s="91"/>
      <c r="AH77" s="91">
        <v>2019</v>
      </c>
      <c r="AI77" s="91">
        <v>25</v>
      </c>
    </row>
    <row r="78" spans="3:43" x14ac:dyDescent="0.2">
      <c r="C78" s="268" t="str">
        <f>"R-SW_Att"&amp;"_"&amp;RIGHT(E78,3)&amp;"_N2"</f>
        <v>R-SW_Att_HET_N2</v>
      </c>
      <c r="D78" s="29" t="s">
        <v>126</v>
      </c>
      <c r="E78" s="30" t="s">
        <v>297</v>
      </c>
      <c r="F78" s="30"/>
      <c r="G78" s="30" t="s">
        <v>300</v>
      </c>
      <c r="H78" s="268">
        <v>1</v>
      </c>
      <c r="I78" s="29">
        <v>1</v>
      </c>
      <c r="J78" s="29">
        <v>1</v>
      </c>
      <c r="K78" s="62">
        <v>1</v>
      </c>
      <c r="L78" s="52"/>
      <c r="M78" s="53"/>
      <c r="N78" s="53"/>
      <c r="O78" s="54"/>
      <c r="P78" s="269">
        <v>1</v>
      </c>
      <c r="Q78" s="270">
        <v>1</v>
      </c>
      <c r="R78" s="270">
        <v>1</v>
      </c>
      <c r="S78" s="271">
        <v>1</v>
      </c>
      <c r="T78" s="58">
        <v>20</v>
      </c>
      <c r="U78" s="54"/>
      <c r="V78" s="268">
        <f>(JRC_Data!BB62/1000)*($U$152/$U$148)</f>
        <v>2.7222222222222219</v>
      </c>
      <c r="W78" s="268">
        <f>(JRC_Data!BC62/1000)*($U$152/$U$148)</f>
        <v>2.7222222222222219</v>
      </c>
      <c r="X78" s="268">
        <f>(JRC_Data!BD62/1000)*($U$152/$U$148)</f>
        <v>2.7222222222222219</v>
      </c>
      <c r="Y78" s="268">
        <f>(JRC_Data!BE62/1000)*($U$152/$U$148)</f>
        <v>2.7222222222222219</v>
      </c>
      <c r="Z78" s="67">
        <f>JRC_Data!BL62/1000</f>
        <v>0.15</v>
      </c>
      <c r="AA78" s="67"/>
      <c r="AB78" s="67"/>
      <c r="AC78" s="67"/>
      <c r="AD78" s="67"/>
      <c r="AE78" s="67"/>
      <c r="AF78" s="67">
        <f t="shared" si="28"/>
        <v>0.7884000000000001</v>
      </c>
      <c r="AG78" s="70"/>
      <c r="AH78" s="70">
        <v>2019</v>
      </c>
      <c r="AI78" s="70">
        <v>25</v>
      </c>
    </row>
    <row r="79" spans="3:43" x14ac:dyDescent="0.2">
      <c r="C79" s="36" t="s">
        <v>127</v>
      </c>
      <c r="D79" s="36"/>
      <c r="E79" s="37"/>
      <c r="F79" s="37"/>
      <c r="G79" s="37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7"/>
      <c r="U79" s="37"/>
      <c r="V79" s="36"/>
      <c r="W79" s="36"/>
      <c r="X79" s="36"/>
      <c r="Y79" s="36"/>
      <c r="Z79" s="36"/>
      <c r="AA79" s="37"/>
      <c r="AB79" s="39"/>
      <c r="AC79" s="39"/>
      <c r="AD79" s="39"/>
      <c r="AE79" s="39"/>
      <c r="AF79" s="36"/>
      <c r="AG79" s="37"/>
      <c r="AH79" s="37"/>
      <c r="AI79" s="37"/>
    </row>
    <row r="80" spans="3:43" x14ac:dyDescent="0.2">
      <c r="C80" s="22" t="str">
        <f>"R-WH_Att"&amp;"_"&amp;RIGHT(E80,3)&amp;"_N1"</f>
        <v>R-WH_Att_ELC_N1</v>
      </c>
      <c r="D80" s="23" t="s">
        <v>128</v>
      </c>
      <c r="E80" s="92" t="s">
        <v>162</v>
      </c>
      <c r="F80" s="92"/>
      <c r="G80" s="59" t="s">
        <v>151</v>
      </c>
      <c r="H80" s="49"/>
      <c r="I80" s="50"/>
      <c r="J80" s="50"/>
      <c r="K80" s="51"/>
      <c r="L80" s="49"/>
      <c r="M80" s="50"/>
      <c r="N80" s="50"/>
      <c r="O80" s="51"/>
      <c r="P80" s="262">
        <v>1</v>
      </c>
      <c r="Q80" s="263">
        <v>1</v>
      </c>
      <c r="R80" s="263">
        <v>1</v>
      </c>
      <c r="S80" s="264">
        <v>1</v>
      </c>
      <c r="T80" s="55">
        <v>20</v>
      </c>
      <c r="U80" s="51"/>
      <c r="V80" s="22">
        <f>(JRC_Data!BB48/1000)*($U$146/$U$146)</f>
        <v>4</v>
      </c>
      <c r="W80" s="22">
        <f>(JRC_Data!BC48/1000)*($U$146/$U$146)</f>
        <v>4</v>
      </c>
      <c r="X80" s="22">
        <f>(JRC_Data!BD48/1000)*($U$146/$U$146)</f>
        <v>4</v>
      </c>
      <c r="Y80" s="22">
        <f>(JRC_Data!BE48/1000)*($U$146/$U$146)</f>
        <v>4</v>
      </c>
      <c r="Z80" s="88">
        <f>JRC_Data!BL48/1000</f>
        <v>0.05</v>
      </c>
      <c r="AA80" s="88"/>
      <c r="AB80" s="88"/>
      <c r="AC80" s="88"/>
      <c r="AD80" s="88"/>
      <c r="AE80" s="88"/>
      <c r="AF80" s="88">
        <f t="shared" si="28"/>
        <v>0.18921600000000002</v>
      </c>
      <c r="AG80" s="91"/>
      <c r="AH80" s="91">
        <v>2019</v>
      </c>
      <c r="AI80" s="91">
        <v>6</v>
      </c>
    </row>
    <row r="81" spans="3:43" x14ac:dyDescent="0.2">
      <c r="C81" s="268" t="str">
        <f>"R-WH_Att"&amp;"_"&amp;RIGHT(E81,3)&amp;"_N1"</f>
        <v>R-WH_Att_SOL_N1</v>
      </c>
      <c r="D81" s="29" t="s">
        <v>129</v>
      </c>
      <c r="E81" s="30" t="s">
        <v>315</v>
      </c>
      <c r="F81" s="30"/>
      <c r="G81" s="62" t="s">
        <v>151</v>
      </c>
      <c r="H81" s="52"/>
      <c r="I81" s="53"/>
      <c r="J81" s="53"/>
      <c r="K81" s="54"/>
      <c r="L81" s="52"/>
      <c r="M81" s="53"/>
      <c r="N81" s="53"/>
      <c r="O81" s="54"/>
      <c r="P81" s="259">
        <v>1</v>
      </c>
      <c r="Q81" s="260">
        <v>1</v>
      </c>
      <c r="R81" s="260">
        <v>1</v>
      </c>
      <c r="S81" s="261">
        <v>1</v>
      </c>
      <c r="T81" s="56">
        <v>25</v>
      </c>
      <c r="U81" s="25">
        <v>30</v>
      </c>
      <c r="V81" s="25">
        <f>(JRC_Data!BB45/1000)*($U$146/$U$146)</f>
        <v>5.4</v>
      </c>
      <c r="W81" s="25">
        <f>(JRC_Data!BC45/1000)*($U$146/$U$146)</f>
        <v>5.0999999999999996</v>
      </c>
      <c r="X81" s="25">
        <f>(JRC_Data!BD45/1000)*($U$146/$U$146)</f>
        <v>4.5999999999999996</v>
      </c>
      <c r="Y81" s="25">
        <f>(JRC_Data!BE45/1000)*($U$146/$U$146)</f>
        <v>3.7</v>
      </c>
      <c r="Z81" s="66">
        <f>JRC_Data!BL45/1000</f>
        <v>6.2E-2</v>
      </c>
      <c r="AA81" s="66"/>
      <c r="AB81" s="66"/>
      <c r="AC81" s="66"/>
      <c r="AD81" s="66"/>
      <c r="AE81" s="66"/>
      <c r="AF81" s="66">
        <f t="shared" si="28"/>
        <v>0.18921600000000002</v>
      </c>
      <c r="AG81" s="70"/>
      <c r="AH81" s="69">
        <v>2019</v>
      </c>
      <c r="AI81" s="69">
        <v>6</v>
      </c>
    </row>
    <row r="82" spans="3:43" x14ac:dyDescent="0.2">
      <c r="C82" s="36" t="s">
        <v>325</v>
      </c>
      <c r="D82" s="36"/>
      <c r="E82" s="37"/>
      <c r="F82" s="37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7"/>
      <c r="U82" s="37"/>
      <c r="V82" s="36"/>
      <c r="W82" s="36"/>
      <c r="X82" s="36"/>
      <c r="Y82" s="36"/>
      <c r="Z82" s="36"/>
      <c r="AA82" s="37"/>
      <c r="AB82" s="39"/>
      <c r="AC82" s="39"/>
      <c r="AD82" s="39"/>
      <c r="AE82" s="39"/>
      <c r="AF82" s="36"/>
      <c r="AG82" s="37"/>
      <c r="AH82" s="37"/>
      <c r="AI82" s="37"/>
    </row>
    <row r="83" spans="3:43" x14ac:dyDescent="0.2">
      <c r="C83" s="32" t="str">
        <f>"R-SC_Att"&amp;"_"&amp;RIGHT(E83,3)&amp;"_N1"</f>
        <v>R-SC_Att_ELC_N1</v>
      </c>
      <c r="D83" s="100" t="s">
        <v>130</v>
      </c>
      <c r="E83" s="120" t="s">
        <v>162</v>
      </c>
      <c r="F83" s="120"/>
      <c r="G83" s="121" t="s">
        <v>150</v>
      </c>
      <c r="H83" s="118"/>
      <c r="I83" s="119"/>
      <c r="J83" s="119"/>
      <c r="K83" s="119"/>
      <c r="L83" s="274">
        <v>1</v>
      </c>
      <c r="M83" s="275">
        <f>JRC_Data!AD16/JRC_Data!$AC$16</f>
        <v>1.0666666666666667</v>
      </c>
      <c r="N83" s="275">
        <f>JRC_Data!AE16/JRC_Data!$AC$16</f>
        <v>1.2333333333333334</v>
      </c>
      <c r="O83" s="275">
        <f>JRC_Data!AF16/JRC_Data!$AC$16</f>
        <v>1.3333333333333333</v>
      </c>
      <c r="P83" s="119"/>
      <c r="Q83" s="119"/>
      <c r="R83" s="119"/>
      <c r="S83" s="103"/>
      <c r="T83" s="102">
        <v>20</v>
      </c>
      <c r="U83" s="103"/>
      <c r="V83" s="99">
        <f>(JRC_Data!BB16/1000)*($U$147/$U$152)</f>
        <v>1.9786641929499076</v>
      </c>
      <c r="W83" s="99">
        <f>(JRC_Data!BC16/1000)*($U$147/$U$152)</f>
        <v>1.8887249114521845</v>
      </c>
      <c r="X83" s="99">
        <f>(JRC_Data!BD16/1000)*($U$147/$U$152)</f>
        <v>1.7088463484567382</v>
      </c>
      <c r="Y83" s="99">
        <f>(JRC_Data!BE16/1000)*($U$147/$U$152)</f>
        <v>1.6189070669590153</v>
      </c>
      <c r="Z83" s="96">
        <f>JRC_Data!BL16/1000</f>
        <v>3.4000000000000002E-2</v>
      </c>
      <c r="AA83" s="96"/>
      <c r="AB83" s="96"/>
      <c r="AC83" s="96"/>
      <c r="AD83" s="96"/>
      <c r="AE83" s="96"/>
      <c r="AF83" s="96">
        <f t="shared" si="28"/>
        <v>0.18921600000000002</v>
      </c>
      <c r="AG83" s="95"/>
      <c r="AH83" s="95">
        <v>2019</v>
      </c>
      <c r="AI83" s="95">
        <v>6</v>
      </c>
    </row>
    <row r="87" spans="3:43" x14ac:dyDescent="0.2">
      <c r="AM87" s="14"/>
      <c r="AN87" s="14"/>
      <c r="AO87" s="14"/>
      <c r="AP87" s="14"/>
      <c r="AQ87" s="14"/>
    </row>
    <row r="88" spans="3:43" x14ac:dyDescent="0.2">
      <c r="H88" s="8" t="s">
        <v>22</v>
      </c>
    </row>
    <row r="89" spans="3:43" ht="45.75" thickBot="1" x14ac:dyDescent="0.25">
      <c r="C89" s="17" t="s">
        <v>24</v>
      </c>
      <c r="D89" s="18" t="s">
        <v>35</v>
      </c>
      <c r="E89" s="17" t="s">
        <v>26</v>
      </c>
      <c r="F89" s="17" t="s">
        <v>609</v>
      </c>
      <c r="G89" s="17" t="s">
        <v>27</v>
      </c>
      <c r="H89" s="20" t="s">
        <v>579</v>
      </c>
      <c r="I89" s="20" t="s">
        <v>580</v>
      </c>
      <c r="J89" s="20" t="s">
        <v>581</v>
      </c>
      <c r="K89" s="20" t="s">
        <v>582</v>
      </c>
      <c r="L89" s="20" t="s">
        <v>583</v>
      </c>
      <c r="M89" s="20" t="s">
        <v>584</v>
      </c>
      <c r="N89" s="20" t="s">
        <v>585</v>
      </c>
      <c r="O89" s="20" t="s">
        <v>586</v>
      </c>
      <c r="P89" s="20" t="s">
        <v>587</v>
      </c>
      <c r="Q89" s="20" t="s">
        <v>588</v>
      </c>
      <c r="R89" s="20" t="s">
        <v>589</v>
      </c>
      <c r="S89" s="20" t="s">
        <v>590</v>
      </c>
      <c r="T89" s="21" t="s">
        <v>29</v>
      </c>
      <c r="U89" s="21" t="s">
        <v>82</v>
      </c>
      <c r="V89" s="20" t="s">
        <v>260</v>
      </c>
      <c r="W89" s="20" t="s">
        <v>94</v>
      </c>
      <c r="X89" s="20" t="s">
        <v>95</v>
      </c>
      <c r="Y89" s="20" t="s">
        <v>96</v>
      </c>
      <c r="Z89" s="20" t="s">
        <v>67</v>
      </c>
      <c r="AA89" s="20" t="s">
        <v>68</v>
      </c>
      <c r="AB89" s="20" t="s">
        <v>329</v>
      </c>
      <c r="AC89" s="20" t="s">
        <v>330</v>
      </c>
      <c r="AD89" s="20" t="s">
        <v>331</v>
      </c>
      <c r="AE89" s="20" t="s">
        <v>262</v>
      </c>
      <c r="AF89" s="20" t="s">
        <v>83</v>
      </c>
      <c r="AG89" s="20" t="s">
        <v>316</v>
      </c>
      <c r="AH89" s="20" t="s">
        <v>84</v>
      </c>
      <c r="AI89" s="20" t="s">
        <v>607</v>
      </c>
    </row>
    <row r="90" spans="3:43" ht="38.25" x14ac:dyDescent="0.2">
      <c r="C90" s="19" t="s">
        <v>85</v>
      </c>
      <c r="D90" s="19" t="s">
        <v>36</v>
      </c>
      <c r="E90" s="19" t="s">
        <v>86</v>
      </c>
      <c r="F90" s="19" t="s">
        <v>610</v>
      </c>
      <c r="G90" s="19" t="s">
        <v>87</v>
      </c>
      <c r="H90" s="537" t="s">
        <v>88</v>
      </c>
      <c r="I90" s="538"/>
      <c r="J90" s="538"/>
      <c r="K90" s="539"/>
      <c r="L90" s="537" t="s">
        <v>89</v>
      </c>
      <c r="M90" s="538"/>
      <c r="N90" s="538"/>
      <c r="O90" s="539"/>
      <c r="P90" s="537" t="s">
        <v>90</v>
      </c>
      <c r="Q90" s="538"/>
      <c r="R90" s="538"/>
      <c r="S90" s="539"/>
      <c r="T90" s="537" t="s">
        <v>91</v>
      </c>
      <c r="U90" s="539"/>
      <c r="V90" s="540" t="s">
        <v>92</v>
      </c>
      <c r="W90" s="541"/>
      <c r="X90" s="541"/>
      <c r="Y90" s="542"/>
      <c r="Z90" s="63"/>
      <c r="AA90" s="63"/>
      <c r="AB90" s="71" t="s">
        <v>223</v>
      </c>
      <c r="AC90" s="74" t="s">
        <v>223</v>
      </c>
      <c r="AD90" s="74" t="s">
        <v>223</v>
      </c>
      <c r="AE90" s="74" t="s">
        <v>261</v>
      </c>
      <c r="AF90" s="63" t="s">
        <v>72</v>
      </c>
      <c r="AG90" s="63" t="s">
        <v>93</v>
      </c>
      <c r="AH90" s="63"/>
      <c r="AI90" s="63"/>
      <c r="AK90" s="13" t="s">
        <v>23</v>
      </c>
      <c r="AL90" s="14"/>
      <c r="AM90" s="14"/>
      <c r="AN90" s="14"/>
      <c r="AO90" s="14"/>
      <c r="AP90" s="14"/>
      <c r="AQ90" s="14"/>
    </row>
    <row r="91" spans="3:43" ht="15.75" thickBot="1" x14ac:dyDescent="0.25">
      <c r="C91" s="17" t="s">
        <v>604</v>
      </c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388"/>
      <c r="U91" s="388"/>
      <c r="V91" s="388"/>
      <c r="W91" s="388"/>
      <c r="X91" s="388"/>
      <c r="Y91" s="388"/>
      <c r="Z91" s="388"/>
      <c r="AA91" s="388"/>
      <c r="AB91" s="388"/>
      <c r="AC91" s="388"/>
      <c r="AD91" s="388"/>
      <c r="AE91" s="388"/>
      <c r="AF91" s="388"/>
      <c r="AG91" s="388"/>
      <c r="AH91" s="388"/>
      <c r="AI91" s="388"/>
      <c r="AK91" s="15" t="s">
        <v>30</v>
      </c>
      <c r="AL91" s="15" t="s">
        <v>24</v>
      </c>
      <c r="AM91" s="15" t="s">
        <v>25</v>
      </c>
      <c r="AN91" s="15" t="s">
        <v>31</v>
      </c>
      <c r="AO91" s="15" t="s">
        <v>32</v>
      </c>
      <c r="AP91" s="15" t="s">
        <v>33</v>
      </c>
      <c r="AQ91" s="15" t="s">
        <v>73</v>
      </c>
    </row>
    <row r="92" spans="3:43" ht="33.75" x14ac:dyDescent="0.2">
      <c r="C92" s="40" t="s">
        <v>318</v>
      </c>
      <c r="D92" s="41"/>
      <c r="E92" s="41"/>
      <c r="F92" s="41"/>
      <c r="G92" s="42"/>
      <c r="H92" s="531" t="s">
        <v>37</v>
      </c>
      <c r="I92" s="532"/>
      <c r="J92" s="532"/>
      <c r="K92" s="533"/>
      <c r="L92" s="532" t="s">
        <v>37</v>
      </c>
      <c r="M92" s="532"/>
      <c r="N92" s="532"/>
      <c r="O92" s="533"/>
      <c r="P92" s="531" t="s">
        <v>37</v>
      </c>
      <c r="Q92" s="532"/>
      <c r="R92" s="532"/>
      <c r="S92" s="533"/>
      <c r="T92" s="534" t="s">
        <v>74</v>
      </c>
      <c r="U92" s="535"/>
      <c r="V92" s="534" t="s">
        <v>552</v>
      </c>
      <c r="W92" s="536"/>
      <c r="X92" s="536"/>
      <c r="Y92" s="535"/>
      <c r="Z92" s="389" t="s">
        <v>564</v>
      </c>
      <c r="AA92" s="389" t="s">
        <v>99</v>
      </c>
      <c r="AB92" s="390" t="s">
        <v>37</v>
      </c>
      <c r="AC92" s="389" t="s">
        <v>37</v>
      </c>
      <c r="AD92" s="389" t="s">
        <v>37</v>
      </c>
      <c r="AE92" s="389"/>
      <c r="AF92" s="391" t="s">
        <v>332</v>
      </c>
      <c r="AG92" s="389" t="s">
        <v>37</v>
      </c>
      <c r="AH92" s="389" t="s">
        <v>100</v>
      </c>
      <c r="AI92" s="389" t="s">
        <v>608</v>
      </c>
      <c r="AK92" s="224" t="s">
        <v>75</v>
      </c>
      <c r="AL92" s="224" t="s">
        <v>76</v>
      </c>
      <c r="AM92" s="224" t="s">
        <v>36</v>
      </c>
      <c r="AN92" s="224" t="s">
        <v>77</v>
      </c>
      <c r="AO92" s="224" t="s">
        <v>78</v>
      </c>
      <c r="AP92" s="224" t="s">
        <v>79</v>
      </c>
      <c r="AQ92" s="224" t="s">
        <v>80</v>
      </c>
    </row>
    <row r="93" spans="3:43" ht="15" x14ac:dyDescent="0.25">
      <c r="C93" s="22" t="str">
        <f>"R-SH_Det"&amp;"_"&amp;RIGHT(E93,3)&amp;"_N1"</f>
        <v>R-SH_Det_KER_N1</v>
      </c>
      <c r="D93" s="23" t="s">
        <v>102</v>
      </c>
      <c r="E93" s="92" t="s">
        <v>305</v>
      </c>
      <c r="F93" s="92"/>
      <c r="G93" s="59" t="s">
        <v>156</v>
      </c>
      <c r="H93" s="22">
        <v>1</v>
      </c>
      <c r="I93" s="23">
        <v>1</v>
      </c>
      <c r="J93" s="23">
        <v>1</v>
      </c>
      <c r="K93" s="59">
        <v>1</v>
      </c>
      <c r="L93" s="49"/>
      <c r="M93" s="50"/>
      <c r="N93" s="50"/>
      <c r="O93" s="51"/>
      <c r="P93" s="22"/>
      <c r="Q93" s="23"/>
      <c r="R93" s="23"/>
      <c r="S93" s="59"/>
      <c r="T93" s="57">
        <v>20</v>
      </c>
      <c r="U93" s="44"/>
      <c r="V93" s="395">
        <f>V97*1.3</f>
        <v>4.5825000000000005</v>
      </c>
      <c r="W93" s="395">
        <f t="shared" ref="W93:Y93" si="62">W97*1.3</f>
        <v>4.5825000000000005</v>
      </c>
      <c r="X93" s="395">
        <f t="shared" si="62"/>
        <v>4.5825000000000005</v>
      </c>
      <c r="Y93" s="395">
        <f t="shared" si="62"/>
        <v>4.5825000000000005</v>
      </c>
      <c r="Z93" s="395">
        <v>0.12</v>
      </c>
      <c r="AA93" s="68"/>
      <c r="AB93" s="45"/>
      <c r="AC93" s="75"/>
      <c r="AD93" s="75"/>
      <c r="AE93" s="75"/>
      <c r="AF93" s="65">
        <f t="shared" ref="AF93:AF131" si="63">31.536*(AI93/1000)</f>
        <v>0.94608000000000003</v>
      </c>
      <c r="AG93" s="68"/>
      <c r="AH93" s="68">
        <v>2019</v>
      </c>
      <c r="AI93" s="68">
        <v>30</v>
      </c>
      <c r="AK93" s="109" t="s">
        <v>34</v>
      </c>
      <c r="AL93" s="108" t="str">
        <f>C93</f>
        <v>R-SH_Det_KER_N1</v>
      </c>
      <c r="AM93" s="108" t="str">
        <f>D93</f>
        <v>Residential Kerosene Heating Oil - New 1 SH</v>
      </c>
      <c r="AN93" s="109" t="s">
        <v>16</v>
      </c>
      <c r="AO93" s="109" t="s">
        <v>189</v>
      </c>
      <c r="AP93" s="109"/>
      <c r="AQ93" s="109" t="s">
        <v>81</v>
      </c>
    </row>
    <row r="94" spans="3:43" ht="15" x14ac:dyDescent="0.25">
      <c r="C94" s="25" t="str">
        <f>"R-SW_Det"&amp;"_"&amp;RIGHT(E94,3)&amp;"_N1"</f>
        <v>R-SW_Det_KER_N1</v>
      </c>
      <c r="D94" s="26" t="s">
        <v>103</v>
      </c>
      <c r="E94" s="27" t="s">
        <v>305</v>
      </c>
      <c r="F94" s="27"/>
      <c r="G94" s="60" t="s">
        <v>302</v>
      </c>
      <c r="H94" s="25">
        <v>1</v>
      </c>
      <c r="I94" s="26">
        <v>1</v>
      </c>
      <c r="J94" s="26">
        <v>1</v>
      </c>
      <c r="K94" s="60">
        <v>1</v>
      </c>
      <c r="L94" s="47"/>
      <c r="M94" s="35"/>
      <c r="N94" s="35"/>
      <c r="O94" s="48"/>
      <c r="P94" s="25">
        <f>H94*0.7</f>
        <v>0.7</v>
      </c>
      <c r="Q94" s="26">
        <f t="shared" ref="Q94:Q96" si="64">I94*0.7</f>
        <v>0.7</v>
      </c>
      <c r="R94" s="26">
        <f t="shared" ref="R94:R96" si="65">J94*0.7</f>
        <v>0.7</v>
      </c>
      <c r="S94" s="60">
        <f t="shared" ref="S94:S96" si="66">K94*0.7</f>
        <v>0.7</v>
      </c>
      <c r="T94" s="56">
        <v>20</v>
      </c>
      <c r="U94" s="28"/>
      <c r="V94" s="396">
        <f>V98*1.3</f>
        <v>4.9452075289575284</v>
      </c>
      <c r="W94" s="396">
        <f t="shared" ref="W94:Y94" si="67">W98*1.3</f>
        <v>4.9452075289575284</v>
      </c>
      <c r="X94" s="396">
        <f t="shared" si="67"/>
        <v>4.9452075289575284</v>
      </c>
      <c r="Y94" s="396">
        <f t="shared" si="67"/>
        <v>4.9452075289575284</v>
      </c>
      <c r="Z94" s="396">
        <v>0.12</v>
      </c>
      <c r="AA94" s="69"/>
      <c r="AB94" s="47"/>
      <c r="AC94" s="76"/>
      <c r="AD94" s="76"/>
      <c r="AE94" s="76"/>
      <c r="AF94" s="66">
        <f t="shared" si="63"/>
        <v>1.1983680000000001</v>
      </c>
      <c r="AG94" s="69"/>
      <c r="AH94" s="69">
        <v>2019</v>
      </c>
      <c r="AI94" s="69">
        <v>38</v>
      </c>
      <c r="AK94" s="109"/>
      <c r="AL94" s="108" t="str">
        <f t="shared" ref="AL94:AL108" si="68">C94</f>
        <v>R-SW_Det_KER_N1</v>
      </c>
      <c r="AM94" s="108" t="str">
        <f t="shared" ref="AM94:AM108" si="69">D94</f>
        <v>Residential Kerosene Heating Oil - New 2 SH + WH</v>
      </c>
      <c r="AN94" s="109" t="s">
        <v>16</v>
      </c>
      <c r="AO94" s="109" t="s">
        <v>189</v>
      </c>
      <c r="AP94" s="109"/>
      <c r="AQ94" s="109" t="s">
        <v>81</v>
      </c>
    </row>
    <row r="95" spans="3:43" ht="15" x14ac:dyDescent="0.25">
      <c r="C95" s="43" t="str">
        <f>"R-SW_Det"&amp;"_"&amp;RIGHT(E95,3)&amp;"_N2"</f>
        <v>R-SW_Det_KER_N2</v>
      </c>
      <c r="D95" s="32" t="s">
        <v>104</v>
      </c>
      <c r="E95" s="33" t="s">
        <v>307</v>
      </c>
      <c r="F95" s="33"/>
      <c r="G95" s="61" t="s">
        <v>302</v>
      </c>
      <c r="H95" s="43">
        <v>1</v>
      </c>
      <c r="I95" s="32">
        <v>1</v>
      </c>
      <c r="J95" s="32">
        <v>1</v>
      </c>
      <c r="K95" s="61">
        <v>1</v>
      </c>
      <c r="L95" s="45"/>
      <c r="M95" s="34"/>
      <c r="N95" s="34"/>
      <c r="O95" s="46"/>
      <c r="P95" s="43">
        <f>H95*0.7</f>
        <v>0.7</v>
      </c>
      <c r="Q95" s="32">
        <f t="shared" si="64"/>
        <v>0.7</v>
      </c>
      <c r="R95" s="32">
        <f t="shared" si="65"/>
        <v>0.7</v>
      </c>
      <c r="S95" s="61">
        <f t="shared" si="66"/>
        <v>0.7</v>
      </c>
      <c r="T95" s="57">
        <v>20</v>
      </c>
      <c r="U95" s="44"/>
      <c r="V95" s="65">
        <f>((JRC_Data!BB7+JRC_Data!BB45)*0.8/1000)*$U$154</f>
        <v>10.359845559845558</v>
      </c>
      <c r="W95" s="65">
        <f>((JRC_Data!BC7+JRC_Data!BC45)*0.8/1000)*$U$154</f>
        <v>10.10084942084942</v>
      </c>
      <c r="X95" s="65">
        <f>((JRC_Data!BD7+JRC_Data!BD45)*0.8/1000)*$U$154</f>
        <v>9.6691891891891899</v>
      </c>
      <c r="Y95" s="65">
        <f>((JRC_Data!BE7+JRC_Data!BE45)*0.8/1000)*$U$154</f>
        <v>8.8922007722007717</v>
      </c>
      <c r="Z95" s="61">
        <f>((JRC_Data!BL7+JRC_Data!BL45)*0.8)/1000</f>
        <v>0.2656</v>
      </c>
      <c r="AA95" s="68"/>
      <c r="AB95" s="45">
        <v>0.1</v>
      </c>
      <c r="AC95" s="75"/>
      <c r="AD95" s="75"/>
      <c r="AE95" s="229">
        <v>5</v>
      </c>
      <c r="AF95" s="65">
        <f t="shared" si="63"/>
        <v>1.1983680000000001</v>
      </c>
      <c r="AG95" s="68"/>
      <c r="AH95" s="68">
        <v>2019</v>
      </c>
      <c r="AI95" s="68">
        <v>38</v>
      </c>
      <c r="AK95" s="109"/>
      <c r="AL95" s="108" t="str">
        <f t="shared" si="68"/>
        <v>R-SW_Det_KER_N2</v>
      </c>
      <c r="AM95" s="108" t="str">
        <f t="shared" si="69"/>
        <v>Residential Kerosene Heating Oil - New 3 SH+WH + Solar</v>
      </c>
      <c r="AN95" s="109" t="s">
        <v>16</v>
      </c>
      <c r="AO95" s="109" t="s">
        <v>189</v>
      </c>
      <c r="AP95" s="109"/>
      <c r="AQ95" s="109" t="s">
        <v>81</v>
      </c>
    </row>
    <row r="96" spans="3:43" ht="15" x14ac:dyDescent="0.25">
      <c r="C96" s="25" t="str">
        <f>"R-SW_Det"&amp;"_"&amp;RIGHT(E96,3)&amp;"_N3"</f>
        <v>R-SW_Det_KER_N3</v>
      </c>
      <c r="D96" s="26" t="s">
        <v>108</v>
      </c>
      <c r="E96" s="27" t="s">
        <v>308</v>
      </c>
      <c r="F96" s="27"/>
      <c r="G96" s="60" t="s">
        <v>302</v>
      </c>
      <c r="H96" s="25">
        <v>1</v>
      </c>
      <c r="I96" s="26">
        <v>1.0249999999999999</v>
      </c>
      <c r="J96" s="26">
        <v>1.0249999999999999</v>
      </c>
      <c r="K96" s="60">
        <v>1.0249999999999999</v>
      </c>
      <c r="L96" s="47"/>
      <c r="M96" s="35"/>
      <c r="N96" s="35"/>
      <c r="O96" s="48"/>
      <c r="P96" s="25">
        <f>H96*0.7</f>
        <v>0.7</v>
      </c>
      <c r="Q96" s="26">
        <f t="shared" si="64"/>
        <v>0.71749999999999992</v>
      </c>
      <c r="R96" s="26">
        <f t="shared" si="65"/>
        <v>0.71749999999999992</v>
      </c>
      <c r="S96" s="60">
        <f t="shared" si="66"/>
        <v>0.71749999999999992</v>
      </c>
      <c r="T96" s="56">
        <v>20</v>
      </c>
      <c r="U96" s="28"/>
      <c r="V96" s="66">
        <f>((JRC_Data!BB7+JRC_Data!BB11)*0.8/1000)*$U$154</f>
        <v>11.525328185328185</v>
      </c>
      <c r="W96" s="66">
        <f>((JRC_Data!BC7+JRC_Data!BC11)*0.8/1000)*$U$154</f>
        <v>11.525328185328185</v>
      </c>
      <c r="X96" s="66">
        <f>((JRC_Data!BD7+JRC_Data!BD11)*0.8/1000)*$U$154</f>
        <v>12.172818532818532</v>
      </c>
      <c r="Y96" s="66">
        <f>((JRC_Data!BE7+JRC_Data!BE11)*0.8/1000)*$U$154</f>
        <v>12.172818532818532</v>
      </c>
      <c r="Z96" s="61">
        <f>((JRC_Data!BL7+JRC_Data!BL11)*0.8)/1000</f>
        <v>0.23680000000000001</v>
      </c>
      <c r="AA96" s="69"/>
      <c r="AB96" s="47"/>
      <c r="AC96" s="76">
        <v>0.47</v>
      </c>
      <c r="AD96" s="76"/>
      <c r="AE96" s="69">
        <v>5</v>
      </c>
      <c r="AF96" s="66">
        <f t="shared" si="63"/>
        <v>1.1983680000000001</v>
      </c>
      <c r="AG96" s="69"/>
      <c r="AH96" s="69">
        <v>2019</v>
      </c>
      <c r="AI96" s="69">
        <v>38</v>
      </c>
      <c r="AK96" s="109"/>
      <c r="AL96" s="108" t="str">
        <f t="shared" si="68"/>
        <v>R-SW_Det_KER_N3</v>
      </c>
      <c r="AM96" s="108" t="str">
        <f t="shared" si="69"/>
        <v>Residential Kerosene Heating Oil - New 3 SH+WH + Wood Stove</v>
      </c>
      <c r="AN96" s="110" t="s">
        <v>16</v>
      </c>
      <c r="AO96" s="110" t="s">
        <v>189</v>
      </c>
      <c r="AP96" s="109"/>
      <c r="AQ96" s="109"/>
    </row>
    <row r="97" spans="3:43" ht="15" x14ac:dyDescent="0.25">
      <c r="C97" s="43" t="str">
        <f>"R-SH_Det"&amp;"_"&amp;RIGHT(E97,3)&amp;"_N1"</f>
        <v>R-SH_Det_GAS_N1</v>
      </c>
      <c r="D97" s="32" t="s">
        <v>101</v>
      </c>
      <c r="E97" s="33" t="s">
        <v>310</v>
      </c>
      <c r="F97" s="33"/>
      <c r="G97" s="61" t="s">
        <v>156</v>
      </c>
      <c r="H97" s="43">
        <v>1</v>
      </c>
      <c r="I97" s="32">
        <v>1</v>
      </c>
      <c r="J97" s="32">
        <v>1</v>
      </c>
      <c r="K97" s="61">
        <v>1</v>
      </c>
      <c r="L97" s="45"/>
      <c r="M97" s="34"/>
      <c r="N97" s="34"/>
      <c r="O97" s="46"/>
      <c r="P97" s="43"/>
      <c r="Q97" s="32"/>
      <c r="R97" s="32"/>
      <c r="S97" s="61"/>
      <c r="T97" s="57">
        <v>20</v>
      </c>
      <c r="U97" s="44"/>
      <c r="V97" s="395">
        <f>3.525</f>
        <v>3.5249999999999999</v>
      </c>
      <c r="W97" s="395">
        <f t="shared" ref="W97:Y97" si="70">3.525</f>
        <v>3.5249999999999999</v>
      </c>
      <c r="X97" s="395">
        <f t="shared" si="70"/>
        <v>3.5249999999999999</v>
      </c>
      <c r="Y97" s="395">
        <f t="shared" si="70"/>
        <v>3.5249999999999999</v>
      </c>
      <c r="Z97" s="395">
        <v>0.12</v>
      </c>
      <c r="AA97" s="68"/>
      <c r="AB97" s="45"/>
      <c r="AC97" s="75"/>
      <c r="AD97" s="75"/>
      <c r="AE97" s="75"/>
      <c r="AF97" s="65">
        <f t="shared" si="63"/>
        <v>0.94608000000000003</v>
      </c>
      <c r="AG97" s="68"/>
      <c r="AH97" s="68">
        <v>2019</v>
      </c>
      <c r="AI97" s="68">
        <v>30</v>
      </c>
      <c r="AK97" s="109"/>
      <c r="AL97" s="108" t="str">
        <f t="shared" si="68"/>
        <v>R-SH_Det_GAS_N1</v>
      </c>
      <c r="AM97" s="108" t="str">
        <f t="shared" si="69"/>
        <v>Residential Natural Gas Heating - New 1 SH</v>
      </c>
      <c r="AN97" s="109" t="s">
        <v>16</v>
      </c>
      <c r="AO97" s="109" t="s">
        <v>189</v>
      </c>
      <c r="AP97" s="109"/>
      <c r="AQ97" s="109" t="s">
        <v>81</v>
      </c>
    </row>
    <row r="98" spans="3:43" ht="15" x14ac:dyDescent="0.25">
      <c r="C98" s="25" t="str">
        <f>"R-SW_Det"&amp;"_"&amp;RIGHT(E98,3)&amp;"_N1"</f>
        <v>R-SW_Det_GAS_N1</v>
      </c>
      <c r="D98" s="26" t="s">
        <v>105</v>
      </c>
      <c r="E98" s="27" t="s">
        <v>310</v>
      </c>
      <c r="F98" s="27"/>
      <c r="G98" s="60" t="s">
        <v>302</v>
      </c>
      <c r="H98" s="25">
        <v>1</v>
      </c>
      <c r="I98" s="26">
        <v>1</v>
      </c>
      <c r="J98" s="26">
        <v>1</v>
      </c>
      <c r="K98" s="60">
        <v>1</v>
      </c>
      <c r="L98" s="47"/>
      <c r="M98" s="35"/>
      <c r="N98" s="35"/>
      <c r="O98" s="48"/>
      <c r="P98" s="25">
        <f>H98*0.7</f>
        <v>0.7</v>
      </c>
      <c r="Q98" s="26">
        <f t="shared" ref="Q98:Q100" si="71">I98*0.7</f>
        <v>0.7</v>
      </c>
      <c r="R98" s="26">
        <f t="shared" ref="R98:R100" si="72">J98*0.7</f>
        <v>0.7</v>
      </c>
      <c r="S98" s="60">
        <f t="shared" ref="S98:S100" si="73">K98*0.7</f>
        <v>0.7</v>
      </c>
      <c r="T98" s="56">
        <v>20</v>
      </c>
      <c r="U98" s="28"/>
      <c r="V98" s="396">
        <f>V97*($U$154/$U$153)</f>
        <v>3.8040057915057912</v>
      </c>
      <c r="W98" s="396">
        <f>W97*($U$154/$U$153)</f>
        <v>3.8040057915057912</v>
      </c>
      <c r="X98" s="396">
        <f>X97*($U$154/$U$153)</f>
        <v>3.8040057915057912</v>
      </c>
      <c r="Y98" s="396">
        <f>Y97*($U$154/$U$153)</f>
        <v>3.8040057915057912</v>
      </c>
      <c r="Z98" s="396">
        <v>0.12</v>
      </c>
      <c r="AA98" s="69"/>
      <c r="AB98" s="47"/>
      <c r="AC98" s="76"/>
      <c r="AD98" s="76"/>
      <c r="AE98" s="76"/>
      <c r="AF98" s="66">
        <f t="shared" si="63"/>
        <v>1.1983680000000001</v>
      </c>
      <c r="AG98" s="69"/>
      <c r="AH98" s="69">
        <v>2019</v>
      </c>
      <c r="AI98" s="69">
        <v>38</v>
      </c>
      <c r="AK98" s="109"/>
      <c r="AL98" s="108" t="str">
        <f t="shared" si="68"/>
        <v>R-SW_Det_GAS_N1</v>
      </c>
      <c r="AM98" s="108" t="str">
        <f t="shared" si="69"/>
        <v>Residential Natural Gas Heating - New 2 SH + WH</v>
      </c>
      <c r="AN98" s="109" t="s">
        <v>16</v>
      </c>
      <c r="AO98" s="109" t="s">
        <v>189</v>
      </c>
      <c r="AP98" s="109"/>
      <c r="AQ98" s="109" t="s">
        <v>81</v>
      </c>
    </row>
    <row r="99" spans="3:43" ht="15" x14ac:dyDescent="0.25">
      <c r="C99" s="43" t="str">
        <f>"R-SW_Det"&amp;"_"&amp;RIGHT(E99,3)&amp;"_N2"</f>
        <v>R-SW_Det_GAS_N2</v>
      </c>
      <c r="D99" s="32" t="s">
        <v>106</v>
      </c>
      <c r="E99" s="33" t="s">
        <v>311</v>
      </c>
      <c r="F99" s="33"/>
      <c r="G99" s="61" t="s">
        <v>302</v>
      </c>
      <c r="H99" s="43">
        <v>1</v>
      </c>
      <c r="I99" s="32">
        <v>1</v>
      </c>
      <c r="J99" s="32">
        <v>1</v>
      </c>
      <c r="K99" s="61">
        <v>1</v>
      </c>
      <c r="L99" s="45"/>
      <c r="M99" s="34"/>
      <c r="N99" s="34"/>
      <c r="O99" s="46"/>
      <c r="P99" s="43">
        <f>H99*0.7</f>
        <v>0.7</v>
      </c>
      <c r="Q99" s="32">
        <f t="shared" si="71"/>
        <v>0.7</v>
      </c>
      <c r="R99" s="32">
        <f t="shared" si="72"/>
        <v>0.7</v>
      </c>
      <c r="S99" s="61">
        <f t="shared" si="73"/>
        <v>0.7</v>
      </c>
      <c r="T99" s="57">
        <v>20</v>
      </c>
      <c r="U99" s="44"/>
      <c r="V99" s="65">
        <v>13.025</v>
      </c>
      <c r="W99" s="395">
        <f>V99*0.9685</f>
        <v>12.614712500000001</v>
      </c>
      <c r="X99" s="395">
        <f>V99*0.916</f>
        <v>11.930900000000001</v>
      </c>
      <c r="Y99" s="395">
        <f>V99*0.812</f>
        <v>10.576300000000002</v>
      </c>
      <c r="Z99" s="61">
        <v>0.19</v>
      </c>
      <c r="AA99" s="68"/>
      <c r="AB99" s="45">
        <v>0.1</v>
      </c>
      <c r="AC99" s="75"/>
      <c r="AD99" s="75"/>
      <c r="AE99" s="229">
        <v>5</v>
      </c>
      <c r="AF99" s="65">
        <f t="shared" si="63"/>
        <v>1.1983680000000001</v>
      </c>
      <c r="AG99" s="68"/>
      <c r="AH99" s="68">
        <v>2019</v>
      </c>
      <c r="AI99" s="68">
        <v>38</v>
      </c>
      <c r="AK99" s="109"/>
      <c r="AL99" s="108" t="str">
        <f t="shared" si="68"/>
        <v>R-SW_Det_GAS_N2</v>
      </c>
      <c r="AM99" s="108" t="str">
        <f t="shared" si="69"/>
        <v>Residential Natural Gas Heating - New 3 SH + WH + Solar</v>
      </c>
      <c r="AN99" s="109" t="s">
        <v>16</v>
      </c>
      <c r="AO99" s="109" t="s">
        <v>189</v>
      </c>
      <c r="AP99" s="109"/>
      <c r="AQ99" s="109" t="s">
        <v>81</v>
      </c>
    </row>
    <row r="100" spans="3:43" ht="15" x14ac:dyDescent="0.25">
      <c r="C100" s="25" t="str">
        <f>"R-SW_Det"&amp;"_"&amp;RIGHT(E100,3)&amp;"_N3"</f>
        <v>R-SW_Det_GAS_N3</v>
      </c>
      <c r="D100" s="26" t="s">
        <v>107</v>
      </c>
      <c r="E100" s="27" t="s">
        <v>312</v>
      </c>
      <c r="F100" s="27"/>
      <c r="G100" s="60" t="s">
        <v>302</v>
      </c>
      <c r="H100" s="25">
        <v>1</v>
      </c>
      <c r="I100" s="26">
        <v>1.0249999999999999</v>
      </c>
      <c r="J100" s="26">
        <v>1.0249999999999999</v>
      </c>
      <c r="K100" s="60">
        <v>1.0249999999999999</v>
      </c>
      <c r="L100" s="47"/>
      <c r="M100" s="35"/>
      <c r="N100" s="35"/>
      <c r="O100" s="48"/>
      <c r="P100" s="25">
        <f>H100*0.7</f>
        <v>0.7</v>
      </c>
      <c r="Q100" s="26">
        <f t="shared" si="71"/>
        <v>0.71749999999999992</v>
      </c>
      <c r="R100" s="26">
        <f t="shared" si="72"/>
        <v>0.71749999999999992</v>
      </c>
      <c r="S100" s="60">
        <f t="shared" si="73"/>
        <v>0.71749999999999992</v>
      </c>
      <c r="T100" s="56">
        <v>20</v>
      </c>
      <c r="U100" s="28"/>
      <c r="V100" s="66">
        <f>((JRC_Data!BB9+JRC_Data!BB11)*0.8/1000)*($U$154/$U$151)</f>
        <v>9.9326446280991725</v>
      </c>
      <c r="W100" s="66">
        <f>((JRC_Data!BC9+JRC_Data!BC11)*0.8/1000)*($U$154/$U$151)</f>
        <v>9.9326446280991725</v>
      </c>
      <c r="X100" s="66">
        <f>((JRC_Data!BD9+JRC_Data!BD11)*0.8/1000)*($U$154/$U$151)</f>
        <v>10.625619834710744</v>
      </c>
      <c r="Y100" s="66">
        <f>((JRC_Data!BE9+JRC_Data!BE11)*0.8/1000)*($U$154/$U$151)</f>
        <v>10.625619834710744</v>
      </c>
      <c r="Z100" s="61">
        <f>((JRC_Data!BL9+JRC_Data!BL11)*0.8)/1000</f>
        <v>0.20880000000000001</v>
      </c>
      <c r="AA100" s="69"/>
      <c r="AB100" s="47"/>
      <c r="AC100" s="76">
        <v>0.47</v>
      </c>
      <c r="AD100" s="76"/>
      <c r="AE100" s="69">
        <v>5</v>
      </c>
      <c r="AF100" s="66">
        <f t="shared" si="63"/>
        <v>1.1983680000000001</v>
      </c>
      <c r="AG100" s="69"/>
      <c r="AH100" s="69">
        <v>2019</v>
      </c>
      <c r="AI100" s="69">
        <v>38</v>
      </c>
      <c r="AK100" s="109"/>
      <c r="AL100" s="108" t="str">
        <f t="shared" si="68"/>
        <v>R-SW_Det_GAS_N3</v>
      </c>
      <c r="AM100" s="108" t="str">
        <f t="shared" si="69"/>
        <v>Residential Natural Gas Heating - New 4 SH + WH + Wood Stove</v>
      </c>
      <c r="AN100" s="109" t="s">
        <v>16</v>
      </c>
      <c r="AO100" s="109" t="s">
        <v>189</v>
      </c>
      <c r="AP100" s="109"/>
      <c r="AQ100" s="109" t="s">
        <v>81</v>
      </c>
    </row>
    <row r="101" spans="3:43" ht="15" x14ac:dyDescent="0.25">
      <c r="C101" s="43" t="str">
        <f>"R-SH_Det"&amp;"_"&amp;RIGHT(E101,3)&amp;"_N1"</f>
        <v>R-SH_Det_LPG_N1</v>
      </c>
      <c r="D101" s="32" t="s">
        <v>109</v>
      </c>
      <c r="E101" s="33" t="s">
        <v>306</v>
      </c>
      <c r="F101" s="33"/>
      <c r="G101" s="61" t="s">
        <v>156</v>
      </c>
      <c r="H101" s="43">
        <v>1</v>
      </c>
      <c r="I101" s="32">
        <v>1</v>
      </c>
      <c r="J101" s="32">
        <v>1</v>
      </c>
      <c r="K101" s="61">
        <v>1</v>
      </c>
      <c r="L101" s="45"/>
      <c r="M101" s="34"/>
      <c r="N101" s="34"/>
      <c r="O101" s="46"/>
      <c r="P101" s="43"/>
      <c r="Q101" s="32"/>
      <c r="R101" s="32"/>
      <c r="S101" s="61"/>
      <c r="T101" s="57">
        <v>20</v>
      </c>
      <c r="U101" s="44"/>
      <c r="V101" s="395">
        <f>V97+0.25</f>
        <v>3.7749999999999999</v>
      </c>
      <c r="W101" s="395">
        <f t="shared" ref="W101:Y101" si="74">W97+0.25</f>
        <v>3.7749999999999999</v>
      </c>
      <c r="X101" s="395">
        <f t="shared" si="74"/>
        <v>3.7749999999999999</v>
      </c>
      <c r="Y101" s="395">
        <f t="shared" si="74"/>
        <v>3.7749999999999999</v>
      </c>
      <c r="Z101" s="395">
        <f>SUM(0.12+0.15)</f>
        <v>0.27</v>
      </c>
      <c r="AA101" s="68"/>
      <c r="AB101" s="45"/>
      <c r="AC101" s="75"/>
      <c r="AD101" s="75"/>
      <c r="AE101" s="75"/>
      <c r="AF101" s="65">
        <f t="shared" si="63"/>
        <v>0.94608000000000003</v>
      </c>
      <c r="AG101" s="68"/>
      <c r="AH101" s="68">
        <v>2019</v>
      </c>
      <c r="AI101" s="68">
        <v>30</v>
      </c>
      <c r="AK101" s="109"/>
      <c r="AL101" s="108" t="str">
        <f t="shared" si="68"/>
        <v>R-SH_Det_LPG_N1</v>
      </c>
      <c r="AM101" s="108" t="str">
        <f t="shared" si="69"/>
        <v>Residential Liquid Petroleum Gas- New 1 SH</v>
      </c>
      <c r="AN101" s="109" t="s">
        <v>16</v>
      </c>
      <c r="AO101" s="109" t="s">
        <v>189</v>
      </c>
      <c r="AP101" s="109"/>
      <c r="AQ101" s="109" t="s">
        <v>81</v>
      </c>
    </row>
    <row r="102" spans="3:43" ht="15" x14ac:dyDescent="0.25">
      <c r="C102" s="25" t="str">
        <f>"R-SW_Det"&amp;"_"&amp;RIGHT(E102,3)&amp;"_N1"</f>
        <v>R-SW_Det_LPG_N1</v>
      </c>
      <c r="D102" s="26" t="s">
        <v>110</v>
      </c>
      <c r="E102" s="27" t="s">
        <v>306</v>
      </c>
      <c r="F102" s="27"/>
      <c r="G102" s="60" t="s">
        <v>302</v>
      </c>
      <c r="H102" s="25">
        <v>1</v>
      </c>
      <c r="I102" s="26">
        <v>1</v>
      </c>
      <c r="J102" s="26">
        <v>1</v>
      </c>
      <c r="K102" s="60">
        <v>1</v>
      </c>
      <c r="L102" s="47"/>
      <c r="M102" s="35"/>
      <c r="N102" s="35"/>
      <c r="O102" s="48"/>
      <c r="P102" s="25">
        <f>H102*0.7</f>
        <v>0.7</v>
      </c>
      <c r="Q102" s="26">
        <f t="shared" ref="Q102" si="75">I102*0.7</f>
        <v>0.7</v>
      </c>
      <c r="R102" s="26">
        <f t="shared" ref="R102" si="76">J102*0.7</f>
        <v>0.7</v>
      </c>
      <c r="S102" s="60">
        <f t="shared" ref="S102" si="77">K102*0.7</f>
        <v>0.7</v>
      </c>
      <c r="T102" s="56">
        <v>20</v>
      </c>
      <c r="U102" s="28"/>
      <c r="V102" s="396">
        <f>V98</f>
        <v>3.8040057915057912</v>
      </c>
      <c r="W102" s="396">
        <f t="shared" ref="W102:Y102" si="78">W98</f>
        <v>3.8040057915057912</v>
      </c>
      <c r="X102" s="396">
        <f t="shared" si="78"/>
        <v>3.8040057915057912</v>
      </c>
      <c r="Y102" s="396">
        <f t="shared" si="78"/>
        <v>3.8040057915057912</v>
      </c>
      <c r="Z102" s="395">
        <f>SUM(0.12+0.15)</f>
        <v>0.27</v>
      </c>
      <c r="AA102" s="69"/>
      <c r="AB102" s="47"/>
      <c r="AC102" s="76"/>
      <c r="AD102" s="76"/>
      <c r="AE102" s="76"/>
      <c r="AF102" s="66">
        <f t="shared" si="63"/>
        <v>1.1983680000000001</v>
      </c>
      <c r="AG102" s="69"/>
      <c r="AH102" s="69">
        <v>2019</v>
      </c>
      <c r="AI102" s="69">
        <v>38</v>
      </c>
      <c r="AK102" s="109"/>
      <c r="AL102" s="108" t="str">
        <f t="shared" si="68"/>
        <v>R-SW_Det_LPG_N1</v>
      </c>
      <c r="AM102" s="108" t="str">
        <f t="shared" si="69"/>
        <v>Residential Liquid Petroleum Gas- New 2 SH + WH</v>
      </c>
      <c r="AN102" s="109" t="s">
        <v>16</v>
      </c>
      <c r="AO102" s="109" t="s">
        <v>189</v>
      </c>
      <c r="AP102" s="109"/>
      <c r="AQ102" s="109" t="s">
        <v>81</v>
      </c>
    </row>
    <row r="103" spans="3:43" ht="15" x14ac:dyDescent="0.25">
      <c r="C103" s="43" t="str">
        <f>"R-SH_Det"&amp;"_"&amp;RIGHT(E103,3)&amp;"_N1"</f>
        <v>R-SH_Det_WOO_N1</v>
      </c>
      <c r="D103" s="32" t="s">
        <v>111</v>
      </c>
      <c r="E103" s="33" t="s">
        <v>309</v>
      </c>
      <c r="F103" s="33"/>
      <c r="G103" s="61" t="s">
        <v>156</v>
      </c>
      <c r="H103" s="43">
        <v>1</v>
      </c>
      <c r="I103" s="32">
        <v>1</v>
      </c>
      <c r="J103" s="32">
        <v>1</v>
      </c>
      <c r="K103" s="61">
        <v>1</v>
      </c>
      <c r="L103" s="45"/>
      <c r="M103" s="34"/>
      <c r="N103" s="34"/>
      <c r="O103" s="46"/>
      <c r="P103" s="43"/>
      <c r="Q103" s="32"/>
      <c r="R103" s="32"/>
      <c r="S103" s="61"/>
      <c r="T103" s="57">
        <v>20</v>
      </c>
      <c r="U103" s="44"/>
      <c r="V103" s="395">
        <v>22.5</v>
      </c>
      <c r="W103" s="395">
        <f>V103*0.96777</f>
        <v>21.774825</v>
      </c>
      <c r="X103" s="395">
        <f>V103*0.914844</f>
        <v>20.58399</v>
      </c>
      <c r="Y103" s="395">
        <f>V103*0.8181</f>
        <v>18.407250000000001</v>
      </c>
      <c r="Z103" s="395">
        <v>0.25</v>
      </c>
      <c r="AA103" s="68"/>
      <c r="AB103" s="45"/>
      <c r="AC103" s="75"/>
      <c r="AD103" s="75"/>
      <c r="AE103" s="75"/>
      <c r="AF103" s="65">
        <f t="shared" si="63"/>
        <v>0.94608000000000003</v>
      </c>
      <c r="AG103" s="68"/>
      <c r="AH103" s="68">
        <v>2019</v>
      </c>
      <c r="AI103" s="68">
        <v>30</v>
      </c>
      <c r="AK103" s="109"/>
      <c r="AL103" s="108" t="str">
        <f t="shared" si="68"/>
        <v>R-SH_Det_WOO_N1</v>
      </c>
      <c r="AM103" s="108" t="str">
        <f t="shared" si="69"/>
        <v>Residential Biomass Boiler - New 1 SH</v>
      </c>
      <c r="AN103" s="109" t="s">
        <v>16</v>
      </c>
      <c r="AO103" s="109" t="s">
        <v>189</v>
      </c>
      <c r="AP103" s="109"/>
      <c r="AQ103" s="109" t="s">
        <v>81</v>
      </c>
    </row>
    <row r="104" spans="3:43" ht="15.75" thickBot="1" x14ac:dyDescent="0.3">
      <c r="C104" s="25" t="str">
        <f>"R-SW_Det"&amp;"_"&amp;RIGHT(E104,3)&amp;"_N1"</f>
        <v>R-SW_Det_WOO_N1</v>
      </c>
      <c r="D104" s="26" t="s">
        <v>112</v>
      </c>
      <c r="E104" s="27" t="s">
        <v>309</v>
      </c>
      <c r="F104" s="27"/>
      <c r="G104" s="60" t="s">
        <v>302</v>
      </c>
      <c r="H104" s="25">
        <v>1</v>
      </c>
      <c r="I104" s="26">
        <v>1</v>
      </c>
      <c r="J104" s="26">
        <v>1</v>
      </c>
      <c r="K104" s="60">
        <v>1</v>
      </c>
      <c r="L104" s="47"/>
      <c r="M104" s="35"/>
      <c r="N104" s="35"/>
      <c r="O104" s="48"/>
      <c r="P104" s="25">
        <f t="shared" ref="P104:S104" si="79">H104*0.7</f>
        <v>0.7</v>
      </c>
      <c r="Q104" s="26">
        <f t="shared" si="79"/>
        <v>0.7</v>
      </c>
      <c r="R104" s="26">
        <f t="shared" si="79"/>
        <v>0.7</v>
      </c>
      <c r="S104" s="60">
        <f t="shared" si="79"/>
        <v>0.7</v>
      </c>
      <c r="T104" s="56">
        <v>20</v>
      </c>
      <c r="U104" s="28"/>
      <c r="V104" s="396">
        <f>V103*($U$152/$U$151)</f>
        <v>22.778925619834713</v>
      </c>
      <c r="W104" s="396">
        <f t="shared" ref="W104" si="80">W103*($U$152/$U$151)</f>
        <v>22.04476084710744</v>
      </c>
      <c r="X104" s="396">
        <f t="shared" ref="X104" si="81">X103*($U$152/$U$151)</f>
        <v>20.839163429752066</v>
      </c>
      <c r="Y104" s="396">
        <f t="shared" ref="Y104" si="82">Y103*($U$152/$U$151)</f>
        <v>18.635439049586779</v>
      </c>
      <c r="Z104" s="396">
        <v>0.25</v>
      </c>
      <c r="AA104" s="69"/>
      <c r="AB104" s="47"/>
      <c r="AC104" s="76"/>
      <c r="AD104" s="76"/>
      <c r="AE104" s="76"/>
      <c r="AF104" s="66">
        <f t="shared" si="63"/>
        <v>1.1983680000000001</v>
      </c>
      <c r="AG104" s="69"/>
      <c r="AH104" s="69">
        <v>2019</v>
      </c>
      <c r="AI104" s="69">
        <v>38</v>
      </c>
      <c r="AK104" s="112"/>
      <c r="AL104" s="111" t="str">
        <f t="shared" si="68"/>
        <v>R-SW_Det_WOO_N1</v>
      </c>
      <c r="AM104" s="111" t="str">
        <f t="shared" si="69"/>
        <v>Residential Biomass Boiler - New 2 SH + WH</v>
      </c>
      <c r="AN104" s="112" t="s">
        <v>16</v>
      </c>
      <c r="AO104" s="112" t="s">
        <v>189</v>
      </c>
      <c r="AP104" s="112"/>
      <c r="AQ104" s="112" t="s">
        <v>81</v>
      </c>
    </row>
    <row r="105" spans="3:43" ht="15.75" thickBot="1" x14ac:dyDescent="0.3">
      <c r="C105" s="43" t="str">
        <f>"R-SH_Det"&amp;"_"&amp;"FPL"&amp;"_N1"</f>
        <v>R-SH_Det_FPL_N1</v>
      </c>
      <c r="D105" s="32" t="s">
        <v>616</v>
      </c>
      <c r="E105" s="33" t="s">
        <v>613</v>
      </c>
      <c r="F105" s="33"/>
      <c r="G105" s="61" t="s">
        <v>156</v>
      </c>
      <c r="H105" s="43">
        <v>0.55000000000000004</v>
      </c>
      <c r="I105" s="43">
        <v>0.55000000000000004</v>
      </c>
      <c r="J105" s="43">
        <v>0.55000000000000004</v>
      </c>
      <c r="K105" s="43">
        <v>0.55000000000000004</v>
      </c>
      <c r="L105" s="47"/>
      <c r="M105" s="35"/>
      <c r="N105" s="35"/>
      <c r="O105" s="48"/>
      <c r="P105" s="25"/>
      <c r="Q105" s="26"/>
      <c r="R105" s="26"/>
      <c r="S105" s="60"/>
      <c r="T105" s="57">
        <v>20</v>
      </c>
      <c r="U105" s="28"/>
      <c r="V105" s="396">
        <f>((JRC_Data!BB13)/1000)*$U$153</f>
        <v>2.6</v>
      </c>
      <c r="W105" s="396">
        <f>((JRC_Data!BC13)/1000)*$U$153</f>
        <v>2.6</v>
      </c>
      <c r="X105" s="396">
        <f>((JRC_Data!BD13)/1000)*$U$153</f>
        <v>3.5</v>
      </c>
      <c r="Y105" s="396">
        <f>((JRC_Data!BE13)/1000)*$U$153</f>
        <v>3.5</v>
      </c>
      <c r="Z105" s="396">
        <v>0.12</v>
      </c>
      <c r="AA105" s="69"/>
      <c r="AB105" s="47"/>
      <c r="AC105" s="76"/>
      <c r="AD105" s="76"/>
      <c r="AE105" s="76"/>
      <c r="AF105" s="66">
        <f t="shared" si="63"/>
        <v>0.94608000000000003</v>
      </c>
      <c r="AG105" s="69"/>
      <c r="AH105" s="68">
        <v>2019</v>
      </c>
      <c r="AI105" s="69">
        <v>30</v>
      </c>
      <c r="AK105" s="112"/>
      <c r="AL105" s="459" t="s">
        <v>622</v>
      </c>
      <c r="AM105" s="111" t="str">
        <f t="shared" si="69"/>
        <v>Residential  Stove New 1 - SH</v>
      </c>
      <c r="AN105" s="109" t="s">
        <v>16</v>
      </c>
      <c r="AO105" s="109" t="s">
        <v>189</v>
      </c>
      <c r="AP105" s="112"/>
      <c r="AQ105" s="112"/>
    </row>
    <row r="106" spans="3:43" ht="15.75" thickBot="1" x14ac:dyDescent="0.3">
      <c r="C106" s="25" t="str">
        <f>"R-SW_Det"&amp;"_"&amp;"FPL"&amp;"_N1"</f>
        <v>R-SW_Det_FPL_N1</v>
      </c>
      <c r="D106" s="26" t="s">
        <v>617</v>
      </c>
      <c r="E106" s="27" t="s">
        <v>613</v>
      </c>
      <c r="F106" s="27"/>
      <c r="G106" s="60" t="s">
        <v>302</v>
      </c>
      <c r="H106" s="43">
        <v>0.55000000000000004</v>
      </c>
      <c r="I106" s="43">
        <v>0.55000000000000004</v>
      </c>
      <c r="J106" s="43">
        <v>0.55000000000000004</v>
      </c>
      <c r="K106" s="43">
        <v>0.55000000000000004</v>
      </c>
      <c r="L106" s="47"/>
      <c r="M106" s="35"/>
      <c r="N106" s="35"/>
      <c r="O106" s="48"/>
      <c r="P106" s="25">
        <f t="shared" ref="P106:P108" si="83">H106*0.7</f>
        <v>0.38500000000000001</v>
      </c>
      <c r="Q106" s="26">
        <f t="shared" ref="Q106:Q108" si="84">I106*0.7</f>
        <v>0.38500000000000001</v>
      </c>
      <c r="R106" s="26">
        <f t="shared" ref="R106:R108" si="85">J106*0.7</f>
        <v>0.38500000000000001</v>
      </c>
      <c r="S106" s="60">
        <f t="shared" ref="S106:S108" si="86">K106*0.7</f>
        <v>0.38500000000000001</v>
      </c>
      <c r="T106" s="56">
        <v>20</v>
      </c>
      <c r="U106" s="28"/>
      <c r="V106" s="396">
        <f>((JRC_Data!BB13)/1000)*$U$154</f>
        <v>2.8057915057915057</v>
      </c>
      <c r="W106" s="396">
        <f>((JRC_Data!BC13)/1000)*$U$154</f>
        <v>2.8057915057915057</v>
      </c>
      <c r="X106" s="396">
        <f>((JRC_Data!BD13)/1000)*$U$154</f>
        <v>3.7770270270270268</v>
      </c>
      <c r="Y106" s="396">
        <f>((JRC_Data!BE13)/1000)*$U$154</f>
        <v>3.7770270270270268</v>
      </c>
      <c r="Z106" s="458">
        <v>0.12</v>
      </c>
      <c r="AA106" s="69"/>
      <c r="AB106" s="47"/>
      <c r="AC106" s="76"/>
      <c r="AD106" s="76"/>
      <c r="AE106" s="76"/>
      <c r="AF106" s="66">
        <f t="shared" si="63"/>
        <v>1.1983680000000001</v>
      </c>
      <c r="AG106" s="69"/>
      <c r="AH106" s="69">
        <v>2019</v>
      </c>
      <c r="AI106" s="69">
        <v>38</v>
      </c>
      <c r="AK106" s="112"/>
      <c r="AL106" s="459" t="s">
        <v>623</v>
      </c>
      <c r="AM106" s="111" t="str">
        <f t="shared" si="69"/>
        <v>Residential  Stove with back boiler New 1 - SH +WH</v>
      </c>
      <c r="AN106" s="112" t="s">
        <v>16</v>
      </c>
      <c r="AO106" s="112" t="s">
        <v>189</v>
      </c>
      <c r="AP106" s="112"/>
      <c r="AQ106" s="112"/>
    </row>
    <row r="107" spans="3:43" ht="15.75" thickBot="1" x14ac:dyDescent="0.3">
      <c r="C107" s="43" t="s">
        <v>620</v>
      </c>
      <c r="D107" s="32" t="s">
        <v>296</v>
      </c>
      <c r="E107" s="33" t="s">
        <v>313</v>
      </c>
      <c r="F107" s="33"/>
      <c r="G107" s="61" t="s">
        <v>156</v>
      </c>
      <c r="H107" s="43">
        <v>0.82</v>
      </c>
      <c r="I107" s="43">
        <v>0.82</v>
      </c>
      <c r="J107" s="43">
        <v>0.82</v>
      </c>
      <c r="K107" s="43">
        <v>0.82</v>
      </c>
      <c r="L107" s="45"/>
      <c r="M107" s="34"/>
      <c r="N107" s="34"/>
      <c r="O107" s="46"/>
      <c r="P107" s="43"/>
      <c r="Q107" s="32"/>
      <c r="R107" s="32"/>
      <c r="S107" s="61"/>
      <c r="T107" s="57">
        <v>20</v>
      </c>
      <c r="U107" s="44"/>
      <c r="V107" s="65">
        <f>V93</f>
        <v>4.5825000000000005</v>
      </c>
      <c r="W107" s="65">
        <f t="shared" ref="W107:Z107" si="87">W93</f>
        <v>4.5825000000000005</v>
      </c>
      <c r="X107" s="65">
        <f t="shared" si="87"/>
        <v>4.5825000000000005</v>
      </c>
      <c r="Y107" s="65">
        <f t="shared" si="87"/>
        <v>4.5825000000000005</v>
      </c>
      <c r="Z107" s="65">
        <f t="shared" si="87"/>
        <v>0.12</v>
      </c>
      <c r="AA107" s="68"/>
      <c r="AB107" s="45"/>
      <c r="AC107" s="75"/>
      <c r="AD107" s="75"/>
      <c r="AE107" s="75"/>
      <c r="AF107" s="65">
        <f t="shared" si="63"/>
        <v>0.94608000000000003</v>
      </c>
      <c r="AG107" s="68"/>
      <c r="AH107" s="68">
        <v>2019</v>
      </c>
      <c r="AI107" s="68">
        <v>30</v>
      </c>
      <c r="AK107" s="112"/>
      <c r="AL107" s="111" t="str">
        <f t="shared" si="68"/>
        <v>R-SH_Det_HVO_N1</v>
      </c>
      <c r="AM107" s="111" t="str">
        <f t="shared" si="69"/>
        <v>Residential  Hydrotreated vegetable oil - New 1 SH</v>
      </c>
      <c r="AN107" s="112" t="s">
        <v>16</v>
      </c>
      <c r="AO107" s="112" t="s">
        <v>189</v>
      </c>
      <c r="AP107" s="112"/>
      <c r="AQ107" s="112" t="s">
        <v>81</v>
      </c>
    </row>
    <row r="108" spans="3:43" ht="15.75" thickBot="1" x14ac:dyDescent="0.3">
      <c r="C108" s="25" t="s">
        <v>621</v>
      </c>
      <c r="D108" s="26" t="s">
        <v>575</v>
      </c>
      <c r="E108" s="27" t="s">
        <v>313</v>
      </c>
      <c r="F108" s="27"/>
      <c r="G108" s="60" t="s">
        <v>302</v>
      </c>
      <c r="H108" s="25">
        <v>0.82</v>
      </c>
      <c r="I108" s="25">
        <v>0.82</v>
      </c>
      <c r="J108" s="25">
        <v>0.82</v>
      </c>
      <c r="K108" s="25">
        <v>0.82</v>
      </c>
      <c r="L108" s="52"/>
      <c r="M108" s="53"/>
      <c r="N108" s="53"/>
      <c r="O108" s="54"/>
      <c r="P108" s="268">
        <f t="shared" si="83"/>
        <v>0.57399999999999995</v>
      </c>
      <c r="Q108" s="29">
        <f t="shared" si="84"/>
        <v>0.57399999999999995</v>
      </c>
      <c r="R108" s="29">
        <f t="shared" si="85"/>
        <v>0.57399999999999995</v>
      </c>
      <c r="S108" s="62">
        <f t="shared" si="86"/>
        <v>0.57399999999999995</v>
      </c>
      <c r="T108" s="58">
        <v>20</v>
      </c>
      <c r="U108" s="31"/>
      <c r="V108" s="65">
        <f>V94</f>
        <v>4.9452075289575284</v>
      </c>
      <c r="W108" s="65">
        <f t="shared" ref="W108:Z108" si="88">W94</f>
        <v>4.9452075289575284</v>
      </c>
      <c r="X108" s="65">
        <f t="shared" si="88"/>
        <v>4.9452075289575284</v>
      </c>
      <c r="Y108" s="65">
        <f t="shared" si="88"/>
        <v>4.9452075289575284</v>
      </c>
      <c r="Z108" s="65">
        <f t="shared" si="88"/>
        <v>0.12</v>
      </c>
      <c r="AA108" s="69"/>
      <c r="AB108" s="47"/>
      <c r="AC108" s="76"/>
      <c r="AD108" s="76"/>
      <c r="AE108" s="76"/>
      <c r="AF108" s="66">
        <f t="shared" si="63"/>
        <v>1.1983680000000001</v>
      </c>
      <c r="AG108" s="70"/>
      <c r="AH108" s="70">
        <v>2019</v>
      </c>
      <c r="AI108" s="70">
        <v>38</v>
      </c>
      <c r="AK108" s="112"/>
      <c r="AL108" s="111" t="str">
        <f t="shared" si="68"/>
        <v>R-SW_Det_HVO_N1</v>
      </c>
      <c r="AM108" s="111" t="str">
        <f t="shared" si="69"/>
        <v>Residential  Hydrotreated vegetable oil - New 1 SH + WH</v>
      </c>
      <c r="AN108" s="112" t="s">
        <v>16</v>
      </c>
      <c r="AO108" s="112" t="s">
        <v>189</v>
      </c>
      <c r="AP108" s="112"/>
      <c r="AQ108" s="112" t="s">
        <v>81</v>
      </c>
    </row>
    <row r="109" spans="3:43" ht="15.75" thickBot="1" x14ac:dyDescent="0.3">
      <c r="C109" s="36" t="s">
        <v>319</v>
      </c>
      <c r="D109" s="36"/>
      <c r="E109" s="37"/>
      <c r="F109" s="37"/>
      <c r="G109" s="37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7"/>
      <c r="U109" s="37"/>
      <c r="V109" s="36"/>
      <c r="W109" s="36"/>
      <c r="X109" s="36"/>
      <c r="Y109" s="36"/>
      <c r="Z109" s="36"/>
      <c r="AA109" s="37"/>
      <c r="AB109" s="39"/>
      <c r="AC109" s="39"/>
      <c r="AD109" s="39"/>
      <c r="AE109" s="39"/>
      <c r="AF109" s="36"/>
      <c r="AG109" s="37"/>
      <c r="AH109" s="37"/>
      <c r="AI109" s="37"/>
      <c r="AK109" s="113"/>
      <c r="AL109" s="114" t="str">
        <f>C110</f>
        <v>R-SH_Det_ELC_N1</v>
      </c>
      <c r="AM109" s="114" t="str">
        <f>D110</f>
        <v>Residential Electric Heater - New 1 SH</v>
      </c>
      <c r="AN109" s="113" t="s">
        <v>16</v>
      </c>
      <c r="AO109" s="113" t="s">
        <v>189</v>
      </c>
      <c r="AP109" s="113"/>
      <c r="AQ109" s="113" t="s">
        <v>81</v>
      </c>
    </row>
    <row r="110" spans="3:43" ht="15" x14ac:dyDescent="0.25">
      <c r="C110" s="99" t="str">
        <f>"R-SH_Det"&amp;"_"&amp;RIGHT(E110,3)&amp;"_N1"</f>
        <v>R-SH_Det_ELC_N1</v>
      </c>
      <c r="D110" s="83" t="s">
        <v>113</v>
      </c>
      <c r="E110" s="124" t="s">
        <v>162</v>
      </c>
      <c r="F110" s="124"/>
      <c r="G110" s="84" t="s">
        <v>156</v>
      </c>
      <c r="H110" s="265">
        <v>1</v>
      </c>
      <c r="I110" s="266">
        <v>1</v>
      </c>
      <c r="J110" s="266">
        <v>1</v>
      </c>
      <c r="K110" s="267">
        <v>1</v>
      </c>
      <c r="L110" s="77"/>
      <c r="M110" s="78"/>
      <c r="N110" s="78"/>
      <c r="O110" s="79"/>
      <c r="P110" s="77"/>
      <c r="Q110" s="78"/>
      <c r="R110" s="78"/>
      <c r="S110" s="79"/>
      <c r="T110" s="80">
        <v>20</v>
      </c>
      <c r="U110" s="81"/>
      <c r="V110" s="82">
        <f>(JRC_Data!BB48/1000)*($U$153/$U$151)</f>
        <v>4.2809917355371896</v>
      </c>
      <c r="W110" s="82">
        <f>(JRC_Data!BC48/1000)*($U$153/$U$151)</f>
        <v>4.2809917355371896</v>
      </c>
      <c r="X110" s="82">
        <f>(JRC_Data!BD48/1000)*($U$153/$U$151)</f>
        <v>4.2809917355371896</v>
      </c>
      <c r="Y110" s="82">
        <f>(JRC_Data!BE48/1000)*($U$153/$U$151)</f>
        <v>4.2809917355371896</v>
      </c>
      <c r="Z110" s="85">
        <f>JRC_Data!BL48/1000</f>
        <v>0.05</v>
      </c>
      <c r="AA110" s="86"/>
      <c r="AB110" s="87"/>
      <c r="AC110" s="87"/>
      <c r="AD110" s="87"/>
      <c r="AE110" s="87"/>
      <c r="AF110" s="85">
        <f t="shared" si="63"/>
        <v>0.94608000000000003</v>
      </c>
      <c r="AG110" s="86"/>
      <c r="AH110" s="86">
        <v>2019</v>
      </c>
      <c r="AI110" s="86">
        <v>30</v>
      </c>
      <c r="AK110" s="107"/>
      <c r="AL110" s="106" t="str">
        <f t="shared" ref="AL110:AL116" si="89">C112</f>
        <v>R-SH_Det_ELC_HPN1</v>
      </c>
      <c r="AM110" s="106" t="str">
        <f t="shared" ref="AM110:AM116" si="90">D112</f>
        <v>Residential Electric Heat Pump - Air to Air - SH</v>
      </c>
      <c r="AN110" s="107" t="s">
        <v>16</v>
      </c>
      <c r="AO110" s="107" t="s">
        <v>189</v>
      </c>
      <c r="AP110" s="107"/>
      <c r="AQ110" s="107" t="s">
        <v>81</v>
      </c>
    </row>
    <row r="111" spans="3:43" ht="15" x14ac:dyDescent="0.25">
      <c r="C111" s="36" t="s">
        <v>320</v>
      </c>
      <c r="D111" s="36"/>
      <c r="E111" s="37"/>
      <c r="F111" s="37"/>
      <c r="G111" s="37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7"/>
      <c r="U111" s="37"/>
      <c r="V111" s="36"/>
      <c r="W111" s="36"/>
      <c r="X111" s="36"/>
      <c r="Y111" s="36"/>
      <c r="Z111" s="36"/>
      <c r="AA111" s="37"/>
      <c r="AB111" s="39"/>
      <c r="AC111" s="39"/>
      <c r="AD111" s="39"/>
      <c r="AE111" s="39"/>
      <c r="AF111" s="36"/>
      <c r="AG111" s="37"/>
      <c r="AH111" s="37"/>
      <c r="AI111" s="37"/>
      <c r="AK111" s="109"/>
      <c r="AL111" s="108" t="str">
        <f t="shared" si="89"/>
        <v>R-HC_Det_ELC_HPN1</v>
      </c>
      <c r="AM111" s="108" t="str">
        <f t="shared" si="90"/>
        <v>Residential Electric Heat Pump - Air to Air - SH + SC</v>
      </c>
      <c r="AN111" s="109" t="s">
        <v>16</v>
      </c>
      <c r="AO111" s="109" t="s">
        <v>189</v>
      </c>
      <c r="AP111" s="109"/>
      <c r="AQ111" s="109" t="s">
        <v>81</v>
      </c>
    </row>
    <row r="112" spans="3:43" ht="15" x14ac:dyDescent="0.25">
      <c r="C112" s="22" t="str">
        <f>"R-SH_Det"&amp;"_"&amp;RIGHT(E112,3)&amp;"_HPN1"</f>
        <v>R-SH_Det_ELC_HPN1</v>
      </c>
      <c r="D112" s="23" t="s">
        <v>115</v>
      </c>
      <c r="E112" s="92" t="s">
        <v>162</v>
      </c>
      <c r="F112" s="92" t="s">
        <v>611</v>
      </c>
      <c r="G112" s="59" t="s">
        <v>156</v>
      </c>
      <c r="H112" s="22">
        <v>1</v>
      </c>
      <c r="I112" s="23">
        <v>1.0666666666666667</v>
      </c>
      <c r="J112" s="23">
        <v>1.2333333333333334</v>
      </c>
      <c r="K112" s="59">
        <v>1.3333333333333333</v>
      </c>
      <c r="L112" s="22"/>
      <c r="M112" s="23"/>
      <c r="N112" s="23"/>
      <c r="O112" s="59"/>
      <c r="P112" s="22"/>
      <c r="Q112" s="23"/>
      <c r="R112" s="23"/>
      <c r="S112" s="59"/>
      <c r="T112" s="55">
        <v>20</v>
      </c>
      <c r="U112" s="51"/>
      <c r="V112" s="22">
        <f>(JRC_Data!BB16/1000)*($U$153/$U$152)</f>
        <v>2.3257142857142861</v>
      </c>
      <c r="W112" s="22">
        <f>(JRC_Data!BC16/1000)*($U$153/$U$152)</f>
        <v>2.2200000000000002</v>
      </c>
      <c r="X112" s="22">
        <f>(JRC_Data!BD16/1000)*($U$153/$U$152)</f>
        <v>2.0085714285714285</v>
      </c>
      <c r="Y112" s="22">
        <f>(JRC_Data!BE16/1000)*($U$153/$U$152)</f>
        <v>1.902857142857143</v>
      </c>
      <c r="Z112" s="88">
        <f>JRC_Data!BL16/1000</f>
        <v>3.4000000000000002E-2</v>
      </c>
      <c r="AA112" s="88"/>
      <c r="AB112" s="88"/>
      <c r="AC112" s="88"/>
      <c r="AD112" s="88"/>
      <c r="AE112" s="88"/>
      <c r="AF112" s="88">
        <f t="shared" si="63"/>
        <v>0.31536000000000003</v>
      </c>
      <c r="AG112" s="91"/>
      <c r="AH112" s="91">
        <v>2100</v>
      </c>
      <c r="AI112" s="91">
        <v>10</v>
      </c>
      <c r="AK112" s="109"/>
      <c r="AL112" s="108" t="str">
        <f t="shared" si="89"/>
        <v>R-SH_Det_ELC_HPN2</v>
      </c>
      <c r="AM112" s="108" t="str">
        <f t="shared" si="90"/>
        <v>Residential Electric Heat Pump - Air to Water - SH</v>
      </c>
      <c r="AN112" s="109" t="s">
        <v>16</v>
      </c>
      <c r="AO112" s="109" t="s">
        <v>189</v>
      </c>
      <c r="AP112" s="109"/>
      <c r="AQ112" s="109" t="s">
        <v>81</v>
      </c>
    </row>
    <row r="113" spans="3:43" ht="15" x14ac:dyDescent="0.25">
      <c r="C113" s="25" t="str">
        <f>"R-HC_Det"&amp;"_"&amp;RIGHT(E113,3)&amp;"_HPN1"</f>
        <v>R-HC_Det_ELC_HPN1</v>
      </c>
      <c r="D113" s="26" t="s">
        <v>116</v>
      </c>
      <c r="E113" s="27" t="s">
        <v>162</v>
      </c>
      <c r="F113" s="27" t="s">
        <v>611</v>
      </c>
      <c r="G113" s="60" t="s">
        <v>303</v>
      </c>
      <c r="H113" s="25">
        <v>1</v>
      </c>
      <c r="I113" s="26">
        <v>1.0666666666666667</v>
      </c>
      <c r="J113" s="26">
        <v>1.2333333333333334</v>
      </c>
      <c r="K113" s="60">
        <v>1.3333333333333333</v>
      </c>
      <c r="L113" s="25">
        <v>1</v>
      </c>
      <c r="M113" s="26">
        <v>1.0666666666666667</v>
      </c>
      <c r="N113" s="26">
        <v>1.2333333333333334</v>
      </c>
      <c r="O113" s="60">
        <v>1.3333333333333333</v>
      </c>
      <c r="P113" s="25"/>
      <c r="Q113" s="26"/>
      <c r="R113" s="26"/>
      <c r="S113" s="60"/>
      <c r="T113" s="56">
        <v>20</v>
      </c>
      <c r="U113" s="48"/>
      <c r="V113" s="25">
        <f>(JRC_Data!BB16/1000)*($U$154/$U$152)</f>
        <v>2.5097959183673471</v>
      </c>
      <c r="W113" s="25">
        <f>(JRC_Data!BC16/1000)*($U$154/$U$152)</f>
        <v>2.3957142857142855</v>
      </c>
      <c r="X113" s="25">
        <f>(JRC_Data!BD16/1000)*($U$154/$U$152)</f>
        <v>2.1675510204081632</v>
      </c>
      <c r="Y113" s="25">
        <f>(JRC_Data!BE16/1000)*($U$154/$U$152)</f>
        <v>2.053469387755102</v>
      </c>
      <c r="Z113" s="66">
        <f>JRC_Data!BL16/1000</f>
        <v>3.4000000000000002E-2</v>
      </c>
      <c r="AA113" s="66"/>
      <c r="AB113" s="66"/>
      <c r="AC113" s="66"/>
      <c r="AD113" s="66"/>
      <c r="AE113" s="66"/>
      <c r="AF113" s="66">
        <f t="shared" si="63"/>
        <v>0.37843200000000005</v>
      </c>
      <c r="AG113" s="69"/>
      <c r="AH113" s="69">
        <v>2100</v>
      </c>
      <c r="AI113" s="69">
        <v>12</v>
      </c>
      <c r="AK113" s="109"/>
      <c r="AL113" s="108" t="str">
        <f t="shared" si="89"/>
        <v>R-SW_Det_ELC_HPN1</v>
      </c>
      <c r="AM113" s="108" t="str">
        <f t="shared" si="90"/>
        <v>Residential Electric Heat Pump - Air to Water - SH + WH</v>
      </c>
      <c r="AN113" s="109" t="s">
        <v>16</v>
      </c>
      <c r="AO113" s="109" t="s">
        <v>189</v>
      </c>
      <c r="AP113" s="109"/>
      <c r="AQ113" s="109" t="s">
        <v>81</v>
      </c>
    </row>
    <row r="114" spans="3:43" ht="15" x14ac:dyDescent="0.25">
      <c r="C114" s="43" t="str">
        <f>"R-SH_Det"&amp;"_"&amp;RIGHT(E114,3)&amp;"_HPN2"</f>
        <v>R-SH_Det_ELC_HPN2</v>
      </c>
      <c r="D114" s="32" t="s">
        <v>117</v>
      </c>
      <c r="E114" s="33" t="s">
        <v>162</v>
      </c>
      <c r="F114" s="33" t="s">
        <v>611</v>
      </c>
      <c r="G114" s="61" t="s">
        <v>156</v>
      </c>
      <c r="H114" s="43">
        <v>1</v>
      </c>
      <c r="I114" s="32">
        <v>1.0999999999999999</v>
      </c>
      <c r="J114" s="32">
        <v>1.2333333333333334</v>
      </c>
      <c r="K114" s="61">
        <v>1.3333333333333333</v>
      </c>
      <c r="L114" s="43"/>
      <c r="M114" s="32"/>
      <c r="N114" s="32"/>
      <c r="O114" s="61"/>
      <c r="P114" s="43"/>
      <c r="Q114" s="32"/>
      <c r="R114" s="32"/>
      <c r="S114" s="61"/>
      <c r="T114" s="57">
        <v>20</v>
      </c>
      <c r="U114" s="46"/>
      <c r="V114" s="395">
        <v>9.8469999999999995</v>
      </c>
      <c r="W114" s="395">
        <f>V114*0.91</f>
        <v>8.9607700000000001</v>
      </c>
      <c r="X114" s="395">
        <f>W114*0.91</f>
        <v>8.1543007000000003</v>
      </c>
      <c r="Y114" s="395">
        <f>V114*0.82</f>
        <v>8.0745399999999989</v>
      </c>
      <c r="Z114" s="395">
        <v>0.1</v>
      </c>
      <c r="AA114" s="65"/>
      <c r="AB114" s="65"/>
      <c r="AC114" s="65"/>
      <c r="AD114" s="65"/>
      <c r="AE114" s="65"/>
      <c r="AF114" s="65">
        <f t="shared" si="63"/>
        <v>0.31536000000000003</v>
      </c>
      <c r="AG114" s="68"/>
      <c r="AH114" s="68">
        <v>2019</v>
      </c>
      <c r="AI114" s="68">
        <v>10</v>
      </c>
      <c r="AK114" s="225"/>
      <c r="AL114" s="108" t="str">
        <f t="shared" si="89"/>
        <v>R-SW_Det_ELC_HPN2</v>
      </c>
      <c r="AM114" s="108" t="str">
        <f t="shared" si="90"/>
        <v>Residential Electric Heat Pump - Air to Water - SH + WH + Solar</v>
      </c>
      <c r="AN114" s="109" t="s">
        <v>16</v>
      </c>
      <c r="AO114" s="109" t="s">
        <v>189</v>
      </c>
      <c r="AP114" s="109"/>
      <c r="AQ114" s="109" t="s">
        <v>81</v>
      </c>
    </row>
    <row r="115" spans="3:43" ht="15" x14ac:dyDescent="0.25">
      <c r="C115" s="25" t="str">
        <f>"R-SW_Det"&amp;"_"&amp;RIGHT(E115,3)&amp;"_HPN1"</f>
        <v>R-SW_Det_ELC_HPN1</v>
      </c>
      <c r="D115" s="26" t="s">
        <v>118</v>
      </c>
      <c r="E115" s="27" t="s">
        <v>162</v>
      </c>
      <c r="F115" s="27" t="s">
        <v>714</v>
      </c>
      <c r="G115" s="60" t="s">
        <v>302</v>
      </c>
      <c r="H115" s="25">
        <v>1</v>
      </c>
      <c r="I115" s="26">
        <v>1.0999999999999999</v>
      </c>
      <c r="J115" s="26">
        <v>1.2333333333333334</v>
      </c>
      <c r="K115" s="60">
        <v>1.3333333333333333</v>
      </c>
      <c r="L115" s="25"/>
      <c r="M115" s="26"/>
      <c r="N115" s="26"/>
      <c r="O115" s="60"/>
      <c r="P115" s="25">
        <f>H115*0.7</f>
        <v>0.7</v>
      </c>
      <c r="Q115" s="26">
        <f t="shared" ref="Q115:Q116" si="91">I115*0.7</f>
        <v>0.76999999999999991</v>
      </c>
      <c r="R115" s="26">
        <f t="shared" ref="R115:R116" si="92">J115*0.7</f>
        <v>0.86333333333333329</v>
      </c>
      <c r="S115" s="60">
        <f t="shared" ref="S115:S116" si="93">K115*0.7</f>
        <v>0.93333333333333324</v>
      </c>
      <c r="T115" s="56">
        <v>20</v>
      </c>
      <c r="U115" s="48"/>
      <c r="V115" s="396">
        <f>V114*($U$150/$U$149)</f>
        <v>9.9300970464135023</v>
      </c>
      <c r="W115" s="396">
        <f t="shared" ref="W115" si="94">W114*($U$150/$U$149)</f>
        <v>9.0363883122362889</v>
      </c>
      <c r="X115" s="396">
        <f t="shared" ref="X115" si="95">X114*($U$150/$U$149)</f>
        <v>8.2231133641350223</v>
      </c>
      <c r="Y115" s="396">
        <f t="shared" ref="Y115" si="96">Y114*($U$150/$U$149)</f>
        <v>8.1426795780590719</v>
      </c>
      <c r="Z115" s="396">
        <v>0.1</v>
      </c>
      <c r="AA115" s="66"/>
      <c r="AB115" s="66"/>
      <c r="AC115" s="66"/>
      <c r="AD115" s="66"/>
      <c r="AE115" s="66"/>
      <c r="AF115" s="66">
        <f t="shared" si="63"/>
        <v>0.37843200000000005</v>
      </c>
      <c r="AG115" s="69"/>
      <c r="AH115" s="69">
        <v>2019</v>
      </c>
      <c r="AI115" s="69">
        <v>12</v>
      </c>
      <c r="AK115" s="225"/>
      <c r="AL115" s="108" t="str">
        <f t="shared" si="89"/>
        <v>R-SH_Det_ELC_HPN3</v>
      </c>
      <c r="AM115" s="108" t="str">
        <f t="shared" si="90"/>
        <v>Residential Electric Heat Pump - Ground to Water - SH</v>
      </c>
      <c r="AN115" s="109" t="s">
        <v>16</v>
      </c>
      <c r="AO115" s="109" t="s">
        <v>189</v>
      </c>
      <c r="AP115" s="109"/>
      <c r="AQ115" s="109" t="s">
        <v>81</v>
      </c>
    </row>
    <row r="116" spans="3:43" ht="15.75" thickBot="1" x14ac:dyDescent="0.3">
      <c r="C116" s="43" t="str">
        <f>"R-SW_Det"&amp;"_"&amp;RIGHT(E116,3)&amp;"_HPN2"</f>
        <v>R-SW_Det_ELC_HPN2</v>
      </c>
      <c r="D116" s="32" t="s">
        <v>119</v>
      </c>
      <c r="E116" s="33" t="s">
        <v>603</v>
      </c>
      <c r="F116" s="33" t="s">
        <v>714</v>
      </c>
      <c r="G116" s="61" t="s">
        <v>302</v>
      </c>
      <c r="H116" s="43">
        <v>1</v>
      </c>
      <c r="I116" s="32">
        <v>1.1100000000000001</v>
      </c>
      <c r="J116" s="32">
        <v>1.19</v>
      </c>
      <c r="K116" s="61">
        <v>1.19</v>
      </c>
      <c r="L116" s="43"/>
      <c r="M116" s="32"/>
      <c r="N116" s="32"/>
      <c r="O116" s="61"/>
      <c r="P116" s="43">
        <f>H116*0.7</f>
        <v>0.7</v>
      </c>
      <c r="Q116" s="32">
        <f t="shared" si="91"/>
        <v>0.77700000000000002</v>
      </c>
      <c r="R116" s="32">
        <f t="shared" si="92"/>
        <v>0.83299999999999996</v>
      </c>
      <c r="S116" s="61">
        <f t="shared" si="93"/>
        <v>0.83299999999999996</v>
      </c>
      <c r="T116" s="57">
        <v>20</v>
      </c>
      <c r="U116" s="46"/>
      <c r="V116" s="43">
        <f>((JRC_Data!BB18+JRC_Data!BB45)*0.8/1000)*($U$154/$U$151)</f>
        <v>15.153057851239668</v>
      </c>
      <c r="W116" s="43">
        <f>((JRC_Data!BC18+JRC_Data!BC45)*0.8/1000)*($U$154/$U$151)</f>
        <v>13.95190082644628</v>
      </c>
      <c r="X116" s="43">
        <f>((JRC_Data!BD18+JRC_Data!BD45)*0.8/1000)*($U$154/$U$151)</f>
        <v>13.489917355371901</v>
      </c>
      <c r="Y116" s="43">
        <f>((JRC_Data!BE18+JRC_Data!BE45)*0.8/1000)*($U$154/$U$151)</f>
        <v>11.734380165289256</v>
      </c>
      <c r="Z116" s="65">
        <f>((JRC_Data!BL18+JRC_Data!BL45)*0.8)/1000</f>
        <v>0.16960000000000003</v>
      </c>
      <c r="AA116" s="65"/>
      <c r="AB116" s="75">
        <v>0.1</v>
      </c>
      <c r="AC116" s="65"/>
      <c r="AD116" s="65"/>
      <c r="AE116" s="229">
        <v>5</v>
      </c>
      <c r="AF116" s="65">
        <f t="shared" si="63"/>
        <v>0.37843200000000005</v>
      </c>
      <c r="AG116" s="68"/>
      <c r="AH116" s="68">
        <v>2019</v>
      </c>
      <c r="AI116" s="68">
        <v>12</v>
      </c>
      <c r="AK116" s="115"/>
      <c r="AL116" s="111" t="str">
        <f t="shared" si="89"/>
        <v>R-HC_Det_ELC_HPN2</v>
      </c>
      <c r="AM116" s="111" t="str">
        <f t="shared" si="90"/>
        <v>Residential Electric Heat Pump - Ground to Water - SH + SC</v>
      </c>
      <c r="AN116" s="112" t="s">
        <v>16</v>
      </c>
      <c r="AO116" s="112" t="s">
        <v>189</v>
      </c>
      <c r="AP116" s="112"/>
      <c r="AQ116" s="112" t="s">
        <v>81</v>
      </c>
    </row>
    <row r="117" spans="3:43" ht="15" x14ac:dyDescent="0.25">
      <c r="C117" s="25" t="str">
        <f>"R-SH_Det"&amp;"_"&amp;RIGHT(E117,3)&amp;"_HPN3"</f>
        <v>R-SH_Det_ELC_HPN3</v>
      </c>
      <c r="D117" s="26" t="s">
        <v>120</v>
      </c>
      <c r="E117" s="27" t="s">
        <v>162</v>
      </c>
      <c r="F117" s="27" t="s">
        <v>611</v>
      </c>
      <c r="G117" s="60" t="s">
        <v>156</v>
      </c>
      <c r="H117" s="25">
        <v>1.0999999999999999</v>
      </c>
      <c r="I117" s="26">
        <v>1.1666666666666667</v>
      </c>
      <c r="J117" s="26">
        <v>1.3333333333333333</v>
      </c>
      <c r="K117" s="60">
        <v>1.5</v>
      </c>
      <c r="L117" s="25"/>
      <c r="M117" s="26"/>
      <c r="N117" s="26"/>
      <c r="O117" s="60"/>
      <c r="P117" s="25"/>
      <c r="Q117" s="26"/>
      <c r="R117" s="26"/>
      <c r="S117" s="60"/>
      <c r="T117" s="56">
        <v>20</v>
      </c>
      <c r="U117" s="48"/>
      <c r="V117" s="25">
        <f>(JRC_Data!BB20/1000)*($U$153/$U$152)</f>
        <v>14.8</v>
      </c>
      <c r="W117" s="25">
        <f>(JRC_Data!BC20/1000)*($U$153/$U$152)</f>
        <v>13.742857142857144</v>
      </c>
      <c r="X117" s="25">
        <f>(JRC_Data!BD20/1000)*($U$153/$U$152)</f>
        <v>12.685714285714287</v>
      </c>
      <c r="Y117" s="25">
        <f>(JRC_Data!BE20/1000)*($U$153/$U$152)</f>
        <v>11.628571428571428</v>
      </c>
      <c r="Z117" s="66">
        <f>JRC_Data!BL20/1000</f>
        <v>0.2</v>
      </c>
      <c r="AA117" s="66"/>
      <c r="AB117" s="66"/>
      <c r="AC117" s="66"/>
      <c r="AD117" s="66"/>
      <c r="AE117" s="66"/>
      <c r="AF117" s="66">
        <f t="shared" si="63"/>
        <v>0.31536000000000003</v>
      </c>
      <c r="AG117" s="69"/>
      <c r="AH117" s="69">
        <v>2019</v>
      </c>
      <c r="AI117" s="69">
        <v>10</v>
      </c>
      <c r="AK117" s="116"/>
      <c r="AL117" s="106" t="str">
        <f>C120</f>
        <v>R-SW_Det_GAS_HPN1</v>
      </c>
      <c r="AM117" s="106" t="str">
        <f>D120</f>
        <v>Residential Gas Absorption Heat Pump - Air to Water - SH + WH</v>
      </c>
      <c r="AN117" s="107" t="s">
        <v>16</v>
      </c>
      <c r="AO117" s="107" t="s">
        <v>189</v>
      </c>
      <c r="AP117" s="107"/>
      <c r="AQ117" s="107" t="s">
        <v>81</v>
      </c>
    </row>
    <row r="118" spans="3:43" ht="15.75" thickBot="1" x14ac:dyDescent="0.3">
      <c r="C118" s="97" t="str">
        <f>"R-HC_Det"&amp;"_"&amp;RIGHT(E118,3)&amp;"_HPN2"</f>
        <v>R-HC_Det_ELC_HPN2</v>
      </c>
      <c r="D118" s="93" t="s">
        <v>121</v>
      </c>
      <c r="E118" s="122" t="s">
        <v>162</v>
      </c>
      <c r="F118" s="122" t="s">
        <v>611</v>
      </c>
      <c r="G118" s="98" t="s">
        <v>303</v>
      </c>
      <c r="H118" s="97">
        <v>1.0999999999999999</v>
      </c>
      <c r="I118" s="93">
        <v>1.1666666666666667</v>
      </c>
      <c r="J118" s="93">
        <v>1.3333333333333333</v>
      </c>
      <c r="K118" s="98">
        <v>1.5</v>
      </c>
      <c r="L118" s="97">
        <v>1.0999999999999999</v>
      </c>
      <c r="M118" s="93">
        <v>1.1666666666666667</v>
      </c>
      <c r="N118" s="93">
        <v>1.3333333333333333</v>
      </c>
      <c r="O118" s="98">
        <v>1.5</v>
      </c>
      <c r="P118" s="97"/>
      <c r="Q118" s="93"/>
      <c r="R118" s="93"/>
      <c r="S118" s="98"/>
      <c r="T118" s="104">
        <v>20</v>
      </c>
      <c r="U118" s="105"/>
      <c r="V118" s="97">
        <f>(JRC_Data!BB20/1000)*($U$154/$U$152)</f>
        <v>15.97142857142857</v>
      </c>
      <c r="W118" s="97">
        <f>(JRC_Data!BC20/1000)*($U$154/$U$152)</f>
        <v>14.830612244897958</v>
      </c>
      <c r="X118" s="97">
        <f>(JRC_Data!BD20/1000)*($U$154/$U$152)</f>
        <v>13.689795918367345</v>
      </c>
      <c r="Y118" s="97">
        <f>(JRC_Data!BE20/1000)*($U$154/$U$152)</f>
        <v>12.548979591836734</v>
      </c>
      <c r="Z118" s="89">
        <f>JRC_Data!BL20/1000</f>
        <v>0.2</v>
      </c>
      <c r="AA118" s="89"/>
      <c r="AB118" s="89"/>
      <c r="AC118" s="89"/>
      <c r="AD118" s="89"/>
      <c r="AE118" s="89"/>
      <c r="AF118" s="89">
        <f t="shared" si="63"/>
        <v>0.37843200000000005</v>
      </c>
      <c r="AG118" s="94"/>
      <c r="AH118" s="94">
        <v>2019</v>
      </c>
      <c r="AI118" s="94">
        <v>12</v>
      </c>
      <c r="AK118" s="226"/>
      <c r="AL118" s="111" t="str">
        <f>C121</f>
        <v>R-SW_Det_GAS_HPN2</v>
      </c>
      <c r="AM118" s="111" t="str">
        <f>D121</f>
        <v>Residential Gas Engine Heat Pump - Air to Water - SH + WH</v>
      </c>
      <c r="AN118" s="112" t="s">
        <v>16</v>
      </c>
      <c r="AO118" s="112" t="s">
        <v>189</v>
      </c>
      <c r="AP118" s="112"/>
      <c r="AQ118" s="112" t="s">
        <v>81</v>
      </c>
    </row>
    <row r="119" spans="3:43" ht="15.75" thickBot="1" x14ac:dyDescent="0.3">
      <c r="C119" s="36" t="s">
        <v>321</v>
      </c>
      <c r="D119" s="36"/>
      <c r="E119" s="37"/>
      <c r="F119" s="37"/>
      <c r="G119" s="37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7"/>
      <c r="U119" s="37"/>
      <c r="V119" s="36"/>
      <c r="W119" s="36"/>
      <c r="X119" s="36"/>
      <c r="Y119" s="36"/>
      <c r="Z119" s="36"/>
      <c r="AA119" s="90"/>
      <c r="AB119" s="39"/>
      <c r="AC119" s="39"/>
      <c r="AD119" s="39"/>
      <c r="AE119" s="39"/>
      <c r="AF119" s="36"/>
      <c r="AG119" s="37"/>
      <c r="AH119" s="37"/>
      <c r="AI119" s="37"/>
      <c r="AK119" s="227"/>
      <c r="AL119" s="114" t="str">
        <f>C123</f>
        <v>R-SW_Det_GAS_HHPN1</v>
      </c>
      <c r="AM119" s="114" t="str">
        <f>D123</f>
        <v>Residential Gas Hybrid Heat Pump - Air to Water - SH + WH</v>
      </c>
      <c r="AN119" s="113" t="s">
        <v>16</v>
      </c>
      <c r="AO119" s="113" t="s">
        <v>189</v>
      </c>
      <c r="AP119" s="113"/>
      <c r="AQ119" s="113" t="s">
        <v>81</v>
      </c>
    </row>
    <row r="120" spans="3:43" ht="15" x14ac:dyDescent="0.25">
      <c r="C120" s="22" t="str">
        <f>"R-SW_Det"&amp;"_"&amp;RIGHT(E120,3)&amp;"_HPN1"</f>
        <v>R-SW_Det_GAS_HPN1</v>
      </c>
      <c r="D120" s="23" t="s">
        <v>122</v>
      </c>
      <c r="E120" s="92" t="s">
        <v>310</v>
      </c>
      <c r="F120" s="92" t="s">
        <v>714</v>
      </c>
      <c r="G120" s="92" t="s">
        <v>302</v>
      </c>
      <c r="H120" s="395">
        <f>JRC_Data!AC28/0.81</f>
        <v>1.6666666666666667</v>
      </c>
      <c r="I120" s="395">
        <f>JRC_Data!AD28/0.81</f>
        <v>1.7901234567901232</v>
      </c>
      <c r="J120" s="395">
        <f>JRC_Data!AE28/0.81</f>
        <v>2.0987654320987654</v>
      </c>
      <c r="K120" s="395">
        <f>JRC_Data!AF28/0.81</f>
        <v>2.0987654320987654</v>
      </c>
      <c r="L120" s="49"/>
      <c r="M120" s="50"/>
      <c r="N120" s="50"/>
      <c r="O120" s="51"/>
      <c r="P120" s="22">
        <f>H120*0.7</f>
        <v>1.1666666666666667</v>
      </c>
      <c r="Q120" s="23">
        <f t="shared" ref="Q120:Q121" si="97">I120*0.7</f>
        <v>1.2530864197530862</v>
      </c>
      <c r="R120" s="23">
        <f t="shared" ref="R120:R121" si="98">J120*0.7</f>
        <v>1.4691358024691357</v>
      </c>
      <c r="S120" s="59">
        <f t="shared" ref="S120:S121" si="99">K120*0.7</f>
        <v>1.4691358024691357</v>
      </c>
      <c r="T120" s="92">
        <v>20</v>
      </c>
      <c r="U120" s="51"/>
      <c r="V120" s="22">
        <f>(JRC_Data!BB28/1000)*($U$154/$U$153)</f>
        <v>16.834749034749034</v>
      </c>
      <c r="W120" s="22">
        <f>(JRC_Data!BC28/1000)*($U$154/$U$153)</f>
        <v>15.755598455598454</v>
      </c>
      <c r="X120" s="22">
        <f>(JRC_Data!BD28/1000)*($U$154/$U$153)</f>
        <v>13.597297297297297</v>
      </c>
      <c r="Y120" s="22">
        <f>(JRC_Data!BE28/1000)*($U$154/$U$153)</f>
        <v>13.597297297297297</v>
      </c>
      <c r="Z120" s="88">
        <f>JRC_Data!BL28/1000</f>
        <v>0.23499999999999999</v>
      </c>
      <c r="AA120" s="88"/>
      <c r="AB120" s="59"/>
      <c r="AC120" s="88"/>
      <c r="AD120" s="88"/>
      <c r="AE120" s="88"/>
      <c r="AF120" s="88">
        <f t="shared" si="63"/>
        <v>1.1983680000000001</v>
      </c>
      <c r="AG120" s="91"/>
      <c r="AH120" s="68">
        <v>2019</v>
      </c>
      <c r="AI120" s="91">
        <v>38</v>
      </c>
      <c r="AK120" s="228"/>
      <c r="AL120" s="106" t="str">
        <f>C125</f>
        <v>R-SW_Det_HET_N1</v>
      </c>
      <c r="AM120" s="106" t="str">
        <f>D125</f>
        <v>Residential District Heating Centralized - SH + WH</v>
      </c>
      <c r="AN120" s="107" t="s">
        <v>16</v>
      </c>
      <c r="AO120" s="107" t="s">
        <v>189</v>
      </c>
      <c r="AP120" s="107"/>
      <c r="AQ120" s="107" t="s">
        <v>81</v>
      </c>
    </row>
    <row r="121" spans="3:43" ht="15.75" thickBot="1" x14ac:dyDescent="0.3">
      <c r="C121" s="268" t="str">
        <f>"R-SW_Det"&amp;"_"&amp;RIGHT(E121,3)&amp;"_HPN2"</f>
        <v>R-SW_Det_GAS_HPN2</v>
      </c>
      <c r="D121" s="29" t="s">
        <v>123</v>
      </c>
      <c r="E121" s="30" t="s">
        <v>310</v>
      </c>
      <c r="F121" s="30" t="s">
        <v>714</v>
      </c>
      <c r="G121" s="30" t="s">
        <v>302</v>
      </c>
      <c r="H121" s="396">
        <f>JRC_Data!AC30/0.9</f>
        <v>1.6666666666666665</v>
      </c>
      <c r="I121" s="396">
        <f>JRC_Data!AD30/0.9</f>
        <v>1.7222222222222223</v>
      </c>
      <c r="J121" s="396">
        <f>JRC_Data!AE30/0.9</f>
        <v>1.7222222222222223</v>
      </c>
      <c r="K121" s="396">
        <f>JRC_Data!AF30/0.9</f>
        <v>1.7777777777777779</v>
      </c>
      <c r="L121" s="52"/>
      <c r="M121" s="53"/>
      <c r="N121" s="53"/>
      <c r="O121" s="54"/>
      <c r="P121" s="268">
        <f>H121*0.7</f>
        <v>1.1666666666666665</v>
      </c>
      <c r="Q121" s="29">
        <f t="shared" si="97"/>
        <v>1.2055555555555555</v>
      </c>
      <c r="R121" s="29">
        <f t="shared" si="98"/>
        <v>1.2055555555555555</v>
      </c>
      <c r="S121" s="62">
        <f t="shared" si="99"/>
        <v>1.2444444444444445</v>
      </c>
      <c r="T121" s="30">
        <v>15</v>
      </c>
      <c r="U121" s="54"/>
      <c r="V121" s="268">
        <f>(JRC_Data!BB30/1000)*($U$154/$U$153)</f>
        <v>51.259652509652504</v>
      </c>
      <c r="W121" s="268">
        <f>(JRC_Data!BC30/1000)*($U$154/$U$153)</f>
        <v>51.259652509652504</v>
      </c>
      <c r="X121" s="268">
        <f>(JRC_Data!BD30/1000)*($U$154/$U$153)</f>
        <v>51.259652509652504</v>
      </c>
      <c r="Y121" s="268">
        <f>(JRC_Data!BE30/1000)*($U$154/$U$153)</f>
        <v>51.259652509652504</v>
      </c>
      <c r="Z121" s="67">
        <f>JRC_Data!BL28/1000</f>
        <v>0.23499999999999999</v>
      </c>
      <c r="AA121" s="67"/>
      <c r="AB121" s="62"/>
      <c r="AC121" s="67"/>
      <c r="AD121" s="67"/>
      <c r="AE121" s="67"/>
      <c r="AF121" s="67">
        <f t="shared" si="63"/>
        <v>1.1983680000000001</v>
      </c>
      <c r="AG121" s="70"/>
      <c r="AH121" s="69">
        <v>2019</v>
      </c>
      <c r="AI121" s="70">
        <v>38</v>
      </c>
      <c r="AK121" s="117"/>
      <c r="AL121" s="111" t="str">
        <f>C126</f>
        <v>R-SW_Det_HET_N2</v>
      </c>
      <c r="AM121" s="111" t="str">
        <f>D126</f>
        <v>Residential District Heating Decentralized - SH + WH</v>
      </c>
      <c r="AN121" s="112" t="s">
        <v>16</v>
      </c>
      <c r="AO121" s="112" t="s">
        <v>189</v>
      </c>
      <c r="AP121" s="112"/>
      <c r="AQ121" s="112" t="s">
        <v>81</v>
      </c>
    </row>
    <row r="122" spans="3:43" ht="15" x14ac:dyDescent="0.25">
      <c r="C122" s="36" t="s">
        <v>114</v>
      </c>
      <c r="D122" s="36"/>
      <c r="E122" s="37"/>
      <c r="F122" s="37"/>
      <c r="G122" s="37"/>
      <c r="H122" s="37"/>
      <c r="I122" s="37"/>
      <c r="J122" s="37"/>
      <c r="K122" s="37"/>
      <c r="L122" s="38"/>
      <c r="M122" s="38"/>
      <c r="N122" s="38"/>
      <c r="O122" s="38"/>
      <c r="P122" s="36"/>
      <c r="Q122" s="36"/>
      <c r="R122" s="36"/>
      <c r="S122" s="36"/>
      <c r="T122" s="37"/>
      <c r="U122" s="37"/>
      <c r="V122" s="36"/>
      <c r="W122" s="36"/>
      <c r="X122" s="36"/>
      <c r="Y122" s="36"/>
      <c r="Z122" s="36"/>
      <c r="AA122" s="37"/>
      <c r="AB122" s="39"/>
      <c r="AC122" s="39"/>
      <c r="AD122" s="39"/>
      <c r="AE122" s="39"/>
      <c r="AF122" s="36"/>
      <c r="AG122" s="37"/>
      <c r="AH122" s="37"/>
      <c r="AI122" s="37"/>
      <c r="AK122" s="228"/>
      <c r="AL122" s="106" t="str">
        <f t="shared" ref="AL122:AL123" si="100">C128</f>
        <v>R-WH_Det_ELC_N1</v>
      </c>
      <c r="AM122" s="106" t="str">
        <f t="shared" ref="AM122:AM123" si="101">D128</f>
        <v xml:space="preserve">Residential Electric Water Heater </v>
      </c>
      <c r="AN122" s="107" t="s">
        <v>16</v>
      </c>
      <c r="AO122" s="107" t="s">
        <v>189</v>
      </c>
      <c r="AP122" s="107"/>
      <c r="AQ122" s="107" t="s">
        <v>81</v>
      </c>
    </row>
    <row r="123" spans="3:43" ht="15.75" thickBot="1" x14ac:dyDescent="0.3">
      <c r="C123" s="99" t="str">
        <f>"R-SW_Det"&amp;"_"&amp;RIGHT(E123,3)&amp;"_HHPN1"</f>
        <v>R-SW_Det_GAS_HHPN1</v>
      </c>
      <c r="D123" s="83" t="s">
        <v>131</v>
      </c>
      <c r="E123" s="124" t="s">
        <v>314</v>
      </c>
      <c r="F123" s="124" t="s">
        <v>714</v>
      </c>
      <c r="G123" s="101" t="s">
        <v>302</v>
      </c>
      <c r="H123" s="395">
        <f>1*$AD$28+JRC_Data!AD18*(1.2-$AD$28)</f>
        <v>3.2699999999999996</v>
      </c>
      <c r="I123" s="395">
        <f>1*$AD$28+JRC_Data!AE18*(1.2-$AD$28)</f>
        <v>3.6299999999999994</v>
      </c>
      <c r="J123" s="395">
        <f>1*$AD$28+JRC_Data!AF18*(1.2-$AD$28)</f>
        <v>3.8999999999999995</v>
      </c>
      <c r="K123" s="395">
        <f>1*$AD$28+JRC_Data!AG18*(1.2-$AD$28)</f>
        <v>3.8999999999999995</v>
      </c>
      <c r="L123" s="52"/>
      <c r="M123" s="53"/>
      <c r="N123" s="53"/>
      <c r="O123" s="54"/>
      <c r="P123" s="268">
        <f>H123*0.7</f>
        <v>2.2889999999999997</v>
      </c>
      <c r="Q123" s="29">
        <f t="shared" ref="Q123" si="102">I123*0.7</f>
        <v>2.5409999999999995</v>
      </c>
      <c r="R123" s="29">
        <f t="shared" ref="R123" si="103">J123*0.7</f>
        <v>2.7299999999999995</v>
      </c>
      <c r="S123" s="62">
        <f t="shared" ref="S123" si="104">K123*0.7</f>
        <v>2.7299999999999995</v>
      </c>
      <c r="T123" s="5">
        <v>20</v>
      </c>
      <c r="V123" s="82">
        <f>(V115+V98)*0.8</f>
        <v>10.987282270335434</v>
      </c>
      <c r="W123" s="82">
        <f t="shared" ref="W123:Y123" si="105">(W115+W98)*0.8</f>
        <v>10.272315282993665</v>
      </c>
      <c r="X123" s="82">
        <f t="shared" si="105"/>
        <v>9.6216953245126504</v>
      </c>
      <c r="Y123" s="82">
        <f t="shared" si="105"/>
        <v>9.5573482956518898</v>
      </c>
      <c r="Z123" s="387">
        <f>(JRC_Data!BL9+JRC_Data!BL18)*0.8/1000</f>
        <v>0.308</v>
      </c>
      <c r="AA123" s="86"/>
      <c r="AB123" s="87"/>
      <c r="AC123" s="87"/>
      <c r="AD123" s="87">
        <v>0.3</v>
      </c>
      <c r="AE123" s="86">
        <v>5</v>
      </c>
      <c r="AF123" s="85">
        <f t="shared" si="63"/>
        <v>0.62441279999999999</v>
      </c>
      <c r="AG123" s="86"/>
      <c r="AH123" s="86">
        <v>2019</v>
      </c>
      <c r="AI123" s="86">
        <f>AI98*AD123+AI116*(1-AD123)</f>
        <v>19.799999999999997</v>
      </c>
      <c r="AK123" s="4"/>
      <c r="AL123" s="108" t="str">
        <f t="shared" si="100"/>
        <v>R-WH_Det_SOL_N1</v>
      </c>
      <c r="AM123" s="108" t="str">
        <f t="shared" si="101"/>
        <v xml:space="preserve">Residential Solar Water Heater </v>
      </c>
      <c r="AN123" s="109" t="s">
        <v>16</v>
      </c>
      <c r="AO123" s="109" t="s">
        <v>189</v>
      </c>
      <c r="AP123" s="109"/>
      <c r="AQ123" s="109" t="s">
        <v>81</v>
      </c>
    </row>
    <row r="124" spans="3:43" ht="15" x14ac:dyDescent="0.25">
      <c r="C124" s="36" t="s">
        <v>124</v>
      </c>
      <c r="D124" s="36"/>
      <c r="E124" s="37"/>
      <c r="F124" s="37"/>
      <c r="G124" s="37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7"/>
      <c r="U124" s="37"/>
      <c r="V124" s="36"/>
      <c r="W124" s="36"/>
      <c r="X124" s="36"/>
      <c r="Y124" s="36"/>
      <c r="Z124" s="36"/>
      <c r="AA124" s="37"/>
      <c r="AB124" s="39"/>
      <c r="AC124" s="39"/>
      <c r="AD124" s="39"/>
      <c r="AE124" s="39"/>
      <c r="AF124" s="36"/>
      <c r="AG124" s="37"/>
      <c r="AH124" s="37"/>
      <c r="AI124" s="37"/>
      <c r="AK124" s="4"/>
      <c r="AL124" s="108" t="str">
        <f>C131</f>
        <v>R-SC_Det_ELC_N1</v>
      </c>
      <c r="AM124" s="108" t="str">
        <f>D131</f>
        <v>Residential Electric Air Conditioning</v>
      </c>
      <c r="AN124" s="107" t="s">
        <v>16</v>
      </c>
      <c r="AO124" s="107" t="s">
        <v>189</v>
      </c>
      <c r="AP124" s="107"/>
      <c r="AQ124" s="107" t="s">
        <v>81</v>
      </c>
    </row>
    <row r="125" spans="3:43" x14ac:dyDescent="0.2">
      <c r="C125" s="22" t="str">
        <f>"R-SW_Det"&amp;"_"&amp;RIGHT(E125,3)&amp;"_N1"</f>
        <v>R-SW_Det_HET_N1</v>
      </c>
      <c r="D125" s="23" t="s">
        <v>125</v>
      </c>
      <c r="E125" s="92" t="s">
        <v>297</v>
      </c>
      <c r="F125" s="92"/>
      <c r="G125" s="92" t="s">
        <v>302</v>
      </c>
      <c r="H125" s="22">
        <v>1</v>
      </c>
      <c r="I125" s="23">
        <v>1</v>
      </c>
      <c r="J125" s="23">
        <v>1</v>
      </c>
      <c r="K125" s="59">
        <v>1</v>
      </c>
      <c r="L125" s="49"/>
      <c r="M125" s="50"/>
      <c r="N125" s="50"/>
      <c r="O125" s="51"/>
      <c r="P125" s="262">
        <v>1</v>
      </c>
      <c r="Q125" s="263">
        <v>1</v>
      </c>
      <c r="R125" s="263">
        <v>1</v>
      </c>
      <c r="S125" s="264">
        <v>1</v>
      </c>
      <c r="T125" s="55">
        <v>20</v>
      </c>
      <c r="U125" s="51"/>
      <c r="V125" s="22">
        <f>(JRC_Data!BB62/1000)*($U$154/$U$148)*1.5</f>
        <v>4.6583333333333332</v>
      </c>
      <c r="W125" s="22">
        <f>(JRC_Data!BC62/1000)*($U$154/$U$148)*1.5</f>
        <v>4.6583333333333332</v>
      </c>
      <c r="X125" s="22">
        <f>(JRC_Data!BD62/1000)*($U$154/$U$148)*1.5</f>
        <v>4.6583333333333332</v>
      </c>
      <c r="Y125" s="22">
        <f>(JRC_Data!BE62/1000)*($U$154/$U$148)*1.5</f>
        <v>4.6583333333333332</v>
      </c>
      <c r="Z125" s="88">
        <f>JRC_Data!BL62/1000</f>
        <v>0.15</v>
      </c>
      <c r="AA125" s="88"/>
      <c r="AB125" s="88"/>
      <c r="AC125" s="88"/>
      <c r="AD125" s="88"/>
      <c r="AE125" s="88"/>
      <c r="AF125" s="88">
        <f t="shared" si="63"/>
        <v>1.1983680000000001</v>
      </c>
      <c r="AG125" s="91"/>
      <c r="AH125" s="68">
        <v>2035</v>
      </c>
      <c r="AI125" s="91">
        <v>38</v>
      </c>
    </row>
    <row r="126" spans="3:43" x14ac:dyDescent="0.2">
      <c r="C126" s="268" t="str">
        <f>"R-SW_Det"&amp;"_"&amp;RIGHT(E126,3)&amp;"_N2"</f>
        <v>R-SW_Det_HET_N2</v>
      </c>
      <c r="D126" s="29" t="s">
        <v>126</v>
      </c>
      <c r="E126" s="30" t="s">
        <v>297</v>
      </c>
      <c r="F126" s="30"/>
      <c r="G126" s="30" t="s">
        <v>302</v>
      </c>
      <c r="H126" s="268">
        <v>1</v>
      </c>
      <c r="I126" s="29">
        <v>1</v>
      </c>
      <c r="J126" s="29">
        <v>1</v>
      </c>
      <c r="K126" s="62">
        <v>1</v>
      </c>
      <c r="L126" s="52"/>
      <c r="M126" s="53"/>
      <c r="N126" s="53"/>
      <c r="O126" s="54"/>
      <c r="P126" s="269">
        <v>1</v>
      </c>
      <c r="Q126" s="270">
        <v>1</v>
      </c>
      <c r="R126" s="270">
        <v>1</v>
      </c>
      <c r="S126" s="271">
        <v>1</v>
      </c>
      <c r="T126" s="58">
        <v>20</v>
      </c>
      <c r="U126" s="54"/>
      <c r="V126" s="268">
        <f>(JRC_Data!BB62/1000)*($U$154/$U$148)*1.5</f>
        <v>4.6583333333333332</v>
      </c>
      <c r="W126" s="268">
        <f>(JRC_Data!BC62/1000)*($U$154/$U$148)*1.5</f>
        <v>4.6583333333333332</v>
      </c>
      <c r="X126" s="268">
        <f>(JRC_Data!BD62/1000)*($U$154/$U$148)*1.5</f>
        <v>4.6583333333333332</v>
      </c>
      <c r="Y126" s="268">
        <f>(JRC_Data!BE62/1000)*($U$154/$U$148)*1.5</f>
        <v>4.6583333333333332</v>
      </c>
      <c r="Z126" s="67">
        <f>JRC_Data!BL62/1000</f>
        <v>0.15</v>
      </c>
      <c r="AA126" s="67"/>
      <c r="AB126" s="67"/>
      <c r="AC126" s="67"/>
      <c r="AD126" s="67"/>
      <c r="AE126" s="67"/>
      <c r="AF126" s="67">
        <f t="shared" si="63"/>
        <v>1.1983680000000001</v>
      </c>
      <c r="AG126" s="70"/>
      <c r="AH126" s="69">
        <v>2035</v>
      </c>
      <c r="AI126" s="70">
        <v>38</v>
      </c>
    </row>
    <row r="127" spans="3:43" x14ac:dyDescent="0.2">
      <c r="C127" s="36" t="s">
        <v>127</v>
      </c>
      <c r="D127" s="36"/>
      <c r="E127" s="37"/>
      <c r="F127" s="37"/>
      <c r="G127" s="37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7"/>
      <c r="U127" s="37"/>
      <c r="V127" s="36"/>
      <c r="W127" s="36"/>
      <c r="X127" s="36"/>
      <c r="Y127" s="36"/>
      <c r="Z127" s="36"/>
      <c r="AA127" s="37"/>
      <c r="AB127" s="39"/>
      <c r="AC127" s="39"/>
      <c r="AD127" s="39"/>
      <c r="AE127" s="39"/>
      <c r="AF127" s="36"/>
      <c r="AG127" s="37"/>
      <c r="AH127" s="37"/>
      <c r="AI127" s="37"/>
    </row>
    <row r="128" spans="3:43" x14ac:dyDescent="0.2">
      <c r="C128" s="22" t="str">
        <f>"R-WH_Det"&amp;"_"&amp;RIGHT(E128,3)&amp;"_N1"</f>
        <v>R-WH_Det_ELC_N1</v>
      </c>
      <c r="D128" s="23" t="s">
        <v>128</v>
      </c>
      <c r="E128" s="92" t="s">
        <v>162</v>
      </c>
      <c r="F128" s="92"/>
      <c r="G128" s="59" t="s">
        <v>159</v>
      </c>
      <c r="H128" s="49"/>
      <c r="I128" s="50"/>
      <c r="J128" s="50"/>
      <c r="K128" s="51"/>
      <c r="L128" s="49"/>
      <c r="M128" s="50"/>
      <c r="N128" s="50"/>
      <c r="O128" s="51"/>
      <c r="P128" s="262">
        <v>1</v>
      </c>
      <c r="Q128" s="263">
        <v>1</v>
      </c>
      <c r="R128" s="263">
        <v>1</v>
      </c>
      <c r="S128" s="264">
        <v>1</v>
      </c>
      <c r="T128" s="55">
        <v>20</v>
      </c>
      <c r="U128" s="51"/>
      <c r="V128" s="22">
        <f>(JRC_Data!BB48/1000)*($U$147/$U$146)</f>
        <v>4.3022222222222215</v>
      </c>
      <c r="W128" s="22">
        <f>(JRC_Data!BC48/1000)*($U$147/$U$146)</f>
        <v>4.3022222222222215</v>
      </c>
      <c r="X128" s="22">
        <f>(JRC_Data!BD48/1000)*($U$147/$U$146)</f>
        <v>4.3022222222222215</v>
      </c>
      <c r="Y128" s="22">
        <f>(JRC_Data!BE48/1000)*($U$147/$U$146)</f>
        <v>4.3022222222222215</v>
      </c>
      <c r="Z128" s="88">
        <f>JRC_Data!BL48/1000</f>
        <v>0.05</v>
      </c>
      <c r="AA128" s="88"/>
      <c r="AB128" s="88"/>
      <c r="AC128" s="88"/>
      <c r="AD128" s="88"/>
      <c r="AE128" s="88"/>
      <c r="AF128" s="88">
        <f t="shared" si="63"/>
        <v>0.25228800000000001</v>
      </c>
      <c r="AG128" s="91"/>
      <c r="AH128" s="91">
        <v>2019</v>
      </c>
      <c r="AI128" s="91">
        <v>8</v>
      </c>
    </row>
    <row r="129" spans="3:35" x14ac:dyDescent="0.2">
      <c r="C129" s="268" t="str">
        <f>"R-WH_Det"&amp;"_"&amp;RIGHT(E129,3)&amp;"_N1"</f>
        <v>R-WH_Det_SOL_N1</v>
      </c>
      <c r="D129" s="29" t="s">
        <v>129</v>
      </c>
      <c r="E129" s="30" t="s">
        <v>315</v>
      </c>
      <c r="F129" s="30"/>
      <c r="G129" s="62" t="s">
        <v>159</v>
      </c>
      <c r="H129" s="52"/>
      <c r="I129" s="53"/>
      <c r="J129" s="53"/>
      <c r="K129" s="54"/>
      <c r="L129" s="52"/>
      <c r="M129" s="53"/>
      <c r="N129" s="53"/>
      <c r="O129" s="54"/>
      <c r="P129" s="259">
        <v>1</v>
      </c>
      <c r="Q129" s="260">
        <v>1</v>
      </c>
      <c r="R129" s="260">
        <v>1</v>
      </c>
      <c r="S129" s="261">
        <v>1</v>
      </c>
      <c r="T129" s="56">
        <v>25</v>
      </c>
      <c r="U129" s="25">
        <v>30</v>
      </c>
      <c r="V129" s="25">
        <f>(JRC_Data!BB45/1000)*($U$147/$U$146)</f>
        <v>5.8079999999999998</v>
      </c>
      <c r="W129" s="25">
        <f>(JRC_Data!BC45/1000)*($U$147/$U$146)</f>
        <v>5.4853333333333323</v>
      </c>
      <c r="X129" s="25">
        <f>(JRC_Data!BD45/1000)*($U$147/$U$146)</f>
        <v>4.9475555555555539</v>
      </c>
      <c r="Y129" s="25">
        <f>(JRC_Data!BE45/1000)*($U$147/$U$146)</f>
        <v>3.9795555555555553</v>
      </c>
      <c r="Z129" s="66">
        <f>JRC_Data!BL45/1000</f>
        <v>6.2E-2</v>
      </c>
      <c r="AA129" s="66"/>
      <c r="AB129" s="66"/>
      <c r="AC129" s="66"/>
      <c r="AD129" s="66"/>
      <c r="AE129" s="66"/>
      <c r="AF129" s="66">
        <f t="shared" si="63"/>
        <v>0.25228800000000001</v>
      </c>
      <c r="AG129" s="70"/>
      <c r="AH129" s="69">
        <v>2019</v>
      </c>
      <c r="AI129" s="69">
        <v>8</v>
      </c>
    </row>
    <row r="130" spans="3:35" x14ac:dyDescent="0.2">
      <c r="C130" s="36" t="s">
        <v>325</v>
      </c>
      <c r="D130" s="36"/>
      <c r="E130" s="37"/>
      <c r="F130" s="37"/>
      <c r="G130" s="37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7"/>
      <c r="U130" s="37"/>
      <c r="V130" s="36"/>
      <c r="W130" s="36"/>
      <c r="X130" s="36"/>
      <c r="Y130" s="36"/>
      <c r="Z130" s="36"/>
      <c r="AA130" s="37"/>
      <c r="AB130" s="39"/>
      <c r="AC130" s="39"/>
      <c r="AD130" s="39"/>
      <c r="AE130" s="39"/>
      <c r="AF130" s="36"/>
      <c r="AG130" s="37"/>
      <c r="AH130" s="37"/>
      <c r="AI130" s="37"/>
    </row>
    <row r="131" spans="3:35" x14ac:dyDescent="0.2">
      <c r="C131" s="32" t="str">
        <f>"R-SC_Det"&amp;"_"&amp;RIGHT(E131,3)&amp;"_N1"</f>
        <v>R-SC_Det_ELC_N1</v>
      </c>
      <c r="D131" s="100" t="s">
        <v>130</v>
      </c>
      <c r="E131" s="120" t="s">
        <v>162</v>
      </c>
      <c r="F131" s="120"/>
      <c r="G131" s="121" t="s">
        <v>158</v>
      </c>
      <c r="H131" s="118"/>
      <c r="I131" s="119"/>
      <c r="J131" s="119"/>
      <c r="K131" s="119"/>
      <c r="L131" s="274">
        <v>1</v>
      </c>
      <c r="M131" s="275">
        <v>1.0666666666666667</v>
      </c>
      <c r="N131" s="275">
        <v>1.2333333333333334</v>
      </c>
      <c r="O131" s="275">
        <v>1.3333333333333333</v>
      </c>
      <c r="P131" s="119"/>
      <c r="Q131" s="119"/>
      <c r="R131" s="119"/>
      <c r="S131" s="103"/>
      <c r="T131" s="102">
        <v>20</v>
      </c>
      <c r="U131" s="103"/>
      <c r="V131" s="99">
        <f>(JRC_Data!BB16/1000)*($U$148/$U$152)</f>
        <v>2.0204081632653064</v>
      </c>
      <c r="W131" s="99">
        <f>(JRC_Data!BC16/1000)*($U$148/$U$152)</f>
        <v>1.9285714285714286</v>
      </c>
      <c r="X131" s="99">
        <f>(JRC_Data!BD16/1000)*($U$148/$U$152)</f>
        <v>1.7448979591836735</v>
      </c>
      <c r="Y131" s="99">
        <f>(JRC_Data!BE16/1000)*($U$148/$U$152)</f>
        <v>1.653061224489796</v>
      </c>
      <c r="Z131" s="96">
        <f>JRC_Data!BL16/1000</f>
        <v>3.4000000000000002E-2</v>
      </c>
      <c r="AA131" s="96"/>
      <c r="AB131" s="96"/>
      <c r="AC131" s="96"/>
      <c r="AD131" s="96"/>
      <c r="AE131" s="96"/>
      <c r="AF131" s="96">
        <f t="shared" si="63"/>
        <v>0.25228800000000001</v>
      </c>
      <c r="AG131" s="95"/>
      <c r="AH131" s="95">
        <v>2019</v>
      </c>
      <c r="AI131" s="95">
        <v>8</v>
      </c>
    </row>
    <row r="133" spans="3:35" ht="15" x14ac:dyDescent="0.25">
      <c r="C133" s="7"/>
      <c r="I133" s="9"/>
      <c r="J133" s="9"/>
      <c r="K133" s="9"/>
      <c r="L133" s="9"/>
      <c r="M133" s="1"/>
      <c r="N133" s="1"/>
      <c r="O133" s="12"/>
      <c r="P133" s="11"/>
      <c r="Q133" s="12"/>
      <c r="R133" s="12"/>
      <c r="S133" s="10"/>
      <c r="T133" s="12"/>
      <c r="U133" s="12"/>
      <c r="V133" s="10"/>
      <c r="W133" s="10"/>
      <c r="Z133" s="9"/>
    </row>
    <row r="134" spans="3:35" ht="15" x14ac:dyDescent="0.25">
      <c r="I134" s="9"/>
      <c r="J134" s="9"/>
      <c r="K134" s="9"/>
      <c r="L134" s="9"/>
      <c r="M134" s="1"/>
      <c r="N134" s="1"/>
      <c r="O134" s="12"/>
      <c r="P134" s="11"/>
      <c r="Q134" s="12"/>
      <c r="R134" s="12"/>
      <c r="S134" s="10"/>
      <c r="T134" s="12"/>
      <c r="U134" s="12"/>
      <c r="V134" s="10"/>
      <c r="W134" s="10"/>
      <c r="Z134" s="9"/>
    </row>
    <row r="136" spans="3:35" ht="30" customHeight="1" x14ac:dyDescent="0.2">
      <c r="J136" s="14"/>
    </row>
    <row r="139" spans="3:35" x14ac:dyDescent="0.2">
      <c r="J139" s="14"/>
    </row>
    <row r="142" spans="3:35" x14ac:dyDescent="0.2">
      <c r="J142" s="14"/>
    </row>
    <row r="143" spans="3:35" x14ac:dyDescent="0.2">
      <c r="J143" s="14"/>
      <c r="T143" s="5" t="s">
        <v>568</v>
      </c>
    </row>
    <row r="144" spans="3:35" x14ac:dyDescent="0.2">
      <c r="J144" s="14"/>
      <c r="T144" s="5" t="s">
        <v>226</v>
      </c>
      <c r="U144" s="5" t="s">
        <v>570</v>
      </c>
      <c r="V144" s="5" t="s">
        <v>565</v>
      </c>
    </row>
    <row r="145" spans="1:22" x14ac:dyDescent="0.2">
      <c r="J145" s="14"/>
      <c r="T145" s="392">
        <v>3</v>
      </c>
      <c r="U145" s="393">
        <f t="shared" ref="U145:U154" si="106">V145/$V$153</f>
        <v>0.72929037751472525</v>
      </c>
      <c r="V145" s="394">
        <f>(V146/V150)*V147</f>
        <v>1888.8620777631384</v>
      </c>
    </row>
    <row r="146" spans="1:22" x14ac:dyDescent="0.2">
      <c r="J146" s="14"/>
      <c r="T146" s="392">
        <v>5</v>
      </c>
      <c r="U146" s="393">
        <f t="shared" si="106"/>
        <v>0.79101166159768732</v>
      </c>
      <c r="V146" s="394">
        <f>(V147/V151)*V148</f>
        <v>2048.7202035380101</v>
      </c>
    </row>
    <row r="147" spans="1:22" x14ac:dyDescent="0.2">
      <c r="T147" s="392">
        <v>8</v>
      </c>
      <c r="U147" s="393">
        <f t="shared" si="106"/>
        <v>0.85077698714062355</v>
      </c>
      <c r="V147" s="394">
        <f>(V148/V151)*V149</f>
        <v>2203.5123966942151</v>
      </c>
    </row>
    <row r="148" spans="1:22" x14ac:dyDescent="0.2">
      <c r="A148" s="4"/>
      <c r="T148" s="392">
        <v>10</v>
      </c>
      <c r="U148" s="393">
        <f t="shared" si="106"/>
        <v>0.86872586872586877</v>
      </c>
      <c r="V148" s="392">
        <f>V151-(V153-V151)</f>
        <v>2250</v>
      </c>
    </row>
    <row r="149" spans="1:22" x14ac:dyDescent="0.2">
      <c r="A149" s="4"/>
      <c r="M149" s="37" t="s">
        <v>553</v>
      </c>
      <c r="N149" s="37"/>
      <c r="O149" s="37"/>
      <c r="P149" s="37"/>
      <c r="Q149" s="37"/>
      <c r="T149" s="5">
        <v>15</v>
      </c>
      <c r="U149" s="383">
        <f t="shared" si="106"/>
        <v>0.91505791505791501</v>
      </c>
      <c r="V149" s="5">
        <v>2370</v>
      </c>
    </row>
    <row r="150" spans="1:22" x14ac:dyDescent="0.2">
      <c r="M150" s="5" t="s">
        <v>561</v>
      </c>
      <c r="N150" s="5" t="s">
        <v>562</v>
      </c>
      <c r="O150" s="7" t="s">
        <v>559</v>
      </c>
      <c r="P150" s="382" t="s">
        <v>563</v>
      </c>
      <c r="Q150" s="7" t="s">
        <v>558</v>
      </c>
      <c r="T150" s="5">
        <v>18</v>
      </c>
      <c r="U150" s="383">
        <f t="shared" si="106"/>
        <v>0.92277992277992282</v>
      </c>
      <c r="V150" s="5">
        <v>2390</v>
      </c>
    </row>
    <row r="151" spans="1:22" x14ac:dyDescent="0.2">
      <c r="M151" s="7">
        <v>111</v>
      </c>
      <c r="N151" s="7" t="s">
        <v>284</v>
      </c>
      <c r="O151" s="7">
        <v>24</v>
      </c>
      <c r="P151" s="7">
        <f>O151/M151</f>
        <v>0.21621621621621623</v>
      </c>
      <c r="Q151" s="7">
        <f>O151*1.25</f>
        <v>30</v>
      </c>
      <c r="T151" s="392">
        <v>20</v>
      </c>
      <c r="U151" s="393">
        <f t="shared" si="106"/>
        <v>0.93436293436293438</v>
      </c>
      <c r="V151" s="392">
        <f>AVERAGE(V150,V152)</f>
        <v>2420</v>
      </c>
    </row>
    <row r="152" spans="1:22" x14ac:dyDescent="0.2">
      <c r="M152" s="7">
        <v>70</v>
      </c>
      <c r="N152" s="7" t="s">
        <v>554</v>
      </c>
      <c r="O152" s="7">
        <v>15</v>
      </c>
      <c r="P152" s="7">
        <f>O152/M152</f>
        <v>0.21428571428571427</v>
      </c>
      <c r="Q152" s="7">
        <f>O152*1.25</f>
        <v>18.75</v>
      </c>
      <c r="T152" s="5">
        <v>24</v>
      </c>
      <c r="U152" s="383">
        <f t="shared" si="106"/>
        <v>0.94594594594594594</v>
      </c>
      <c r="V152" s="5">
        <v>2450</v>
      </c>
    </row>
    <row r="153" spans="1:22" x14ac:dyDescent="0.2">
      <c r="M153" s="7">
        <v>99</v>
      </c>
      <c r="N153" s="7" t="s">
        <v>555</v>
      </c>
      <c r="O153" s="7">
        <v>20</v>
      </c>
      <c r="P153" s="7">
        <f>O153/M153</f>
        <v>0.20202020202020202</v>
      </c>
      <c r="Q153" s="7">
        <f>O153*1.25</f>
        <v>25</v>
      </c>
      <c r="T153" s="5">
        <v>30</v>
      </c>
      <c r="U153" s="383">
        <f t="shared" si="106"/>
        <v>1</v>
      </c>
      <c r="V153" s="5">
        <v>2590</v>
      </c>
    </row>
    <row r="154" spans="1:22" x14ac:dyDescent="0.2">
      <c r="M154" s="7">
        <v>150</v>
      </c>
      <c r="N154" s="7" t="s">
        <v>556</v>
      </c>
      <c r="O154" s="7">
        <v>30</v>
      </c>
      <c r="P154" s="7">
        <f>O154/M154</f>
        <v>0.2</v>
      </c>
      <c r="Q154" s="7">
        <f>O154*1.25</f>
        <v>37.5</v>
      </c>
      <c r="T154" s="5">
        <v>35</v>
      </c>
      <c r="U154" s="383">
        <f t="shared" si="106"/>
        <v>1.0791505791505791</v>
      </c>
      <c r="V154" s="5">
        <v>2795</v>
      </c>
    </row>
    <row r="155" spans="1:22" x14ac:dyDescent="0.2">
      <c r="M155" s="7"/>
      <c r="N155" s="7"/>
      <c r="O155" s="7"/>
      <c r="P155" s="7"/>
      <c r="Q155" s="7"/>
    </row>
    <row r="156" spans="1:22" x14ac:dyDescent="0.2">
      <c r="M156" s="7" t="s">
        <v>557</v>
      </c>
      <c r="N156" s="7"/>
      <c r="O156" s="7"/>
      <c r="P156" s="7"/>
      <c r="Q156" s="7"/>
    </row>
    <row r="157" spans="1:22" x14ac:dyDescent="0.2">
      <c r="M157" s="7" t="s">
        <v>560</v>
      </c>
      <c r="N157" s="7"/>
      <c r="O157" s="7"/>
      <c r="P157" s="7"/>
      <c r="Q157" s="7"/>
    </row>
    <row r="158" spans="1:22" x14ac:dyDescent="0.2">
      <c r="M158" s="220" t="s">
        <v>566</v>
      </c>
    </row>
    <row r="159" spans="1:22" x14ac:dyDescent="0.2">
      <c r="M159" s="5" t="s">
        <v>567</v>
      </c>
    </row>
    <row r="166" ht="14.25" customHeight="1" x14ac:dyDescent="0.2"/>
  </sheetData>
  <mergeCells count="30"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42:K42"/>
    <mergeCell ref="L42:O42"/>
    <mergeCell ref="P42:S42"/>
    <mergeCell ref="T42:U42"/>
    <mergeCell ref="V42:Y42"/>
    <mergeCell ref="H44:K44"/>
    <mergeCell ref="L44:O44"/>
    <mergeCell ref="P44:S44"/>
    <mergeCell ref="T44:U44"/>
    <mergeCell ref="V44:Y44"/>
    <mergeCell ref="H90:K90"/>
    <mergeCell ref="L90:O90"/>
    <mergeCell ref="P90:S90"/>
    <mergeCell ref="T90:U90"/>
    <mergeCell ref="V90:Y90"/>
    <mergeCell ref="H92:K92"/>
    <mergeCell ref="L92:O92"/>
    <mergeCell ref="P92:S92"/>
    <mergeCell ref="T92:U92"/>
    <mergeCell ref="V92:Y92"/>
  </mergeCells>
  <phoneticPr fontId="7" type="noConversion"/>
  <hyperlinks>
    <hyperlink ref="M15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topLeftCell="F4" workbookViewId="0">
      <selection activeCell="U17" sqref="U17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38.7109375" style="5" bestFit="1" customWidth="1"/>
    <col min="5" max="5" width="39.28515625" style="5" customWidth="1"/>
    <col min="6" max="6" width="17" style="5" bestFit="1" customWidth="1"/>
    <col min="7" max="7" width="12.85546875" style="5" customWidth="1"/>
    <col min="8" max="15" width="10.7109375" style="5" customWidth="1"/>
    <col min="16" max="16" width="12.28515625" style="5" customWidth="1"/>
    <col min="17" max="17" width="12.42578125" style="5" customWidth="1"/>
    <col min="18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7" x14ac:dyDescent="0.2"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</row>
    <row r="3" spans="3:27" x14ac:dyDescent="0.2">
      <c r="C3" s="401"/>
      <c r="D3" s="401"/>
      <c r="E3" s="401"/>
      <c r="F3" s="8" t="s">
        <v>22</v>
      </c>
      <c r="G3" s="401"/>
      <c r="H3" s="401"/>
      <c r="I3" s="401"/>
      <c r="J3" s="401"/>
      <c r="K3" s="401"/>
      <c r="L3" s="401"/>
      <c r="M3" s="401"/>
      <c r="N3" s="401"/>
    </row>
    <row r="4" spans="3:27" ht="30.75" thickBot="1" x14ac:dyDescent="0.25">
      <c r="C4" s="17" t="s">
        <v>24</v>
      </c>
      <c r="D4" s="18" t="s">
        <v>35</v>
      </c>
      <c r="E4" s="17" t="s">
        <v>26</v>
      </c>
      <c r="F4" s="17" t="s">
        <v>27</v>
      </c>
      <c r="G4" s="21" t="s">
        <v>29</v>
      </c>
      <c r="H4" s="20" t="s">
        <v>28</v>
      </c>
      <c r="I4" s="20" t="s">
        <v>69</v>
      </c>
      <c r="J4" s="20" t="s">
        <v>70</v>
      </c>
      <c r="K4" s="20" t="s">
        <v>605</v>
      </c>
      <c r="L4" s="20" t="s">
        <v>260</v>
      </c>
      <c r="M4" s="20" t="s">
        <v>94</v>
      </c>
      <c r="N4" s="20" t="s">
        <v>95</v>
      </c>
      <c r="O4" s="20" t="s">
        <v>96</v>
      </c>
      <c r="P4" s="20" t="s">
        <v>67</v>
      </c>
      <c r="Q4" s="20" t="s">
        <v>316</v>
      </c>
      <c r="R4" s="20" t="s">
        <v>83</v>
      </c>
      <c r="S4" s="20" t="s">
        <v>84</v>
      </c>
    </row>
    <row r="5" spans="3:27" ht="38.25" x14ac:dyDescent="0.2">
      <c r="C5" s="19" t="s">
        <v>85</v>
      </c>
      <c r="D5" s="19" t="s">
        <v>36</v>
      </c>
      <c r="E5" s="19" t="s">
        <v>86</v>
      </c>
      <c r="F5" s="19" t="s">
        <v>87</v>
      </c>
      <c r="G5" s="130" t="s">
        <v>91</v>
      </c>
      <c r="H5" s="130"/>
      <c r="I5" s="130"/>
      <c r="J5" s="130"/>
      <c r="K5" s="130"/>
      <c r="L5" s="540" t="s">
        <v>92</v>
      </c>
      <c r="M5" s="541"/>
      <c r="N5" s="541"/>
      <c r="O5" s="542"/>
      <c r="P5" s="63"/>
      <c r="Q5" s="63" t="s">
        <v>93</v>
      </c>
      <c r="R5" s="63" t="s">
        <v>72</v>
      </c>
      <c r="S5" s="63"/>
      <c r="U5" s="63" t="s">
        <v>225</v>
      </c>
      <c r="V5" s="63"/>
      <c r="W5" s="63" t="s">
        <v>228</v>
      </c>
    </row>
    <row r="6" spans="3:27" x14ac:dyDescent="0.2">
      <c r="C6" s="40" t="s">
        <v>145</v>
      </c>
      <c r="D6" s="41"/>
      <c r="E6" s="41"/>
      <c r="F6" s="42"/>
      <c r="G6" s="40" t="s">
        <v>74</v>
      </c>
      <c r="H6" s="40"/>
      <c r="I6" s="40"/>
      <c r="J6" s="40"/>
      <c r="K6" s="40"/>
      <c r="L6" s="534" t="s">
        <v>552</v>
      </c>
      <c r="M6" s="536"/>
      <c r="N6" s="536"/>
      <c r="O6" s="535"/>
      <c r="P6" s="389" t="s">
        <v>564</v>
      </c>
      <c r="Q6" s="64" t="s">
        <v>37</v>
      </c>
      <c r="R6" s="389" t="s">
        <v>340</v>
      </c>
      <c r="S6" s="64" t="s">
        <v>100</v>
      </c>
      <c r="U6" s="64" t="s">
        <v>226</v>
      </c>
      <c r="V6" s="73" t="s">
        <v>229</v>
      </c>
      <c r="W6" s="64" t="s">
        <v>227</v>
      </c>
    </row>
    <row r="7" spans="3:27" x14ac:dyDescent="0.2">
      <c r="C7" s="147" t="str">
        <f>D20</f>
        <v>R-RSDRF_N1</v>
      </c>
      <c r="D7" s="137" t="str">
        <f>E20</f>
        <v>Residential Refrigeration - New</v>
      </c>
      <c r="E7" s="137" t="s">
        <v>162</v>
      </c>
      <c r="F7" s="148" t="s">
        <v>163</v>
      </c>
      <c r="G7" s="152">
        <v>15</v>
      </c>
      <c r="H7" s="142">
        <v>0.8</v>
      </c>
      <c r="I7" s="143">
        <v>0.8</v>
      </c>
      <c r="J7" s="143">
        <v>0.82</v>
      </c>
      <c r="K7" s="144">
        <v>0.85</v>
      </c>
      <c r="L7" s="278">
        <f>L35/$V7/1000</f>
        <v>0.432</v>
      </c>
      <c r="M7" s="278">
        <f>M35/$V7/1000</f>
        <v>0.432</v>
      </c>
      <c r="N7" s="278">
        <f>N35/$V7/1000</f>
        <v>0.432</v>
      </c>
      <c r="O7" s="278">
        <f>O35/$V7/1000</f>
        <v>0.432</v>
      </c>
      <c r="P7" s="152"/>
      <c r="Q7" s="152"/>
      <c r="R7" s="422">
        <f>31.536*(U7/1000)</f>
        <v>5.6764799999999994E-3</v>
      </c>
      <c r="S7" s="152">
        <v>2020</v>
      </c>
      <c r="U7" s="221">
        <v>0.18</v>
      </c>
      <c r="V7" s="221">
        <f>1/U7</f>
        <v>5.5555555555555554</v>
      </c>
      <c r="W7" s="221">
        <f>L35/V7</f>
        <v>432</v>
      </c>
      <c r="AA7" s="420">
        <f>1/V7</f>
        <v>0.18</v>
      </c>
    </row>
    <row r="8" spans="3:27" x14ac:dyDescent="0.2">
      <c r="C8" s="145" t="str">
        <f>D21</f>
        <v>R-RSDCK_ELC_N1</v>
      </c>
      <c r="D8" s="136" t="str">
        <f>LEFT($E$21,20)&amp;"_"&amp;RIGHT(E8,3)&amp;" - New"</f>
        <v>Residential Cooking _ELC - New</v>
      </c>
      <c r="E8" s="136" t="s">
        <v>162</v>
      </c>
      <c r="F8" s="146" t="s">
        <v>164</v>
      </c>
      <c r="G8" s="153">
        <v>15</v>
      </c>
      <c r="H8" s="145">
        <v>0.74</v>
      </c>
      <c r="I8" s="136">
        <v>0.75</v>
      </c>
      <c r="J8" s="136">
        <v>0.8</v>
      </c>
      <c r="K8" s="146">
        <v>0.85</v>
      </c>
      <c r="L8" s="279">
        <f>$W$8/1000</f>
        <v>0.86975000000000002</v>
      </c>
      <c r="M8" s="279">
        <f>$W$8/1000</f>
        <v>0.86975000000000002</v>
      </c>
      <c r="N8" s="279">
        <f>$W$8/1000</f>
        <v>0.86975000000000002</v>
      </c>
      <c r="O8" s="279">
        <f>$W$8/1000</f>
        <v>0.86975000000000002</v>
      </c>
      <c r="P8" s="153"/>
      <c r="Q8" s="153"/>
      <c r="R8" s="423">
        <f t="shared" ref="R8:R13" si="0">31.536*(U8/1000)</f>
        <v>9.4608000000000012E-2</v>
      </c>
      <c r="S8" s="153">
        <v>2020</v>
      </c>
      <c r="U8" s="221">
        <v>3</v>
      </c>
      <c r="V8" s="221">
        <f>1/U8</f>
        <v>0.33333333333333331</v>
      </c>
      <c r="W8" s="221">
        <f>W9*1.42</f>
        <v>869.75</v>
      </c>
    </row>
    <row r="9" spans="3:27" x14ac:dyDescent="0.2">
      <c r="C9" s="145" t="str">
        <f t="shared" ref="C9:D15" si="1">D22</f>
        <v>R-RSDCK_GAS_N1</v>
      </c>
      <c r="D9" s="137" t="str">
        <f t="shared" ref="D9:D10" si="2">LEFT($E$21,20)&amp;"_"&amp;RIGHT(E9,3)&amp;" - New"</f>
        <v>Residential Cooking _GAS - New</v>
      </c>
      <c r="E9" s="137" t="s">
        <v>310</v>
      </c>
      <c r="F9" s="148" t="s">
        <v>164</v>
      </c>
      <c r="G9" s="154">
        <v>15</v>
      </c>
      <c r="H9" s="147">
        <v>0.57999999999999996</v>
      </c>
      <c r="I9" s="147">
        <v>0.57999999999999996</v>
      </c>
      <c r="J9" s="147">
        <v>0.57999999999999996</v>
      </c>
      <c r="K9" s="147">
        <v>0.57999999999999996</v>
      </c>
      <c r="L9" s="280">
        <f t="shared" ref="L9:O13" si="3">L37/$V9/1000</f>
        <v>0.61250000000000004</v>
      </c>
      <c r="M9" s="280">
        <f t="shared" si="3"/>
        <v>0.61250000000000004</v>
      </c>
      <c r="N9" s="280">
        <f t="shared" si="3"/>
        <v>0.61250000000000004</v>
      </c>
      <c r="O9" s="280">
        <f t="shared" si="3"/>
        <v>0.61250000000000004</v>
      </c>
      <c r="P9" s="154"/>
      <c r="Q9" s="154"/>
      <c r="R9" s="424">
        <f t="shared" si="0"/>
        <v>0.110376</v>
      </c>
      <c r="S9" s="154">
        <v>2020</v>
      </c>
      <c r="U9" s="221">
        <v>3.5</v>
      </c>
      <c r="V9" s="221">
        <f t="shared" ref="V9:V13" si="4">1/U9</f>
        <v>0.2857142857142857</v>
      </c>
      <c r="W9" s="221">
        <f>L37/V9</f>
        <v>612.5</v>
      </c>
    </row>
    <row r="10" spans="3:27" x14ac:dyDescent="0.2">
      <c r="C10" s="145" t="str">
        <f t="shared" si="1"/>
        <v>R-RSDCK_LPG_N1</v>
      </c>
      <c r="D10" s="136" t="str">
        <f t="shared" si="2"/>
        <v>Residential Cooking _LPG - New</v>
      </c>
      <c r="E10" s="136" t="s">
        <v>306</v>
      </c>
      <c r="F10" s="146" t="s">
        <v>164</v>
      </c>
      <c r="G10" s="153">
        <v>15</v>
      </c>
      <c r="H10" s="145">
        <v>0.57999999999999996</v>
      </c>
      <c r="I10" s="145">
        <v>0.57999999999999996</v>
      </c>
      <c r="J10" s="145">
        <v>0.57999999999999996</v>
      </c>
      <c r="K10" s="145">
        <v>0.57999999999999996</v>
      </c>
      <c r="L10" s="279">
        <f t="shared" si="3"/>
        <v>0.61250000000000004</v>
      </c>
      <c r="M10" s="279">
        <f t="shared" si="3"/>
        <v>0.61250000000000004</v>
      </c>
      <c r="N10" s="279">
        <f t="shared" si="3"/>
        <v>0.61250000000000004</v>
      </c>
      <c r="O10" s="279">
        <f t="shared" si="3"/>
        <v>0.61250000000000004</v>
      </c>
      <c r="P10" s="153"/>
      <c r="Q10" s="153"/>
      <c r="R10" s="423">
        <f t="shared" si="0"/>
        <v>0.110376</v>
      </c>
      <c r="S10" s="153">
        <v>2020</v>
      </c>
      <c r="U10" s="221">
        <v>3.5</v>
      </c>
      <c r="V10" s="221">
        <f t="shared" si="4"/>
        <v>0.2857142857142857</v>
      </c>
      <c r="W10" s="221">
        <f>L38/V10</f>
        <v>612.5</v>
      </c>
    </row>
    <row r="11" spans="3:27" x14ac:dyDescent="0.2">
      <c r="C11" s="147" t="str">
        <f t="shared" si="1"/>
        <v>R-RSDCW_N1</v>
      </c>
      <c r="D11" s="137" t="str">
        <f t="shared" si="1"/>
        <v>Residential Cloth Washing demand - New</v>
      </c>
      <c r="E11" s="137" t="s">
        <v>162</v>
      </c>
      <c r="F11" s="148" t="s">
        <v>165</v>
      </c>
      <c r="G11" s="154">
        <v>10</v>
      </c>
      <c r="H11" s="147">
        <v>0.7</v>
      </c>
      <c r="I11" s="137">
        <v>0.7</v>
      </c>
      <c r="J11" s="137">
        <v>0.7</v>
      </c>
      <c r="K11" s="148">
        <v>0.7</v>
      </c>
      <c r="L11" s="280">
        <f t="shared" si="3"/>
        <v>0.55220000000000002</v>
      </c>
      <c r="M11" s="280">
        <f t="shared" si="3"/>
        <v>0.55220000000000002</v>
      </c>
      <c r="N11" s="280">
        <f t="shared" si="3"/>
        <v>0.55220000000000002</v>
      </c>
      <c r="O11" s="280">
        <f t="shared" si="3"/>
        <v>0.55220000000000002</v>
      </c>
      <c r="P11" s="154"/>
      <c r="Q11" s="154"/>
      <c r="R11" s="424">
        <f t="shared" si="0"/>
        <v>6.9379200000000002E-2</v>
      </c>
      <c r="S11" s="154">
        <v>2020</v>
      </c>
      <c r="U11" s="221">
        <v>2.2000000000000002</v>
      </c>
      <c r="V11" s="221">
        <f t="shared" si="4"/>
        <v>0.45454545454545453</v>
      </c>
      <c r="W11" s="221">
        <f>L39/V11</f>
        <v>552.20000000000005</v>
      </c>
    </row>
    <row r="12" spans="3:27" x14ac:dyDescent="0.2">
      <c r="C12" s="145" t="str">
        <f t="shared" si="1"/>
        <v>R-RSDCD_N1</v>
      </c>
      <c r="D12" s="136" t="str">
        <f t="shared" si="1"/>
        <v>Residential Cloth Drying demand - New</v>
      </c>
      <c r="E12" s="136" t="s">
        <v>162</v>
      </c>
      <c r="F12" s="146" t="s">
        <v>166</v>
      </c>
      <c r="G12" s="153">
        <v>10</v>
      </c>
      <c r="H12" s="145">
        <v>0.6</v>
      </c>
      <c r="I12" s="136">
        <v>0.6</v>
      </c>
      <c r="J12" s="136">
        <v>0.6</v>
      </c>
      <c r="K12" s="146">
        <v>0.6</v>
      </c>
      <c r="L12" s="279">
        <f t="shared" si="3"/>
        <v>0.53500000000000003</v>
      </c>
      <c r="M12" s="279">
        <f t="shared" si="3"/>
        <v>0.53500000000000003</v>
      </c>
      <c r="N12" s="279">
        <f t="shared" si="3"/>
        <v>0.53500000000000003</v>
      </c>
      <c r="O12" s="279">
        <f t="shared" si="3"/>
        <v>0.53500000000000003</v>
      </c>
      <c r="P12" s="153"/>
      <c r="Q12" s="153"/>
      <c r="R12" s="423">
        <f t="shared" si="0"/>
        <v>7.8840000000000007E-2</v>
      </c>
      <c r="S12" s="153">
        <v>2020</v>
      </c>
      <c r="U12" s="221">
        <v>2.5</v>
      </c>
      <c r="V12" s="221">
        <f t="shared" si="4"/>
        <v>0.4</v>
      </c>
      <c r="W12" s="221">
        <f>L40/V12</f>
        <v>535</v>
      </c>
    </row>
    <row r="13" spans="3:27" x14ac:dyDescent="0.2">
      <c r="C13" s="147" t="str">
        <f t="shared" si="1"/>
        <v>R-RSDDW_N1</v>
      </c>
      <c r="D13" s="137" t="str">
        <f t="shared" si="1"/>
        <v>Residential Dish Washing demand - New</v>
      </c>
      <c r="E13" s="137" t="s">
        <v>162</v>
      </c>
      <c r="F13" s="148" t="s">
        <v>167</v>
      </c>
      <c r="G13" s="154">
        <v>10</v>
      </c>
      <c r="H13" s="147">
        <v>0.7</v>
      </c>
      <c r="I13" s="137">
        <v>0.7</v>
      </c>
      <c r="J13" s="137">
        <v>0.7</v>
      </c>
      <c r="K13" s="148">
        <v>0.7</v>
      </c>
      <c r="L13" s="280">
        <f t="shared" si="3"/>
        <v>0.42019999999999996</v>
      </c>
      <c r="M13" s="280">
        <f t="shared" si="3"/>
        <v>0.42019999999999996</v>
      </c>
      <c r="N13" s="280">
        <f t="shared" si="3"/>
        <v>0.42019999999999996</v>
      </c>
      <c r="O13" s="280">
        <f t="shared" si="3"/>
        <v>0.42019999999999996</v>
      </c>
      <c r="P13" s="154"/>
      <c r="Q13" s="154"/>
      <c r="R13" s="424">
        <f t="shared" si="0"/>
        <v>6.9379200000000002E-2</v>
      </c>
      <c r="S13" s="154">
        <v>2020</v>
      </c>
      <c r="U13" s="221">
        <v>2.2000000000000002</v>
      </c>
      <c r="V13" s="221">
        <f t="shared" si="4"/>
        <v>0.45454545454545453</v>
      </c>
      <c r="W13" s="221">
        <f>L41/V13</f>
        <v>420.2</v>
      </c>
    </row>
    <row r="14" spans="3:27" x14ac:dyDescent="0.2">
      <c r="C14" s="145" t="str">
        <f t="shared" si="1"/>
        <v>R-RSDOE_N1</v>
      </c>
      <c r="D14" s="136" t="str">
        <f t="shared" si="1"/>
        <v>Residential ELC Appliances - New</v>
      </c>
      <c r="E14" s="136" t="s">
        <v>162</v>
      </c>
      <c r="F14" s="146" t="s">
        <v>168</v>
      </c>
      <c r="G14" s="153">
        <v>10</v>
      </c>
      <c r="H14" s="145">
        <v>0.85</v>
      </c>
      <c r="I14" s="136">
        <v>0.85</v>
      </c>
      <c r="J14" s="136">
        <v>0.85</v>
      </c>
      <c r="K14" s="146">
        <v>0.85</v>
      </c>
      <c r="L14" s="282">
        <f>L42/$V7/1000</f>
        <v>0.9</v>
      </c>
      <c r="M14" s="282">
        <f>M42/$V7/1000</f>
        <v>0.9</v>
      </c>
      <c r="N14" s="282">
        <f>N42/$V7/1000</f>
        <v>0.9</v>
      </c>
      <c r="O14" s="282">
        <f>O42/$V7/1000</f>
        <v>0.9</v>
      </c>
      <c r="P14" s="153"/>
      <c r="Q14" s="153"/>
      <c r="R14" s="281">
        <f>31.536*(U7/1000)</f>
        <v>5.6764799999999994E-3</v>
      </c>
      <c r="S14" s="153">
        <v>2020</v>
      </c>
    </row>
    <row r="15" spans="3:27" x14ac:dyDescent="0.2">
      <c r="C15" s="147" t="str">
        <f t="shared" si="1"/>
        <v>R-RSDOA_N1</v>
      </c>
      <c r="D15" s="137" t="str">
        <f t="shared" si="1"/>
        <v>Residential Other Applications - New</v>
      </c>
      <c r="E15" s="137" t="s">
        <v>162</v>
      </c>
      <c r="F15" s="148" t="s">
        <v>169</v>
      </c>
      <c r="G15" s="155">
        <v>10</v>
      </c>
      <c r="H15" s="149">
        <v>0.85</v>
      </c>
      <c r="I15" s="150">
        <v>0.85</v>
      </c>
      <c r="J15" s="150">
        <v>0.85</v>
      </c>
      <c r="K15" s="151">
        <v>0.85</v>
      </c>
      <c r="L15" s="283">
        <f>L43/$V7/1000</f>
        <v>0.9</v>
      </c>
      <c r="M15" s="283">
        <f>M43/$V7/1000</f>
        <v>0.9</v>
      </c>
      <c r="N15" s="283">
        <f>N43/$V7/1000</f>
        <v>0.9</v>
      </c>
      <c r="O15" s="283">
        <f>O43/$V7/1000</f>
        <v>0.9</v>
      </c>
      <c r="P15" s="155"/>
      <c r="Q15" s="155"/>
      <c r="R15" s="421">
        <f>31.536*(U7/1000)</f>
        <v>5.6764799999999994E-3</v>
      </c>
      <c r="S15" s="155">
        <v>2020</v>
      </c>
      <c r="U15" s="134" t="s">
        <v>224</v>
      </c>
      <c r="V15" s="220" t="s">
        <v>222</v>
      </c>
    </row>
    <row r="18" spans="3:17" x14ac:dyDescent="0.2">
      <c r="C18" s="5" t="s">
        <v>23</v>
      </c>
    </row>
    <row r="19" spans="3:17" x14ac:dyDescent="0.2">
      <c r="C19" s="138" t="s">
        <v>30</v>
      </c>
      <c r="D19" s="139" t="s">
        <v>24</v>
      </c>
      <c r="E19" s="139" t="s">
        <v>25</v>
      </c>
      <c r="F19" s="139" t="s">
        <v>31</v>
      </c>
      <c r="G19" s="139" t="s">
        <v>32</v>
      </c>
      <c r="H19" s="139" t="s">
        <v>146</v>
      </c>
      <c r="I19" s="139" t="s">
        <v>33</v>
      </c>
      <c r="J19" s="140" t="s">
        <v>73</v>
      </c>
    </row>
    <row r="20" spans="3:17" x14ac:dyDescent="0.2">
      <c r="C20" s="125" t="s">
        <v>34</v>
      </c>
      <c r="D20" s="126" t="s">
        <v>333</v>
      </c>
      <c r="E20" s="126" t="s">
        <v>170</v>
      </c>
      <c r="F20" s="126" t="s">
        <v>16</v>
      </c>
      <c r="G20" s="126" t="s">
        <v>132</v>
      </c>
      <c r="H20" s="126"/>
      <c r="I20" s="126"/>
      <c r="J20" s="127" t="s">
        <v>606</v>
      </c>
    </row>
    <row r="21" spans="3:17" x14ac:dyDescent="0.2">
      <c r="C21" s="125" t="s">
        <v>34</v>
      </c>
      <c r="D21" s="126" t="str">
        <f>_xlfn.TEXTJOIN("_",TRUE,"R-RSDCK",RIGHT(E8,3),"N1")</f>
        <v>R-RSDCK_ELC_N1</v>
      </c>
      <c r="E21" s="126" t="s">
        <v>576</v>
      </c>
      <c r="F21" s="126" t="s">
        <v>16</v>
      </c>
      <c r="G21" s="126" t="s">
        <v>132</v>
      </c>
      <c r="H21" s="126"/>
      <c r="I21" s="126"/>
      <c r="J21" s="127" t="s">
        <v>606</v>
      </c>
    </row>
    <row r="22" spans="3:17" x14ac:dyDescent="0.2">
      <c r="C22" s="125" t="s">
        <v>34</v>
      </c>
      <c r="D22" s="126" t="str">
        <f t="shared" ref="D22:D23" si="5">_xlfn.TEXTJOIN("_",TRUE,"R-RSDCK",RIGHT(E9,3),"N1")</f>
        <v>R-RSDCK_GAS_N1</v>
      </c>
      <c r="E22" s="126" t="s">
        <v>577</v>
      </c>
      <c r="F22" s="126" t="s">
        <v>16</v>
      </c>
      <c r="G22" s="126" t="s">
        <v>132</v>
      </c>
      <c r="H22" s="126"/>
      <c r="I22" s="126"/>
      <c r="J22" s="127" t="s">
        <v>606</v>
      </c>
    </row>
    <row r="23" spans="3:17" x14ac:dyDescent="0.2">
      <c r="C23" s="125" t="s">
        <v>34</v>
      </c>
      <c r="D23" s="126" t="str">
        <f t="shared" si="5"/>
        <v>R-RSDCK_LPG_N1</v>
      </c>
      <c r="E23" s="126" t="s">
        <v>578</v>
      </c>
      <c r="F23" s="126" t="s">
        <v>16</v>
      </c>
      <c r="G23" s="126" t="s">
        <v>132</v>
      </c>
      <c r="H23" s="126"/>
      <c r="I23" s="126"/>
      <c r="J23" s="127" t="s">
        <v>606</v>
      </c>
    </row>
    <row r="24" spans="3:17" x14ac:dyDescent="0.2">
      <c r="C24" s="125" t="s">
        <v>34</v>
      </c>
      <c r="D24" s="126" t="s">
        <v>335</v>
      </c>
      <c r="E24" s="126" t="s">
        <v>172</v>
      </c>
      <c r="F24" s="126" t="s">
        <v>16</v>
      </c>
      <c r="G24" s="126" t="s">
        <v>132</v>
      </c>
      <c r="H24" s="126"/>
      <c r="I24" s="126"/>
      <c r="J24" s="127" t="s">
        <v>606</v>
      </c>
    </row>
    <row r="25" spans="3:17" x14ac:dyDescent="0.2">
      <c r="C25" s="125" t="s">
        <v>34</v>
      </c>
      <c r="D25" s="126" t="s">
        <v>336</v>
      </c>
      <c r="E25" s="126" t="s">
        <v>173</v>
      </c>
      <c r="F25" s="126" t="s">
        <v>16</v>
      </c>
      <c r="G25" s="126" t="s">
        <v>132</v>
      </c>
      <c r="H25" s="126"/>
      <c r="I25" s="126"/>
      <c r="J25" s="127" t="s">
        <v>606</v>
      </c>
    </row>
    <row r="26" spans="3:17" x14ac:dyDescent="0.2">
      <c r="C26" s="125" t="s">
        <v>34</v>
      </c>
      <c r="D26" s="126" t="s">
        <v>337</v>
      </c>
      <c r="E26" s="126" t="s">
        <v>174</v>
      </c>
      <c r="F26" s="126" t="s">
        <v>16</v>
      </c>
      <c r="G26" s="126" t="s">
        <v>132</v>
      </c>
      <c r="H26" s="126"/>
      <c r="I26" s="126"/>
      <c r="J26" s="127" t="s">
        <v>606</v>
      </c>
      <c r="Q26" s="134"/>
    </row>
    <row r="27" spans="3:17" x14ac:dyDescent="0.2">
      <c r="C27" s="125" t="s">
        <v>34</v>
      </c>
      <c r="D27" s="126" t="s">
        <v>338</v>
      </c>
      <c r="E27" s="126" t="s">
        <v>175</v>
      </c>
      <c r="F27" s="126" t="s">
        <v>16</v>
      </c>
      <c r="G27" s="126" t="s">
        <v>132</v>
      </c>
      <c r="H27" s="126"/>
      <c r="I27" s="126"/>
      <c r="J27" s="127" t="s">
        <v>606</v>
      </c>
    </row>
    <row r="28" spans="3:17" x14ac:dyDescent="0.2">
      <c r="C28" s="125" t="s">
        <v>34</v>
      </c>
      <c r="D28" s="128" t="s">
        <v>339</v>
      </c>
      <c r="E28" s="128" t="s">
        <v>176</v>
      </c>
      <c r="F28" s="128" t="s">
        <v>16</v>
      </c>
      <c r="G28" s="126" t="s">
        <v>132</v>
      </c>
      <c r="H28" s="128"/>
      <c r="I28" s="128"/>
      <c r="J28" s="129" t="s">
        <v>606</v>
      </c>
    </row>
    <row r="32" spans="3:17" ht="30" x14ac:dyDescent="0.2">
      <c r="H32" s="5" t="s">
        <v>24</v>
      </c>
      <c r="I32" s="5" t="s">
        <v>35</v>
      </c>
      <c r="J32" s="5" t="s">
        <v>26</v>
      </c>
      <c r="K32" s="5" t="s">
        <v>27</v>
      </c>
      <c r="L32" s="20" t="s">
        <v>260</v>
      </c>
      <c r="M32" s="20" t="s">
        <v>94</v>
      </c>
      <c r="N32" s="20" t="s">
        <v>95</v>
      </c>
      <c r="O32" s="20" t="s">
        <v>96</v>
      </c>
    </row>
    <row r="33" spans="8:15" x14ac:dyDescent="0.2">
      <c r="H33" s="5" t="s">
        <v>85</v>
      </c>
      <c r="I33" s="5" t="s">
        <v>36</v>
      </c>
      <c r="J33" s="5" t="s">
        <v>86</v>
      </c>
      <c r="K33" s="5" t="s">
        <v>87</v>
      </c>
      <c r="L33" s="540" t="s">
        <v>92</v>
      </c>
      <c r="M33" s="541"/>
      <c r="N33" s="541"/>
      <c r="O33" s="542"/>
    </row>
    <row r="34" spans="8:15" x14ac:dyDescent="0.2">
      <c r="H34" s="5" t="s">
        <v>145</v>
      </c>
      <c r="L34" s="534" t="s">
        <v>97</v>
      </c>
      <c r="M34" s="536"/>
      <c r="N34" s="536"/>
      <c r="O34" s="535"/>
    </row>
    <row r="35" spans="8:15" ht="14.25" customHeight="1" x14ac:dyDescent="0.2">
      <c r="H35" s="5" t="s">
        <v>333</v>
      </c>
      <c r="I35" s="5" t="s">
        <v>170</v>
      </c>
      <c r="J35" s="5" t="s">
        <v>162</v>
      </c>
      <c r="K35" s="5" t="s">
        <v>163</v>
      </c>
      <c r="L35" s="142">
        <v>2400</v>
      </c>
      <c r="M35" s="142">
        <v>2400</v>
      </c>
      <c r="N35" s="142">
        <v>2400</v>
      </c>
      <c r="O35" s="142">
        <v>2400</v>
      </c>
    </row>
    <row r="36" spans="8:15" x14ac:dyDescent="0.2">
      <c r="H36" s="5" t="s">
        <v>334</v>
      </c>
      <c r="I36" s="5" t="s">
        <v>171</v>
      </c>
      <c r="J36" s="5" t="s">
        <v>162</v>
      </c>
      <c r="K36" s="5" t="s">
        <v>164</v>
      </c>
      <c r="L36" s="145">
        <v>175</v>
      </c>
      <c r="M36" s="145">
        <v>175</v>
      </c>
      <c r="N36" s="145">
        <v>175</v>
      </c>
      <c r="O36" s="145">
        <v>175</v>
      </c>
    </row>
    <row r="37" spans="8:15" x14ac:dyDescent="0.2">
      <c r="J37" s="5" t="s">
        <v>310</v>
      </c>
      <c r="L37" s="147">
        <v>175</v>
      </c>
      <c r="M37" s="147">
        <v>175</v>
      </c>
      <c r="N37" s="147">
        <v>175</v>
      </c>
      <c r="O37" s="147">
        <v>175</v>
      </c>
    </row>
    <row r="38" spans="8:15" x14ac:dyDescent="0.2">
      <c r="J38" s="5" t="s">
        <v>306</v>
      </c>
      <c r="L38" s="145">
        <v>175</v>
      </c>
      <c r="M38" s="145">
        <v>175</v>
      </c>
      <c r="N38" s="145">
        <v>175</v>
      </c>
      <c r="O38" s="145">
        <v>175</v>
      </c>
    </row>
    <row r="39" spans="8:15" x14ac:dyDescent="0.2">
      <c r="H39" s="5" t="s">
        <v>335</v>
      </c>
      <c r="I39" s="5" t="s">
        <v>172</v>
      </c>
      <c r="J39" s="5" t="s">
        <v>162</v>
      </c>
      <c r="K39" s="5" t="s">
        <v>165</v>
      </c>
      <c r="L39" s="147">
        <v>251</v>
      </c>
      <c r="M39" s="147">
        <v>251</v>
      </c>
      <c r="N39" s="147">
        <v>251</v>
      </c>
      <c r="O39" s="147">
        <v>251</v>
      </c>
    </row>
    <row r="40" spans="8:15" x14ac:dyDescent="0.2">
      <c r="H40" s="5" t="s">
        <v>336</v>
      </c>
      <c r="I40" s="5" t="s">
        <v>173</v>
      </c>
      <c r="J40" s="5" t="s">
        <v>162</v>
      </c>
      <c r="K40" s="5" t="s">
        <v>166</v>
      </c>
      <c r="L40" s="145">
        <v>214</v>
      </c>
      <c r="M40" s="145">
        <v>214</v>
      </c>
      <c r="N40" s="145">
        <v>214</v>
      </c>
      <c r="O40" s="145">
        <v>214</v>
      </c>
    </row>
    <row r="41" spans="8:15" x14ac:dyDescent="0.2">
      <c r="H41" s="5" t="s">
        <v>337</v>
      </c>
      <c r="I41" s="5" t="s">
        <v>174</v>
      </c>
      <c r="J41" s="5" t="s">
        <v>162</v>
      </c>
      <c r="K41" s="5" t="s">
        <v>167</v>
      </c>
      <c r="L41" s="147">
        <v>191</v>
      </c>
      <c r="M41" s="147">
        <v>191</v>
      </c>
      <c r="N41" s="147">
        <v>191</v>
      </c>
      <c r="O41" s="147">
        <v>191</v>
      </c>
    </row>
    <row r="42" spans="8:15" x14ac:dyDescent="0.2">
      <c r="H42" s="5" t="s">
        <v>338</v>
      </c>
      <c r="I42" s="5" t="s">
        <v>175</v>
      </c>
      <c r="J42" s="5" t="s">
        <v>162</v>
      </c>
      <c r="K42" s="5" t="s">
        <v>168</v>
      </c>
      <c r="L42" s="145">
        <v>5000</v>
      </c>
      <c r="M42" s="145">
        <v>5000</v>
      </c>
      <c r="N42" s="145">
        <v>5000</v>
      </c>
      <c r="O42" s="145">
        <v>5000</v>
      </c>
    </row>
    <row r="43" spans="8:15" x14ac:dyDescent="0.2">
      <c r="H43" s="5" t="s">
        <v>339</v>
      </c>
      <c r="I43" s="5" t="s">
        <v>176</v>
      </c>
      <c r="J43" s="5" t="s">
        <v>162</v>
      </c>
      <c r="K43" s="5" t="s">
        <v>169</v>
      </c>
      <c r="L43" s="149">
        <v>5000</v>
      </c>
      <c r="M43" s="149">
        <v>5000</v>
      </c>
      <c r="N43" s="149">
        <v>5000</v>
      </c>
      <c r="O43" s="149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topLeftCell="I1" workbookViewId="0">
      <selection activeCell="AH9" sqref="AH9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7" width="12.42578125" style="5" customWidth="1"/>
    <col min="8" max="27" width="10.7109375" style="5" customWidth="1"/>
    <col min="28" max="28" width="9.85546875" style="5" customWidth="1"/>
    <col min="29" max="29" width="27.85546875" style="5" customWidth="1"/>
    <col min="30" max="33" width="9.85546875" style="5" customWidth="1"/>
    <col min="34" max="34" width="10.7109375" style="5" customWidth="1"/>
    <col min="35" max="35" width="11.85546875" style="5" customWidth="1"/>
    <col min="36" max="36" width="10.7109375" style="5" customWidth="1"/>
    <col min="37" max="37" width="21.7109375" style="5" bestFit="1" customWidth="1"/>
    <col min="38" max="38" width="9.140625" style="5"/>
    <col min="39" max="39" width="21.7109375" style="5" bestFit="1" customWidth="1"/>
    <col min="40" max="16384" width="9.140625" style="5"/>
  </cols>
  <sheetData>
    <row r="2" spans="3:37" x14ac:dyDescent="0.2">
      <c r="F2" s="8" t="s">
        <v>22</v>
      </c>
    </row>
    <row r="3" spans="3:37" ht="30.75" thickBot="1" x14ac:dyDescent="0.25">
      <c r="C3" s="17" t="s">
        <v>24</v>
      </c>
      <c r="D3" s="18" t="s">
        <v>35</v>
      </c>
      <c r="E3" s="17" t="s">
        <v>26</v>
      </c>
      <c r="F3" s="17" t="s">
        <v>27</v>
      </c>
      <c r="G3" s="21" t="s">
        <v>29</v>
      </c>
      <c r="H3" s="20" t="s">
        <v>28</v>
      </c>
      <c r="I3" s="20" t="s">
        <v>69</v>
      </c>
      <c r="J3" s="20" t="s">
        <v>605</v>
      </c>
      <c r="K3" s="20" t="s">
        <v>260</v>
      </c>
      <c r="L3" s="20" t="s">
        <v>94</v>
      </c>
      <c r="M3" s="20" t="s">
        <v>96</v>
      </c>
      <c r="N3" s="20" t="s">
        <v>67</v>
      </c>
      <c r="O3" s="20" t="s">
        <v>316</v>
      </c>
      <c r="P3" s="20" t="s">
        <v>83</v>
      </c>
      <c r="Q3" s="20" t="s">
        <v>84</v>
      </c>
      <c r="AA3" s="220" t="s">
        <v>592</v>
      </c>
    </row>
    <row r="4" spans="3:37" ht="38.25" x14ac:dyDescent="0.2">
      <c r="C4" s="19" t="s">
        <v>85</v>
      </c>
      <c r="D4" s="19" t="s">
        <v>36</v>
      </c>
      <c r="E4" s="19" t="s">
        <v>86</v>
      </c>
      <c r="F4" s="19" t="s">
        <v>87</v>
      </c>
      <c r="G4" s="130" t="s">
        <v>91</v>
      </c>
      <c r="H4" s="537" t="s">
        <v>71</v>
      </c>
      <c r="I4" s="538"/>
      <c r="J4" s="539"/>
      <c r="K4" s="540" t="s">
        <v>92</v>
      </c>
      <c r="L4" s="541"/>
      <c r="M4" s="542"/>
      <c r="N4" s="63"/>
      <c r="O4" s="63" t="s">
        <v>93</v>
      </c>
      <c r="P4" s="63" t="s">
        <v>72</v>
      </c>
      <c r="Q4" s="63"/>
      <c r="X4" s="63" t="s">
        <v>225</v>
      </c>
      <c r="AA4" s="220" t="s">
        <v>593</v>
      </c>
    </row>
    <row r="5" spans="3:37" ht="13.5" thickBot="1" x14ac:dyDescent="0.25">
      <c r="C5" s="40" t="s">
        <v>145</v>
      </c>
      <c r="D5" s="41"/>
      <c r="E5" s="41"/>
      <c r="F5" s="42"/>
      <c r="G5" s="397" t="s">
        <v>74</v>
      </c>
      <c r="H5" s="546" t="s">
        <v>37</v>
      </c>
      <c r="I5" s="547"/>
      <c r="J5" s="548"/>
      <c r="K5" s="546" t="s">
        <v>341</v>
      </c>
      <c r="L5" s="547"/>
      <c r="M5" s="548"/>
      <c r="N5" s="398" t="s">
        <v>98</v>
      </c>
      <c r="O5" s="398" t="s">
        <v>37</v>
      </c>
      <c r="P5" s="399" t="s">
        <v>340</v>
      </c>
      <c r="Q5" s="398" t="s">
        <v>100</v>
      </c>
      <c r="X5" s="64" t="s">
        <v>226</v>
      </c>
      <c r="AA5" s="220"/>
      <c r="AB5" s="543" t="s">
        <v>594</v>
      </c>
      <c r="AC5" s="543"/>
      <c r="AD5" s="400"/>
      <c r="AE5" s="544" t="s">
        <v>71</v>
      </c>
      <c r="AF5" s="544"/>
      <c r="AG5" s="544" t="s">
        <v>595</v>
      </c>
      <c r="AH5" s="544"/>
      <c r="AI5" s="545" t="s">
        <v>596</v>
      </c>
      <c r="AJ5" s="545"/>
    </row>
    <row r="6" spans="3:37" x14ac:dyDescent="0.2">
      <c r="C6" s="444" t="str">
        <f t="shared" ref="C6:D11" si="0">D16</f>
        <v>R-LT_Apt_N1</v>
      </c>
      <c r="D6" s="445" t="str">
        <f t="shared" si="0"/>
        <v>Residential Lighting Apartment New</v>
      </c>
      <c r="E6" s="446" t="s">
        <v>162</v>
      </c>
      <c r="F6" s="447" t="s">
        <v>142</v>
      </c>
      <c r="G6" s="402">
        <v>10</v>
      </c>
      <c r="H6" s="403">
        <v>0.4</v>
      </c>
      <c r="I6" s="404">
        <f>H6*(AC9/AB9)</f>
        <v>0.54333333333333333</v>
      </c>
      <c r="J6" s="405">
        <f>H6*(AD9/AC9)</f>
        <v>0.73128834355828232</v>
      </c>
      <c r="K6" s="403">
        <f>L29/1000*$X6</f>
        <v>1.1375E-2</v>
      </c>
      <c r="L6" s="404">
        <f t="shared" ref="L6:M6" si="1">M29/1000*$X6</f>
        <v>1.1375E-2</v>
      </c>
      <c r="M6" s="405">
        <f t="shared" si="1"/>
        <v>1.1375E-2</v>
      </c>
      <c r="N6" s="425"/>
      <c r="O6" s="426"/>
      <c r="P6" s="439">
        <f>31.536*(X6/1000)</f>
        <v>2.0498399999999999E-4</v>
      </c>
      <c r="Q6" s="427">
        <v>2020</v>
      </c>
      <c r="S6" s="134" t="s">
        <v>230</v>
      </c>
      <c r="U6" s="223" t="s">
        <v>233</v>
      </c>
      <c r="X6" s="221">
        <v>6.4999999999999997E-3</v>
      </c>
      <c r="AB6" s="5">
        <v>2018</v>
      </c>
      <c r="AC6" s="5">
        <v>2030</v>
      </c>
      <c r="AD6" s="5">
        <v>2050</v>
      </c>
      <c r="AE6" s="5">
        <v>2018</v>
      </c>
      <c r="AF6" s="5">
        <v>2030</v>
      </c>
      <c r="AG6" s="5">
        <v>2018</v>
      </c>
      <c r="AH6" s="5">
        <v>2030</v>
      </c>
      <c r="AI6" s="5">
        <v>2018</v>
      </c>
      <c r="AJ6" s="5">
        <v>2030</v>
      </c>
    </row>
    <row r="7" spans="3:37" x14ac:dyDescent="0.2">
      <c r="C7" s="448" t="str">
        <f t="shared" si="0"/>
        <v>R-PF_Apt_N1</v>
      </c>
      <c r="D7" s="145" t="str">
        <f t="shared" si="0"/>
        <v>Residential Pumps &amp; Fans Apartment New</v>
      </c>
      <c r="E7" s="456" t="s">
        <v>162</v>
      </c>
      <c r="F7" s="457" t="s">
        <v>143</v>
      </c>
      <c r="G7" s="406">
        <v>15</v>
      </c>
      <c r="H7" s="407">
        <v>0.6</v>
      </c>
      <c r="I7" s="279">
        <v>0.6</v>
      </c>
      <c r="J7" s="408">
        <v>0.6</v>
      </c>
      <c r="K7" s="407">
        <f t="shared" ref="K7:M7" si="2">L30/1000*$X7</f>
        <v>0.15000000000000002</v>
      </c>
      <c r="L7" s="279">
        <f t="shared" si="2"/>
        <v>0.15000000000000002</v>
      </c>
      <c r="M7" s="408">
        <f t="shared" si="2"/>
        <v>0.15000000000000002</v>
      </c>
      <c r="N7" s="434"/>
      <c r="O7" s="435"/>
      <c r="P7" s="440">
        <f t="shared" ref="P7:P10" si="3">31.536*(X7/1000)</f>
        <v>1.5768000000000002E-3</v>
      </c>
      <c r="Q7" s="436">
        <v>2020</v>
      </c>
      <c r="S7" s="220" t="s">
        <v>231</v>
      </c>
      <c r="X7" s="221">
        <v>0.05</v>
      </c>
      <c r="AA7" s="5" t="s">
        <v>597</v>
      </c>
      <c r="AB7" s="5">
        <v>17</v>
      </c>
      <c r="AC7" s="5">
        <v>17</v>
      </c>
      <c r="AE7" s="409">
        <f>AB7/683</f>
        <v>2.4890190336749635E-2</v>
      </c>
      <c r="AF7" s="409">
        <f>AC7/683</f>
        <v>2.4890190336749635E-2</v>
      </c>
      <c r="AG7" s="410">
        <v>0.03</v>
      </c>
      <c r="AI7" s="411">
        <f t="shared" ref="AI7:AJ10" si="4">AE7*AG7</f>
        <v>7.4670571010248903E-4</v>
      </c>
      <c r="AJ7" s="411">
        <f>AF7*AH7</f>
        <v>0</v>
      </c>
    </row>
    <row r="8" spans="3:37" x14ac:dyDescent="0.2">
      <c r="C8" s="449" t="str">
        <f t="shared" si="0"/>
        <v>R-LT_Att_N1</v>
      </c>
      <c r="D8" s="142" t="str">
        <f t="shared" si="0"/>
        <v>Residential Lighting Attached New</v>
      </c>
      <c r="E8" s="450" t="s">
        <v>162</v>
      </c>
      <c r="F8" s="455" t="s">
        <v>152</v>
      </c>
      <c r="G8" s="412">
        <v>10</v>
      </c>
      <c r="H8" s="413">
        <v>0.4</v>
      </c>
      <c r="I8" s="278">
        <f>H8*(AC9/AB9)</f>
        <v>0.54333333333333333</v>
      </c>
      <c r="J8" s="414">
        <f>H6*(AD9/AC9)</f>
        <v>0.73128834355828232</v>
      </c>
      <c r="K8" s="413">
        <f t="shared" ref="K8:M8" si="5">L31/1000*$X8</f>
        <v>1.1375E-2</v>
      </c>
      <c r="L8" s="278">
        <f t="shared" si="5"/>
        <v>1.1375E-2</v>
      </c>
      <c r="M8" s="414">
        <f t="shared" si="5"/>
        <v>1.1375E-2</v>
      </c>
      <c r="N8" s="437"/>
      <c r="O8" s="152"/>
      <c r="P8" s="441">
        <f t="shared" si="3"/>
        <v>2.0498399999999999E-4</v>
      </c>
      <c r="Q8" s="438">
        <v>2020</v>
      </c>
      <c r="S8" s="134" t="s">
        <v>232</v>
      </c>
      <c r="X8" s="221">
        <v>6.4999999999999997E-3</v>
      </c>
      <c r="AA8" s="5" t="s">
        <v>598</v>
      </c>
      <c r="AB8" s="5">
        <v>24</v>
      </c>
      <c r="AC8" s="5">
        <v>24</v>
      </c>
      <c r="AE8" s="409">
        <f t="shared" ref="AE8:AF10" si="6">AB8/683</f>
        <v>3.5139092240117131E-2</v>
      </c>
      <c r="AF8" s="409">
        <f t="shared" si="6"/>
        <v>3.5139092240117131E-2</v>
      </c>
      <c r="AG8" s="410">
        <v>0.05</v>
      </c>
      <c r="AH8" s="410">
        <v>0.01</v>
      </c>
      <c r="AI8" s="411">
        <f t="shared" si="4"/>
        <v>1.7569546120058566E-3</v>
      </c>
      <c r="AJ8" s="411">
        <f t="shared" si="4"/>
        <v>3.5139092240117132E-4</v>
      </c>
    </row>
    <row r="9" spans="3:37" x14ac:dyDescent="0.2">
      <c r="C9" s="448" t="str">
        <f t="shared" si="0"/>
        <v>R-PF_Att_N1</v>
      </c>
      <c r="D9" s="145" t="str">
        <f t="shared" si="0"/>
        <v>Residential Pumps &amp; Fans Attached New</v>
      </c>
      <c r="E9" s="456" t="s">
        <v>162</v>
      </c>
      <c r="F9" s="457" t="s">
        <v>153</v>
      </c>
      <c r="G9" s="406">
        <v>15</v>
      </c>
      <c r="H9" s="407">
        <v>0.6</v>
      </c>
      <c r="I9" s="279">
        <v>0.6</v>
      </c>
      <c r="J9" s="408">
        <v>0.6</v>
      </c>
      <c r="K9" s="407">
        <f t="shared" ref="K9:M9" si="7">L32/1000*$X9</f>
        <v>0.15000000000000002</v>
      </c>
      <c r="L9" s="279">
        <f t="shared" si="7"/>
        <v>0.15000000000000002</v>
      </c>
      <c r="M9" s="408">
        <f t="shared" si="7"/>
        <v>0.15000000000000002</v>
      </c>
      <c r="N9" s="434"/>
      <c r="O9" s="435"/>
      <c r="P9" s="440">
        <f t="shared" si="3"/>
        <v>1.5768000000000002E-3</v>
      </c>
      <c r="Q9" s="436">
        <v>2020</v>
      </c>
      <c r="X9" s="221">
        <v>0.05</v>
      </c>
      <c r="AA9" s="5" t="s">
        <v>599</v>
      </c>
      <c r="AB9" s="5">
        <v>120</v>
      </c>
      <c r="AC9" s="5">
        <v>163</v>
      </c>
      <c r="AD9" s="5">
        <v>298</v>
      </c>
      <c r="AE9" s="409">
        <f t="shared" si="6"/>
        <v>0.17569546120058566</v>
      </c>
      <c r="AF9" s="409">
        <f t="shared" si="6"/>
        <v>0.23865300146412885</v>
      </c>
      <c r="AG9" s="410">
        <v>0.46</v>
      </c>
      <c r="AH9" s="410">
        <v>0.87</v>
      </c>
      <c r="AI9" s="411">
        <f>AE9*AG9</f>
        <v>8.0819912152269399E-2</v>
      </c>
      <c r="AJ9" s="411">
        <f t="shared" si="4"/>
        <v>0.2076281112737921</v>
      </c>
    </row>
    <row r="10" spans="3:37" x14ac:dyDescent="0.2">
      <c r="C10" s="449" t="str">
        <f t="shared" si="0"/>
        <v>R-LT_Det_N1</v>
      </c>
      <c r="D10" s="142" t="str">
        <f t="shared" si="0"/>
        <v>Residential Lighting Detached New</v>
      </c>
      <c r="E10" s="450" t="s">
        <v>162</v>
      </c>
      <c r="F10" s="455" t="s">
        <v>160</v>
      </c>
      <c r="G10" s="412">
        <v>10</v>
      </c>
      <c r="H10" s="413">
        <v>0.4</v>
      </c>
      <c r="I10" s="278">
        <f>H10*(AC9/AB9)</f>
        <v>0.54333333333333333</v>
      </c>
      <c r="J10" s="414">
        <f>H10*(AD9/AC9)</f>
        <v>0.73128834355828232</v>
      </c>
      <c r="K10" s="413">
        <f t="shared" ref="K10:M10" si="8">L33/1000*$X10</f>
        <v>1.1375E-2</v>
      </c>
      <c r="L10" s="278">
        <f t="shared" si="8"/>
        <v>1.1375E-2</v>
      </c>
      <c r="M10" s="414">
        <f t="shared" si="8"/>
        <v>1.1375E-2</v>
      </c>
      <c r="N10" s="431"/>
      <c r="O10" s="432"/>
      <c r="P10" s="442">
        <f t="shared" si="3"/>
        <v>2.0498399999999999E-4</v>
      </c>
      <c r="Q10" s="433">
        <v>2020</v>
      </c>
      <c r="X10" s="221">
        <v>6.4999999999999997E-3</v>
      </c>
      <c r="AA10" s="5" t="s">
        <v>600</v>
      </c>
      <c r="AB10" s="5">
        <v>100</v>
      </c>
      <c r="AC10" s="5">
        <v>100</v>
      </c>
      <c r="AE10" s="409">
        <f t="shared" si="6"/>
        <v>0.14641288433382138</v>
      </c>
      <c r="AF10" s="409">
        <f t="shared" si="6"/>
        <v>0.14641288433382138</v>
      </c>
      <c r="AG10" s="410">
        <v>0.46</v>
      </c>
      <c r="AH10" s="410">
        <v>0.12</v>
      </c>
      <c r="AI10" s="411">
        <f>AE10*AG10</f>
        <v>6.7349926793557835E-2</v>
      </c>
      <c r="AJ10" s="411">
        <f t="shared" si="4"/>
        <v>1.7569546120058566E-2</v>
      </c>
    </row>
    <row r="11" spans="3:37" ht="13.5" thickBot="1" x14ac:dyDescent="0.25">
      <c r="C11" s="451" t="str">
        <f t="shared" si="0"/>
        <v>R-PF_Det_N1</v>
      </c>
      <c r="D11" s="452" t="str">
        <f t="shared" si="0"/>
        <v>Residential Pumps &amp; Fans Detached New</v>
      </c>
      <c r="E11" s="453" t="s">
        <v>162</v>
      </c>
      <c r="F11" s="454" t="s">
        <v>161</v>
      </c>
      <c r="G11" s="415">
        <v>15</v>
      </c>
      <c r="H11" s="416">
        <v>0.6</v>
      </c>
      <c r="I11" s="417">
        <v>0.6</v>
      </c>
      <c r="J11" s="418">
        <v>0.6</v>
      </c>
      <c r="K11" s="416">
        <f t="shared" ref="K11:M11" si="9">L34/1000*$X11</f>
        <v>0.15000000000000002</v>
      </c>
      <c r="L11" s="417">
        <f t="shared" si="9"/>
        <v>0.15000000000000002</v>
      </c>
      <c r="M11" s="418">
        <f t="shared" si="9"/>
        <v>0.15000000000000002</v>
      </c>
      <c r="N11" s="428"/>
      <c r="O11" s="429"/>
      <c r="P11" s="443">
        <f>31.536*(X11/1000)</f>
        <v>1.5768000000000002E-3</v>
      </c>
      <c r="Q11" s="430">
        <v>2020</v>
      </c>
      <c r="X11" s="221">
        <v>0.05</v>
      </c>
      <c r="AA11" s="5" t="s">
        <v>601</v>
      </c>
      <c r="AB11" s="5">
        <v>275</v>
      </c>
      <c r="AE11" s="409">
        <f>AB11/683</f>
        <v>0.40263543191800877</v>
      </c>
      <c r="AI11" s="411"/>
    </row>
    <row r="12" spans="3:37" x14ac:dyDescent="0.2">
      <c r="AA12" s="5" t="s">
        <v>602</v>
      </c>
      <c r="AB12" s="5">
        <v>280</v>
      </c>
      <c r="AE12" s="409">
        <f>AB12/683</f>
        <v>0.40995607613469986</v>
      </c>
      <c r="AI12" s="411"/>
    </row>
    <row r="13" spans="3:37" x14ac:dyDescent="0.2">
      <c r="AA13" s="5" t="s">
        <v>596</v>
      </c>
      <c r="AI13" s="419">
        <f>SUM(AI7:AI10)</f>
        <v>0.15067349926793558</v>
      </c>
      <c r="AJ13" s="419">
        <f>SUM(AJ7:AJ10)</f>
        <v>0.22554904831625183</v>
      </c>
      <c r="AK13" s="1">
        <f>AJ13/AI13</f>
        <v>1.4969390729763872</v>
      </c>
    </row>
    <row r="14" spans="3:37" x14ac:dyDescent="0.2">
      <c r="C14" s="5" t="s">
        <v>23</v>
      </c>
    </row>
    <row r="15" spans="3:37" x14ac:dyDescent="0.2">
      <c r="C15" s="138" t="s">
        <v>30</v>
      </c>
      <c r="D15" s="139" t="s">
        <v>24</v>
      </c>
      <c r="E15" s="139" t="s">
        <v>25</v>
      </c>
      <c r="F15" s="139" t="s">
        <v>31</v>
      </c>
      <c r="G15" s="139" t="s">
        <v>32</v>
      </c>
      <c r="H15" s="139" t="s">
        <v>146</v>
      </c>
      <c r="I15" s="140" t="s">
        <v>33</v>
      </c>
      <c r="J15" s="140" t="s">
        <v>73</v>
      </c>
    </row>
    <row r="16" spans="3:37" x14ac:dyDescent="0.2">
      <c r="C16" s="125" t="s">
        <v>34</v>
      </c>
      <c r="D16" s="134" t="s">
        <v>177</v>
      </c>
      <c r="E16" s="5" t="s">
        <v>178</v>
      </c>
      <c r="F16" s="5" t="s">
        <v>16</v>
      </c>
      <c r="G16" s="5" t="s">
        <v>132</v>
      </c>
      <c r="H16" s="126"/>
      <c r="I16" s="127"/>
      <c r="J16" s="127" t="s">
        <v>606</v>
      </c>
    </row>
    <row r="17" spans="3:21" x14ac:dyDescent="0.2">
      <c r="C17" s="125" t="s">
        <v>34</v>
      </c>
      <c r="D17" s="5" t="s">
        <v>179</v>
      </c>
      <c r="E17" s="5" t="s">
        <v>180</v>
      </c>
      <c r="F17" s="5" t="s">
        <v>16</v>
      </c>
      <c r="G17" s="126" t="s">
        <v>132</v>
      </c>
      <c r="H17" s="126"/>
      <c r="I17" s="127"/>
      <c r="J17" s="127" t="s">
        <v>606</v>
      </c>
    </row>
    <row r="18" spans="3:21" x14ac:dyDescent="0.2">
      <c r="C18" s="125" t="s">
        <v>34</v>
      </c>
      <c r="D18" s="5" t="s">
        <v>181</v>
      </c>
      <c r="E18" s="5" t="s">
        <v>182</v>
      </c>
      <c r="F18" s="5" t="s">
        <v>16</v>
      </c>
      <c r="G18" s="5" t="s">
        <v>132</v>
      </c>
      <c r="H18" s="128"/>
      <c r="I18" s="129"/>
      <c r="J18" s="127" t="s">
        <v>606</v>
      </c>
    </row>
    <row r="19" spans="3:21" x14ac:dyDescent="0.2">
      <c r="C19" s="125" t="s">
        <v>34</v>
      </c>
      <c r="D19" s="5" t="s">
        <v>183</v>
      </c>
      <c r="E19" s="5" t="s">
        <v>184</v>
      </c>
      <c r="F19" s="5" t="s">
        <v>16</v>
      </c>
      <c r="G19" s="126" t="s">
        <v>132</v>
      </c>
      <c r="H19" s="126"/>
      <c r="I19" s="127"/>
      <c r="J19" s="127" t="s">
        <v>606</v>
      </c>
      <c r="T19" s="222"/>
      <c r="U19" s="222"/>
    </row>
    <row r="20" spans="3:21" x14ac:dyDescent="0.2">
      <c r="C20" s="125" t="s">
        <v>34</v>
      </c>
      <c r="D20" s="5" t="s">
        <v>185</v>
      </c>
      <c r="E20" s="5" t="s">
        <v>186</v>
      </c>
      <c r="F20" s="5" t="s">
        <v>16</v>
      </c>
      <c r="G20" s="5" t="s">
        <v>132</v>
      </c>
      <c r="H20" s="126"/>
      <c r="I20" s="127"/>
      <c r="J20" s="127" t="s">
        <v>606</v>
      </c>
      <c r="T20" s="222"/>
      <c r="U20" s="222"/>
    </row>
    <row r="21" spans="3:21" x14ac:dyDescent="0.2">
      <c r="C21" s="125" t="s">
        <v>34</v>
      </c>
      <c r="D21" s="5" t="s">
        <v>187</v>
      </c>
      <c r="E21" s="5" t="s">
        <v>188</v>
      </c>
      <c r="F21" s="5" t="s">
        <v>16</v>
      </c>
      <c r="G21" s="126" t="s">
        <v>132</v>
      </c>
      <c r="H21" s="128"/>
      <c r="I21" s="129"/>
      <c r="J21" s="127" t="s">
        <v>606</v>
      </c>
      <c r="T21" s="222"/>
      <c r="U21" s="222"/>
    </row>
    <row r="22" spans="3:21" x14ac:dyDescent="0.2">
      <c r="T22" s="222"/>
      <c r="U22" s="222"/>
    </row>
    <row r="23" spans="3:21" x14ac:dyDescent="0.2">
      <c r="T23" s="222"/>
      <c r="U23" s="222"/>
    </row>
    <row r="24" spans="3:21" x14ac:dyDescent="0.2">
      <c r="T24" s="222"/>
      <c r="U24" s="222"/>
    </row>
    <row r="25" spans="3:21" x14ac:dyDescent="0.2">
      <c r="T25" s="222"/>
      <c r="U25" s="222"/>
    </row>
    <row r="26" spans="3:21" ht="30" x14ac:dyDescent="0.2">
      <c r="J26" s="5" t="s">
        <v>24</v>
      </c>
      <c r="K26" s="5" t="s">
        <v>35</v>
      </c>
      <c r="L26" s="20" t="s">
        <v>260</v>
      </c>
      <c r="M26" s="20" t="s">
        <v>94</v>
      </c>
      <c r="N26" s="20" t="s">
        <v>95</v>
      </c>
      <c r="O26" s="20" t="s">
        <v>96</v>
      </c>
      <c r="T26" s="222"/>
      <c r="U26" s="222"/>
    </row>
    <row r="27" spans="3:21" x14ac:dyDescent="0.2">
      <c r="J27" s="5" t="s">
        <v>85</v>
      </c>
      <c r="K27" s="5" t="s">
        <v>36</v>
      </c>
      <c r="L27" s="540" t="s">
        <v>92</v>
      </c>
      <c r="M27" s="541"/>
      <c r="N27" s="541"/>
      <c r="O27" s="542"/>
      <c r="T27" s="222"/>
      <c r="U27" s="222"/>
    </row>
    <row r="28" spans="3:21" x14ac:dyDescent="0.2">
      <c r="J28" s="5" t="s">
        <v>145</v>
      </c>
      <c r="L28" s="531" t="s">
        <v>97</v>
      </c>
      <c r="M28" s="532"/>
      <c r="N28" s="532"/>
      <c r="O28" s="533"/>
      <c r="T28" s="222"/>
      <c r="U28" s="222"/>
    </row>
    <row r="29" spans="3:21" x14ac:dyDescent="0.2">
      <c r="J29" s="5" t="s">
        <v>177</v>
      </c>
      <c r="K29" s="5" t="s">
        <v>178</v>
      </c>
      <c r="L29" s="142">
        <v>1750</v>
      </c>
      <c r="M29" s="142">
        <v>1750</v>
      </c>
      <c r="N29" s="142">
        <v>1750</v>
      </c>
      <c r="O29" s="142">
        <v>1750</v>
      </c>
      <c r="T29" s="222"/>
      <c r="U29" s="222"/>
    </row>
    <row r="30" spans="3:21" x14ac:dyDescent="0.2">
      <c r="J30" s="5" t="s">
        <v>179</v>
      </c>
      <c r="K30" s="5" t="s">
        <v>180</v>
      </c>
      <c r="L30" s="145">
        <v>3000</v>
      </c>
      <c r="M30" s="145">
        <v>3000</v>
      </c>
      <c r="N30" s="145">
        <v>3000</v>
      </c>
      <c r="O30" s="145">
        <v>3000</v>
      </c>
      <c r="T30" s="222"/>
      <c r="U30" s="222"/>
    </row>
    <row r="31" spans="3:21" x14ac:dyDescent="0.2">
      <c r="J31" s="5" t="s">
        <v>181</v>
      </c>
      <c r="K31" s="5" t="s">
        <v>182</v>
      </c>
      <c r="L31" s="142">
        <v>1750</v>
      </c>
      <c r="M31" s="142">
        <v>1750</v>
      </c>
      <c r="N31" s="142">
        <v>1750</v>
      </c>
      <c r="O31" s="142">
        <v>1750</v>
      </c>
      <c r="T31" s="222"/>
      <c r="U31" s="222"/>
    </row>
    <row r="32" spans="3:21" x14ac:dyDescent="0.2">
      <c r="J32" s="5" t="s">
        <v>183</v>
      </c>
      <c r="K32" s="5" t="s">
        <v>184</v>
      </c>
      <c r="L32" s="145">
        <v>3000</v>
      </c>
      <c r="M32" s="145">
        <v>3000</v>
      </c>
      <c r="N32" s="145">
        <v>3000</v>
      </c>
      <c r="O32" s="145">
        <v>3000</v>
      </c>
      <c r="T32" s="222"/>
      <c r="U32" s="222"/>
    </row>
    <row r="33" spans="10:21" x14ac:dyDescent="0.2">
      <c r="J33" s="5" t="s">
        <v>185</v>
      </c>
      <c r="K33" s="5" t="s">
        <v>186</v>
      </c>
      <c r="L33" s="142">
        <v>1750</v>
      </c>
      <c r="M33" s="142">
        <v>1750</v>
      </c>
      <c r="N33" s="142">
        <v>1750</v>
      </c>
      <c r="O33" s="142">
        <v>1750</v>
      </c>
      <c r="T33" s="222"/>
      <c r="U33" s="222"/>
    </row>
    <row r="34" spans="10:21" x14ac:dyDescent="0.2">
      <c r="J34" s="5" t="s">
        <v>187</v>
      </c>
      <c r="K34" s="5" t="s">
        <v>188</v>
      </c>
      <c r="L34" s="145">
        <v>3000</v>
      </c>
      <c r="M34" s="145">
        <v>3000</v>
      </c>
      <c r="N34" s="145">
        <v>3000</v>
      </c>
      <c r="O34" s="145">
        <v>3000</v>
      </c>
      <c r="T34" s="222"/>
      <c r="U34" s="222"/>
    </row>
    <row r="35" spans="10:21" x14ac:dyDescent="0.2">
      <c r="T35" s="222"/>
      <c r="U35" s="222"/>
    </row>
    <row r="36" spans="10:21" x14ac:dyDescent="0.2">
      <c r="T36" s="222"/>
      <c r="U36" s="222"/>
    </row>
    <row r="37" spans="10:21" x14ac:dyDescent="0.2">
      <c r="T37" s="222"/>
      <c r="U37" s="222"/>
    </row>
    <row r="38" spans="10:21" x14ac:dyDescent="0.2">
      <c r="T38" s="222"/>
      <c r="U38" s="222"/>
    </row>
    <row r="39" spans="10:21" x14ac:dyDescent="0.2">
      <c r="T39" s="222"/>
      <c r="U39" s="222"/>
    </row>
    <row r="40" spans="10:21" x14ac:dyDescent="0.2">
      <c r="T40" s="222"/>
      <c r="U40" s="222"/>
    </row>
    <row r="41" spans="10:21" x14ac:dyDescent="0.2">
      <c r="T41" s="222"/>
      <c r="U41" s="222"/>
    </row>
    <row r="42" spans="10:21" ht="14.25" customHeight="1" x14ac:dyDescent="0.2">
      <c r="T42" s="222"/>
      <c r="U42" s="222"/>
    </row>
    <row r="43" spans="10:21" x14ac:dyDescent="0.2">
      <c r="T43" s="222"/>
      <c r="U43" s="222"/>
    </row>
    <row r="44" spans="10:21" x14ac:dyDescent="0.2">
      <c r="T44" s="222"/>
      <c r="U44" s="222"/>
    </row>
    <row r="45" spans="10:21" x14ac:dyDescent="0.2">
      <c r="T45" s="222"/>
      <c r="U45" s="222"/>
    </row>
    <row r="46" spans="10:21" x14ac:dyDescent="0.2">
      <c r="T46" s="222"/>
      <c r="U46" s="222"/>
    </row>
    <row r="47" spans="10:21" x14ac:dyDescent="0.2">
      <c r="T47" s="222"/>
      <c r="U47" s="222"/>
    </row>
    <row r="48" spans="10:21" x14ac:dyDescent="0.2">
      <c r="T48" s="222"/>
      <c r="U48" s="222"/>
    </row>
    <row r="49" spans="20:21" x14ac:dyDescent="0.2">
      <c r="T49" s="222"/>
      <c r="U49" s="222"/>
    </row>
    <row r="50" spans="20:21" x14ac:dyDescent="0.2">
      <c r="T50" s="222"/>
      <c r="U50" s="222"/>
    </row>
    <row r="51" spans="20:21" x14ac:dyDescent="0.2">
      <c r="T51" s="222"/>
      <c r="U51" s="222"/>
    </row>
    <row r="52" spans="20:21" x14ac:dyDescent="0.2">
      <c r="T52" s="222"/>
      <c r="U52" s="222"/>
    </row>
    <row r="53" spans="20:21" x14ac:dyDescent="0.2">
      <c r="T53" s="222"/>
      <c r="U53" s="222"/>
    </row>
    <row r="54" spans="20:21" x14ac:dyDescent="0.2">
      <c r="T54" s="222"/>
      <c r="U54" s="222"/>
    </row>
    <row r="55" spans="20:21" x14ac:dyDescent="0.2">
      <c r="T55" s="222"/>
      <c r="U55" s="222"/>
    </row>
    <row r="56" spans="20:21" x14ac:dyDescent="0.2">
      <c r="T56" s="222"/>
      <c r="U56" s="222"/>
    </row>
    <row r="57" spans="20:21" x14ac:dyDescent="0.2">
      <c r="T57" s="222"/>
      <c r="U57" s="222"/>
    </row>
    <row r="58" spans="20:21" x14ac:dyDescent="0.2">
      <c r="T58" s="222"/>
      <c r="U58" s="222"/>
    </row>
    <row r="59" spans="20:21" x14ac:dyDescent="0.2">
      <c r="T59" s="222"/>
      <c r="U59" s="222"/>
    </row>
    <row r="60" spans="20:21" x14ac:dyDescent="0.2">
      <c r="T60" s="222"/>
      <c r="U60" s="222"/>
    </row>
    <row r="61" spans="20:21" x14ac:dyDescent="0.2">
      <c r="T61" s="222"/>
      <c r="U61" s="222"/>
    </row>
    <row r="62" spans="20:21" x14ac:dyDescent="0.2">
      <c r="T62" s="222"/>
      <c r="U62" s="222"/>
    </row>
    <row r="63" spans="20:21" x14ac:dyDescent="0.2">
      <c r="T63" s="222"/>
      <c r="U63" s="222"/>
    </row>
    <row r="64" spans="20:21" x14ac:dyDescent="0.2">
      <c r="T64" s="222"/>
      <c r="U64" s="222"/>
    </row>
    <row r="65" spans="20:21" x14ac:dyDescent="0.2">
      <c r="T65" s="222"/>
      <c r="U65" s="222"/>
    </row>
    <row r="66" spans="20:21" x14ac:dyDescent="0.2">
      <c r="T66" s="222"/>
      <c r="U66" s="222"/>
    </row>
    <row r="67" spans="20:21" x14ac:dyDescent="0.2">
      <c r="T67" s="222"/>
      <c r="U67" s="222"/>
    </row>
    <row r="68" spans="20:21" x14ac:dyDescent="0.2">
      <c r="T68" s="222"/>
      <c r="U68" s="222"/>
    </row>
    <row r="69" spans="20:21" x14ac:dyDescent="0.2">
      <c r="T69" s="222"/>
      <c r="U69" s="222"/>
    </row>
    <row r="70" spans="20:21" x14ac:dyDescent="0.2">
      <c r="T70" s="222"/>
      <c r="U70" s="222"/>
    </row>
    <row r="71" spans="20:21" x14ac:dyDescent="0.2">
      <c r="T71" s="222"/>
      <c r="U71" s="222"/>
    </row>
    <row r="72" spans="20:21" x14ac:dyDescent="0.2">
      <c r="T72" s="222"/>
      <c r="U72" s="222"/>
    </row>
    <row r="73" spans="20:21" x14ac:dyDescent="0.2">
      <c r="T73" s="222"/>
      <c r="U73" s="222"/>
    </row>
    <row r="74" spans="20:21" x14ac:dyDescent="0.2">
      <c r="T74" s="222"/>
      <c r="U74" s="222"/>
    </row>
    <row r="75" spans="20:21" x14ac:dyDescent="0.2">
      <c r="T75" s="222"/>
      <c r="U75" s="222"/>
    </row>
    <row r="76" spans="20:21" x14ac:dyDescent="0.2">
      <c r="T76" s="222"/>
      <c r="U76" s="222"/>
    </row>
    <row r="77" spans="20:21" x14ac:dyDescent="0.2">
      <c r="T77" s="222"/>
      <c r="U77" s="222"/>
    </row>
    <row r="78" spans="20:21" x14ac:dyDescent="0.2">
      <c r="T78" s="222"/>
      <c r="U78" s="222"/>
    </row>
    <row r="79" spans="20:21" x14ac:dyDescent="0.2">
      <c r="T79" s="222"/>
      <c r="U79" s="222"/>
    </row>
    <row r="80" spans="20:21" x14ac:dyDescent="0.2">
      <c r="T80" s="222"/>
      <c r="U80" s="222"/>
    </row>
    <row r="81" spans="20:21" x14ac:dyDescent="0.2">
      <c r="T81" s="222"/>
      <c r="U81" s="222"/>
    </row>
    <row r="82" spans="20:21" x14ac:dyDescent="0.2">
      <c r="T82" s="222"/>
      <c r="U82" s="222"/>
    </row>
    <row r="83" spans="20:21" x14ac:dyDescent="0.2">
      <c r="T83" s="222"/>
      <c r="U83" s="222"/>
    </row>
    <row r="84" spans="20:21" x14ac:dyDescent="0.2">
      <c r="T84" s="222"/>
      <c r="U84" s="222"/>
    </row>
    <row r="85" spans="20:21" x14ac:dyDescent="0.2">
      <c r="T85" s="222"/>
      <c r="U85" s="222"/>
    </row>
    <row r="86" spans="20:21" x14ac:dyDescent="0.2">
      <c r="T86" s="222"/>
      <c r="U86" s="222"/>
    </row>
    <row r="87" spans="20:21" x14ac:dyDescent="0.2">
      <c r="T87" s="222"/>
      <c r="U87" s="222"/>
    </row>
    <row r="88" spans="20:21" x14ac:dyDescent="0.2">
      <c r="T88" s="222"/>
      <c r="U88" s="222"/>
    </row>
    <row r="89" spans="20:21" x14ac:dyDescent="0.2">
      <c r="T89" s="222"/>
      <c r="U89" s="222"/>
    </row>
    <row r="90" spans="20:21" x14ac:dyDescent="0.2">
      <c r="T90" s="222"/>
      <c r="U90" s="222"/>
    </row>
    <row r="91" spans="20:21" x14ac:dyDescent="0.2">
      <c r="T91" s="222"/>
      <c r="U91" s="222"/>
    </row>
    <row r="92" spans="20:21" x14ac:dyDescent="0.2">
      <c r="T92" s="222"/>
      <c r="U92" s="222"/>
    </row>
    <row r="93" spans="20:21" x14ac:dyDescent="0.2">
      <c r="T93" s="222"/>
      <c r="U93" s="222"/>
    </row>
    <row r="94" spans="20:21" x14ac:dyDescent="0.2">
      <c r="T94" s="222"/>
      <c r="U94" s="222"/>
    </row>
    <row r="95" spans="20:21" x14ac:dyDescent="0.2">
      <c r="T95" s="222"/>
      <c r="U95" s="222"/>
    </row>
    <row r="96" spans="20:21" x14ac:dyDescent="0.2">
      <c r="T96" s="222"/>
      <c r="U96" s="222"/>
    </row>
    <row r="97" spans="20:21" x14ac:dyDescent="0.2">
      <c r="T97" s="222"/>
      <c r="U97" s="222"/>
    </row>
    <row r="98" spans="20:21" x14ac:dyDescent="0.2">
      <c r="T98" s="222"/>
      <c r="U98" s="222"/>
    </row>
    <row r="99" spans="20:21" x14ac:dyDescent="0.2">
      <c r="T99" s="222"/>
      <c r="U99" s="222"/>
    </row>
    <row r="100" spans="20:21" x14ac:dyDescent="0.2">
      <c r="T100" s="222"/>
      <c r="U100" s="222"/>
    </row>
    <row r="101" spans="20:21" x14ac:dyDescent="0.2">
      <c r="T101" s="222"/>
      <c r="U101" s="222"/>
    </row>
    <row r="102" spans="20:21" x14ac:dyDescent="0.2">
      <c r="T102" s="222"/>
      <c r="U102" s="222"/>
    </row>
    <row r="103" spans="20:21" x14ac:dyDescent="0.2">
      <c r="T103" s="222"/>
      <c r="U103" s="222"/>
    </row>
    <row r="104" spans="20:21" x14ac:dyDescent="0.2">
      <c r="T104" s="222"/>
      <c r="U104" s="222"/>
    </row>
    <row r="105" spans="20:21" x14ac:dyDescent="0.2">
      <c r="T105" s="222"/>
      <c r="U105" s="222"/>
    </row>
    <row r="106" spans="20:21" x14ac:dyDescent="0.2">
      <c r="T106" s="222"/>
      <c r="U106" s="222"/>
    </row>
    <row r="107" spans="20:21" x14ac:dyDescent="0.2">
      <c r="T107" s="222"/>
      <c r="U107" s="222"/>
    </row>
    <row r="108" spans="20:21" x14ac:dyDescent="0.2">
      <c r="T108" s="222"/>
      <c r="U108" s="222"/>
    </row>
    <row r="109" spans="20:21" x14ac:dyDescent="0.2">
      <c r="T109" s="222"/>
      <c r="U109" s="222"/>
    </row>
    <row r="110" spans="20:21" x14ac:dyDescent="0.2">
      <c r="T110" s="222"/>
      <c r="U110" s="222"/>
    </row>
    <row r="111" spans="20:21" x14ac:dyDescent="0.2">
      <c r="T111" s="222"/>
      <c r="U111" s="222"/>
    </row>
    <row r="112" spans="20:21" x14ac:dyDescent="0.2">
      <c r="T112" s="222"/>
      <c r="U112" s="222"/>
    </row>
    <row r="113" spans="20:21" x14ac:dyDescent="0.2">
      <c r="T113" s="222"/>
      <c r="U113" s="222"/>
    </row>
    <row r="114" spans="20:21" x14ac:dyDescent="0.2">
      <c r="T114" s="222"/>
      <c r="U114" s="222"/>
    </row>
    <row r="115" spans="20:21" x14ac:dyDescent="0.2">
      <c r="T115" s="222"/>
      <c r="U115" s="222"/>
    </row>
    <row r="116" spans="20:21" x14ac:dyDescent="0.2">
      <c r="T116" s="222"/>
      <c r="U116" s="222"/>
    </row>
    <row r="117" spans="20:21" x14ac:dyDescent="0.2">
      <c r="T117" s="222"/>
      <c r="U117" s="222"/>
    </row>
    <row r="118" spans="20:21" x14ac:dyDescent="0.2">
      <c r="T118" s="222"/>
      <c r="U118" s="222"/>
    </row>
    <row r="119" spans="20:21" x14ac:dyDescent="0.2">
      <c r="T119" s="222"/>
      <c r="U119" s="222"/>
    </row>
    <row r="120" spans="20:21" x14ac:dyDescent="0.2">
      <c r="T120" s="222"/>
      <c r="U120" s="222"/>
    </row>
    <row r="121" spans="20:21" x14ac:dyDescent="0.2">
      <c r="T121" s="222"/>
      <c r="U121" s="222"/>
    </row>
    <row r="122" spans="20:21" x14ac:dyDescent="0.2">
      <c r="T122" s="222"/>
      <c r="U122" s="222"/>
    </row>
    <row r="123" spans="20:21" x14ac:dyDescent="0.2">
      <c r="T123" s="222"/>
      <c r="U123" s="222"/>
    </row>
    <row r="124" spans="20:21" x14ac:dyDescent="0.2">
      <c r="T124" s="222"/>
      <c r="U124" s="222"/>
    </row>
    <row r="125" spans="20:21" x14ac:dyDescent="0.2">
      <c r="T125" s="222"/>
      <c r="U125" s="222"/>
    </row>
    <row r="126" spans="20:21" x14ac:dyDescent="0.2">
      <c r="T126" s="222"/>
      <c r="U126" s="222"/>
    </row>
    <row r="127" spans="20:21" x14ac:dyDescent="0.2">
      <c r="T127" s="222"/>
      <c r="U127" s="222"/>
    </row>
    <row r="128" spans="20:21" x14ac:dyDescent="0.2">
      <c r="T128" s="222"/>
      <c r="U128" s="222"/>
    </row>
    <row r="129" spans="20:21" x14ac:dyDescent="0.2">
      <c r="T129" s="222"/>
      <c r="U129" s="222"/>
    </row>
    <row r="130" spans="20:21" x14ac:dyDescent="0.2">
      <c r="T130" s="222"/>
      <c r="U130" s="222"/>
    </row>
    <row r="131" spans="20:21" x14ac:dyDescent="0.2">
      <c r="T131" s="222"/>
      <c r="U131" s="222"/>
    </row>
    <row r="132" spans="20:21" x14ac:dyDescent="0.2">
      <c r="T132" s="222"/>
      <c r="U132" s="222"/>
    </row>
    <row r="133" spans="20:21" x14ac:dyDescent="0.2">
      <c r="T133" s="222"/>
      <c r="U133" s="222"/>
    </row>
    <row r="134" spans="20:21" x14ac:dyDescent="0.2">
      <c r="T134" s="222"/>
      <c r="U134" s="222"/>
    </row>
    <row r="135" spans="20:21" x14ac:dyDescent="0.2">
      <c r="T135" s="222"/>
      <c r="U135" s="222"/>
    </row>
    <row r="136" spans="20:21" x14ac:dyDescent="0.2">
      <c r="T136" s="222"/>
      <c r="U136" s="222"/>
    </row>
    <row r="137" spans="20:21" x14ac:dyDescent="0.2">
      <c r="T137" s="222"/>
      <c r="U137" s="222"/>
    </row>
    <row r="138" spans="20:21" x14ac:dyDescent="0.2">
      <c r="T138" s="222"/>
      <c r="U138" s="222"/>
    </row>
    <row r="139" spans="20:21" x14ac:dyDescent="0.2">
      <c r="T139" s="222"/>
      <c r="U139" s="222"/>
    </row>
    <row r="140" spans="20:21" x14ac:dyDescent="0.2">
      <c r="T140" s="222"/>
      <c r="U140" s="222"/>
    </row>
    <row r="141" spans="20:21" x14ac:dyDescent="0.2">
      <c r="T141" s="222"/>
      <c r="U141" s="222"/>
    </row>
    <row r="142" spans="20:21" x14ac:dyDescent="0.2">
      <c r="T142" s="222"/>
      <c r="U142" s="222"/>
    </row>
    <row r="143" spans="20:21" x14ac:dyDescent="0.2">
      <c r="T143" s="222"/>
      <c r="U143" s="222"/>
    </row>
    <row r="144" spans="20:21" x14ac:dyDescent="0.2">
      <c r="T144" s="222"/>
      <c r="U144" s="222"/>
    </row>
    <row r="145" spans="20:21" x14ac:dyDescent="0.2">
      <c r="T145" s="222"/>
      <c r="U145" s="222"/>
    </row>
    <row r="146" spans="20:21" x14ac:dyDescent="0.2">
      <c r="T146" s="222"/>
      <c r="U146" s="222"/>
    </row>
    <row r="147" spans="20:21" x14ac:dyDescent="0.2">
      <c r="T147" s="222"/>
      <c r="U147" s="222"/>
    </row>
    <row r="148" spans="20:21" x14ac:dyDescent="0.2">
      <c r="T148" s="222"/>
      <c r="U148" s="222"/>
    </row>
    <row r="149" spans="20:21" x14ac:dyDescent="0.2">
      <c r="T149" s="222"/>
      <c r="U149" s="222"/>
    </row>
    <row r="150" spans="20:21" x14ac:dyDescent="0.2">
      <c r="T150" s="222"/>
      <c r="U150" s="222"/>
    </row>
    <row r="151" spans="20:21" x14ac:dyDescent="0.2">
      <c r="T151" s="222"/>
      <c r="U151" s="222"/>
    </row>
    <row r="152" spans="20:21" x14ac:dyDescent="0.2">
      <c r="T152" s="222"/>
      <c r="U152" s="222"/>
    </row>
    <row r="153" spans="20:21" x14ac:dyDescent="0.2">
      <c r="T153" s="222"/>
      <c r="U153" s="222"/>
    </row>
    <row r="154" spans="20:21" x14ac:dyDescent="0.2">
      <c r="T154" s="222"/>
      <c r="U154" s="222"/>
    </row>
    <row r="155" spans="20:21" x14ac:dyDescent="0.2">
      <c r="T155" s="222"/>
      <c r="U155" s="222"/>
    </row>
    <row r="156" spans="20:21" x14ac:dyDescent="0.2">
      <c r="T156" s="222"/>
      <c r="U156" s="222"/>
    </row>
    <row r="157" spans="20:21" x14ac:dyDescent="0.2">
      <c r="T157" s="222"/>
      <c r="U157" s="222"/>
    </row>
    <row r="158" spans="20:21" x14ac:dyDescent="0.2">
      <c r="T158" s="222"/>
      <c r="U158" s="222"/>
    </row>
    <row r="159" spans="20:21" x14ac:dyDescent="0.2">
      <c r="T159" s="222"/>
      <c r="U159" s="222"/>
    </row>
    <row r="160" spans="20:21" x14ac:dyDescent="0.2">
      <c r="T160" s="222"/>
      <c r="U160" s="222"/>
    </row>
    <row r="161" spans="20:21" x14ac:dyDescent="0.2">
      <c r="T161" s="222"/>
      <c r="U161" s="222"/>
    </row>
    <row r="162" spans="20:21" x14ac:dyDescent="0.2">
      <c r="T162" s="222"/>
      <c r="U162" s="222"/>
    </row>
    <row r="163" spans="20:21" x14ac:dyDescent="0.2">
      <c r="T163" s="222"/>
      <c r="U163" s="222"/>
    </row>
    <row r="164" spans="20:21" x14ac:dyDescent="0.2">
      <c r="T164" s="222"/>
      <c r="U164" s="222"/>
    </row>
    <row r="165" spans="20:21" x14ac:dyDescent="0.2">
      <c r="T165" s="222"/>
      <c r="U165" s="222"/>
    </row>
    <row r="166" spans="20:21" x14ac:dyDescent="0.2">
      <c r="T166" s="222"/>
      <c r="U166" s="222"/>
    </row>
    <row r="167" spans="20:21" x14ac:dyDescent="0.2">
      <c r="T167" s="222"/>
      <c r="U167" s="222"/>
    </row>
    <row r="168" spans="20:21" x14ac:dyDescent="0.2">
      <c r="T168" s="222"/>
      <c r="U168" s="222"/>
    </row>
    <row r="169" spans="20:21" x14ac:dyDescent="0.2">
      <c r="T169" s="222"/>
      <c r="U169" s="222"/>
    </row>
    <row r="170" spans="20:21" x14ac:dyDescent="0.2">
      <c r="T170" s="222"/>
      <c r="U170" s="222"/>
    </row>
    <row r="171" spans="20:21" x14ac:dyDescent="0.2">
      <c r="T171" s="222"/>
      <c r="U171" s="222"/>
    </row>
    <row r="172" spans="20:21" x14ac:dyDescent="0.2">
      <c r="T172" s="222"/>
      <c r="U172" s="222"/>
    </row>
    <row r="173" spans="20:21" x14ac:dyDescent="0.2">
      <c r="T173" s="222"/>
      <c r="U173" s="222"/>
    </row>
    <row r="174" spans="20:21" x14ac:dyDescent="0.2">
      <c r="T174" s="222"/>
      <c r="U174" s="222"/>
    </row>
    <row r="175" spans="20:21" x14ac:dyDescent="0.2">
      <c r="T175" s="222"/>
      <c r="U175" s="222"/>
    </row>
    <row r="176" spans="20:21" x14ac:dyDescent="0.2">
      <c r="T176" s="222"/>
      <c r="U176" s="222"/>
    </row>
    <row r="177" spans="20:21" x14ac:dyDescent="0.2">
      <c r="T177" s="222"/>
      <c r="U177" s="222"/>
    </row>
    <row r="178" spans="20:21" x14ac:dyDescent="0.2">
      <c r="T178" s="222"/>
      <c r="U178" s="222"/>
    </row>
    <row r="179" spans="20:21" x14ac:dyDescent="0.2">
      <c r="T179" s="222"/>
      <c r="U179" s="222"/>
    </row>
    <row r="180" spans="20:21" x14ac:dyDescent="0.2">
      <c r="T180" s="222"/>
      <c r="U180" s="222"/>
    </row>
    <row r="181" spans="20:21" x14ac:dyDescent="0.2">
      <c r="T181" s="222"/>
      <c r="U181" s="222"/>
    </row>
    <row r="182" spans="20:21" x14ac:dyDescent="0.2">
      <c r="T182" s="222"/>
      <c r="U182" s="222"/>
    </row>
    <row r="183" spans="20:21" x14ac:dyDescent="0.2">
      <c r="T183" s="222"/>
      <c r="U183" s="222"/>
    </row>
    <row r="184" spans="20:21" x14ac:dyDescent="0.2">
      <c r="T184" s="222"/>
      <c r="U184" s="222"/>
    </row>
    <row r="185" spans="20:21" x14ac:dyDescent="0.2">
      <c r="T185" s="222"/>
      <c r="U185" s="222"/>
    </row>
    <row r="186" spans="20:21" x14ac:dyDescent="0.2">
      <c r="T186" s="222"/>
      <c r="U186" s="222"/>
    </row>
    <row r="187" spans="20:21" x14ac:dyDescent="0.2">
      <c r="T187" s="222"/>
      <c r="U187" s="222"/>
    </row>
    <row r="188" spans="20:21" x14ac:dyDescent="0.2">
      <c r="T188" s="222"/>
      <c r="U188" s="222"/>
    </row>
    <row r="189" spans="20:21" x14ac:dyDescent="0.2">
      <c r="T189" s="222"/>
      <c r="U189" s="222"/>
    </row>
    <row r="190" spans="20:21" x14ac:dyDescent="0.2">
      <c r="T190" s="222"/>
      <c r="U190" s="222"/>
    </row>
    <row r="191" spans="20:21" x14ac:dyDescent="0.2">
      <c r="T191" s="222"/>
      <c r="U191" s="222"/>
    </row>
    <row r="192" spans="20:21" x14ac:dyDescent="0.2">
      <c r="T192" s="222"/>
      <c r="U192" s="222"/>
    </row>
    <row r="193" spans="20:21" x14ac:dyDescent="0.2">
      <c r="T193" s="222"/>
      <c r="U193" s="222"/>
    </row>
    <row r="194" spans="20:21" x14ac:dyDescent="0.2">
      <c r="T194" s="222"/>
      <c r="U194" s="222"/>
    </row>
    <row r="195" spans="20:21" x14ac:dyDescent="0.2">
      <c r="T195" s="222"/>
      <c r="U195" s="222"/>
    </row>
    <row r="196" spans="20:21" x14ac:dyDescent="0.2">
      <c r="T196" s="222"/>
      <c r="U196" s="222"/>
    </row>
    <row r="197" spans="20:21" x14ac:dyDescent="0.2">
      <c r="T197" s="222"/>
      <c r="U197" s="222"/>
    </row>
    <row r="198" spans="20:21" x14ac:dyDescent="0.2">
      <c r="T198" s="222"/>
      <c r="U198" s="222"/>
    </row>
    <row r="199" spans="20:21" x14ac:dyDescent="0.2">
      <c r="T199" s="222"/>
      <c r="U199" s="222"/>
    </row>
    <row r="200" spans="20:21" x14ac:dyDescent="0.2">
      <c r="T200" s="222"/>
      <c r="U200" s="222"/>
    </row>
    <row r="201" spans="20:21" x14ac:dyDescent="0.2">
      <c r="T201" s="222"/>
      <c r="U201" s="222"/>
    </row>
    <row r="202" spans="20:21" x14ac:dyDescent="0.2">
      <c r="T202" s="222"/>
      <c r="U202" s="222"/>
    </row>
    <row r="203" spans="20:21" x14ac:dyDescent="0.2">
      <c r="T203" s="222"/>
      <c r="U203" s="222"/>
    </row>
    <row r="204" spans="20:21" x14ac:dyDescent="0.2">
      <c r="T204" s="222"/>
      <c r="U204" s="222"/>
    </row>
    <row r="205" spans="20:21" x14ac:dyDescent="0.2">
      <c r="T205" s="222"/>
      <c r="U205" s="222"/>
    </row>
    <row r="206" spans="20:21" x14ac:dyDescent="0.2">
      <c r="T206" s="222"/>
      <c r="U206" s="222"/>
    </row>
    <row r="207" spans="20:21" x14ac:dyDescent="0.2">
      <c r="T207" s="222"/>
      <c r="U207" s="222"/>
    </row>
    <row r="208" spans="20:21" x14ac:dyDescent="0.2">
      <c r="T208" s="222"/>
      <c r="U208" s="222"/>
    </row>
    <row r="209" spans="20:21" x14ac:dyDescent="0.2">
      <c r="T209" s="222"/>
      <c r="U209" s="222"/>
    </row>
    <row r="210" spans="20:21" x14ac:dyDescent="0.2">
      <c r="T210" s="222"/>
      <c r="U210" s="222"/>
    </row>
    <row r="211" spans="20:21" x14ac:dyDescent="0.2">
      <c r="T211" s="222"/>
      <c r="U211" s="222"/>
    </row>
    <row r="212" spans="20:21" x14ac:dyDescent="0.2">
      <c r="T212" s="222"/>
      <c r="U212" s="222"/>
    </row>
    <row r="213" spans="20:21" x14ac:dyDescent="0.2">
      <c r="T213" s="222"/>
      <c r="U213" s="222"/>
    </row>
    <row r="214" spans="20:21" x14ac:dyDescent="0.2">
      <c r="T214" s="222"/>
      <c r="U214" s="222"/>
    </row>
    <row r="215" spans="20:21" x14ac:dyDescent="0.2">
      <c r="T215" s="222"/>
      <c r="U215" s="222"/>
    </row>
    <row r="216" spans="20:21" x14ac:dyDescent="0.2">
      <c r="T216" s="222"/>
      <c r="U216" s="222"/>
    </row>
    <row r="217" spans="20:21" x14ac:dyDescent="0.2">
      <c r="T217" s="222"/>
      <c r="U217" s="222"/>
    </row>
    <row r="218" spans="20:21" x14ac:dyDescent="0.2">
      <c r="T218" s="222"/>
      <c r="U218" s="222"/>
    </row>
    <row r="219" spans="20:21" x14ac:dyDescent="0.2">
      <c r="T219" s="222"/>
      <c r="U219" s="222"/>
    </row>
    <row r="220" spans="20:21" x14ac:dyDescent="0.2">
      <c r="T220" s="222"/>
      <c r="U220" s="222"/>
    </row>
    <row r="221" spans="20:21" x14ac:dyDescent="0.2">
      <c r="T221" s="222"/>
      <c r="U221" s="222"/>
    </row>
    <row r="222" spans="20:21" x14ac:dyDescent="0.2">
      <c r="T222" s="222"/>
      <c r="U222" s="222"/>
    </row>
    <row r="223" spans="20:21" x14ac:dyDescent="0.2">
      <c r="T223" s="222"/>
      <c r="U223" s="222"/>
    </row>
    <row r="224" spans="20:21" x14ac:dyDescent="0.2">
      <c r="T224" s="222"/>
      <c r="U224" s="222"/>
    </row>
    <row r="225" spans="20:21" x14ac:dyDescent="0.2">
      <c r="T225" s="222"/>
      <c r="U225" s="222"/>
    </row>
    <row r="226" spans="20:21" x14ac:dyDescent="0.2">
      <c r="T226" s="222"/>
      <c r="U226" s="222"/>
    </row>
    <row r="227" spans="20:21" x14ac:dyDescent="0.2">
      <c r="T227" s="222"/>
      <c r="U227" s="222"/>
    </row>
    <row r="228" spans="20:21" x14ac:dyDescent="0.2">
      <c r="T228" s="222"/>
      <c r="U228" s="222"/>
    </row>
    <row r="229" spans="20:21" x14ac:dyDescent="0.2">
      <c r="T229" s="222"/>
      <c r="U229" s="222"/>
    </row>
    <row r="230" spans="20:21" x14ac:dyDescent="0.2">
      <c r="T230" s="222"/>
      <c r="U230" s="222"/>
    </row>
    <row r="231" spans="20:21" x14ac:dyDescent="0.2">
      <c r="T231" s="222"/>
      <c r="U231" s="222"/>
    </row>
    <row r="232" spans="20:21" x14ac:dyDescent="0.2">
      <c r="T232" s="222"/>
      <c r="U232" s="222"/>
    </row>
    <row r="233" spans="20:21" x14ac:dyDescent="0.2">
      <c r="T233" s="222"/>
      <c r="U233" s="222"/>
    </row>
    <row r="234" spans="20:21" x14ac:dyDescent="0.2">
      <c r="T234" s="222"/>
      <c r="U234" s="222"/>
    </row>
    <row r="235" spans="20:21" x14ac:dyDescent="0.2">
      <c r="T235" s="222"/>
      <c r="U235" s="222"/>
    </row>
    <row r="236" spans="20:21" x14ac:dyDescent="0.2">
      <c r="T236" s="222"/>
      <c r="U236" s="222"/>
    </row>
    <row r="237" spans="20:21" x14ac:dyDescent="0.2">
      <c r="T237" s="222"/>
      <c r="U237" s="222"/>
    </row>
    <row r="238" spans="20:21" x14ac:dyDescent="0.2">
      <c r="T238" s="222"/>
      <c r="U238" s="222"/>
    </row>
    <row r="239" spans="20:21" x14ac:dyDescent="0.2">
      <c r="T239" s="222"/>
      <c r="U239" s="222"/>
    </row>
    <row r="240" spans="20:21" x14ac:dyDescent="0.2">
      <c r="T240" s="222"/>
      <c r="U240" s="222"/>
    </row>
    <row r="241" spans="20:21" x14ac:dyDescent="0.2">
      <c r="T241" s="222"/>
      <c r="U241" s="222"/>
    </row>
    <row r="242" spans="20:21" x14ac:dyDescent="0.2">
      <c r="T242" s="222"/>
      <c r="U242" s="222"/>
    </row>
    <row r="243" spans="20:21" x14ac:dyDescent="0.2">
      <c r="T243" s="222"/>
      <c r="U243" s="222"/>
    </row>
    <row r="244" spans="20:21" x14ac:dyDescent="0.2">
      <c r="T244" s="222"/>
      <c r="U244" s="222"/>
    </row>
    <row r="245" spans="20:21" x14ac:dyDescent="0.2">
      <c r="T245" s="222"/>
      <c r="U245" s="222"/>
    </row>
    <row r="246" spans="20:21" x14ac:dyDescent="0.2">
      <c r="T246" s="222"/>
      <c r="U246" s="222"/>
    </row>
    <row r="247" spans="20:21" x14ac:dyDescent="0.2">
      <c r="T247" s="222"/>
      <c r="U247" s="222"/>
    </row>
    <row r="248" spans="20:21" x14ac:dyDescent="0.2">
      <c r="T248" s="222"/>
      <c r="U248" s="222"/>
    </row>
    <row r="249" spans="20:21" x14ac:dyDescent="0.2">
      <c r="T249" s="222"/>
      <c r="U249" s="222"/>
    </row>
    <row r="250" spans="20:21" x14ac:dyDescent="0.2">
      <c r="T250" s="222"/>
      <c r="U250" s="222"/>
    </row>
    <row r="251" spans="20:21" x14ac:dyDescent="0.2">
      <c r="T251" s="222"/>
      <c r="U251" s="222"/>
    </row>
    <row r="252" spans="20:21" x14ac:dyDescent="0.2">
      <c r="T252" s="222"/>
      <c r="U252" s="222"/>
    </row>
    <row r="253" spans="20:21" x14ac:dyDescent="0.2">
      <c r="T253" s="222"/>
      <c r="U253" s="222"/>
    </row>
    <row r="254" spans="20:21" x14ac:dyDescent="0.2">
      <c r="T254" s="222"/>
      <c r="U254" s="222"/>
    </row>
    <row r="255" spans="20:21" x14ac:dyDescent="0.2">
      <c r="T255" s="222"/>
      <c r="U255" s="222"/>
    </row>
    <row r="256" spans="20:21" x14ac:dyDescent="0.2">
      <c r="T256" s="222"/>
      <c r="U256" s="222"/>
    </row>
    <row r="257" spans="20:21" x14ac:dyDescent="0.2">
      <c r="T257" s="222"/>
      <c r="U257" s="222"/>
    </row>
    <row r="258" spans="20:21" x14ac:dyDescent="0.2">
      <c r="T258" s="222"/>
      <c r="U258" s="222"/>
    </row>
    <row r="259" spans="20:21" x14ac:dyDescent="0.2">
      <c r="T259" s="222"/>
      <c r="U259" s="222"/>
    </row>
    <row r="260" spans="20:21" x14ac:dyDescent="0.2">
      <c r="T260" s="222"/>
      <c r="U260" s="222"/>
    </row>
    <row r="261" spans="20:21" x14ac:dyDescent="0.2">
      <c r="T261" s="222"/>
      <c r="U261" s="222"/>
    </row>
    <row r="262" spans="20:21" x14ac:dyDescent="0.2">
      <c r="T262" s="222"/>
      <c r="U262" s="222"/>
    </row>
    <row r="263" spans="20:21" x14ac:dyDescent="0.2">
      <c r="T263" s="222"/>
      <c r="U263" s="222"/>
    </row>
    <row r="264" spans="20:21" x14ac:dyDescent="0.2">
      <c r="T264" s="222"/>
      <c r="U264" s="222"/>
    </row>
    <row r="265" spans="20:21" x14ac:dyDescent="0.2">
      <c r="T265" s="222"/>
      <c r="U265" s="222"/>
    </row>
    <row r="266" spans="20:21" x14ac:dyDescent="0.2">
      <c r="T266" s="222"/>
      <c r="U266" s="222"/>
    </row>
    <row r="267" spans="20:21" x14ac:dyDescent="0.2">
      <c r="T267" s="222"/>
      <c r="U267" s="222"/>
    </row>
    <row r="268" spans="20:21" x14ac:dyDescent="0.2">
      <c r="T268" s="222"/>
      <c r="U268" s="222"/>
    </row>
    <row r="269" spans="20:21" x14ac:dyDescent="0.2">
      <c r="T269" s="222"/>
      <c r="U269" s="222"/>
    </row>
    <row r="270" spans="20:21" x14ac:dyDescent="0.2">
      <c r="T270" s="222"/>
      <c r="U270" s="222"/>
    </row>
    <row r="271" spans="20:21" x14ac:dyDescent="0.2">
      <c r="T271" s="222"/>
      <c r="U271" s="222"/>
    </row>
    <row r="272" spans="20:21" x14ac:dyDescent="0.2">
      <c r="T272" s="222"/>
      <c r="U272" s="222"/>
    </row>
    <row r="273" spans="20:21" x14ac:dyDescent="0.2">
      <c r="T273" s="222"/>
      <c r="U273" s="222"/>
    </row>
    <row r="274" spans="20:21" x14ac:dyDescent="0.2">
      <c r="T274" s="222"/>
      <c r="U274" s="222"/>
    </row>
    <row r="275" spans="20:21" x14ac:dyDescent="0.2">
      <c r="T275" s="222"/>
      <c r="U275" s="222"/>
    </row>
    <row r="276" spans="20:21" x14ac:dyDescent="0.2">
      <c r="T276" s="222"/>
      <c r="U276" s="222"/>
    </row>
    <row r="277" spans="20:21" x14ac:dyDescent="0.2">
      <c r="T277" s="222"/>
      <c r="U277" s="222"/>
    </row>
    <row r="278" spans="20:21" x14ac:dyDescent="0.2">
      <c r="T278" s="222"/>
      <c r="U278" s="222"/>
    </row>
    <row r="279" spans="20:21" x14ac:dyDescent="0.2">
      <c r="T279" s="222"/>
      <c r="U279" s="222"/>
    </row>
    <row r="280" spans="20:21" x14ac:dyDescent="0.2">
      <c r="T280" s="222"/>
      <c r="U280" s="222"/>
    </row>
    <row r="281" spans="20:21" x14ac:dyDescent="0.2">
      <c r="T281" s="222"/>
      <c r="U281" s="222"/>
    </row>
    <row r="282" spans="20:21" x14ac:dyDescent="0.2">
      <c r="T282" s="222"/>
      <c r="U282" s="222"/>
    </row>
    <row r="283" spans="20:21" x14ac:dyDescent="0.2">
      <c r="T283" s="222"/>
      <c r="U283" s="222"/>
    </row>
    <row r="284" spans="20:21" x14ac:dyDescent="0.2">
      <c r="T284" s="222"/>
      <c r="U284" s="222"/>
    </row>
    <row r="285" spans="20:21" x14ac:dyDescent="0.2">
      <c r="T285" s="222"/>
      <c r="U285" s="222"/>
    </row>
    <row r="286" spans="20:21" x14ac:dyDescent="0.2">
      <c r="T286" s="222"/>
      <c r="U286" s="222"/>
    </row>
    <row r="287" spans="20:21" x14ac:dyDescent="0.2">
      <c r="T287" s="222"/>
      <c r="U287" s="222"/>
    </row>
    <row r="288" spans="20:21" x14ac:dyDescent="0.2">
      <c r="T288" s="222"/>
      <c r="U288" s="222"/>
    </row>
    <row r="289" spans="20:21" x14ac:dyDescent="0.2">
      <c r="T289" s="222"/>
      <c r="U289" s="222"/>
    </row>
    <row r="290" spans="20:21" x14ac:dyDescent="0.2">
      <c r="T290" s="222"/>
      <c r="U290" s="222"/>
    </row>
    <row r="291" spans="20:21" x14ac:dyDescent="0.2">
      <c r="T291" s="222"/>
      <c r="U291" s="222"/>
    </row>
    <row r="292" spans="20:21" x14ac:dyDescent="0.2">
      <c r="T292" s="222"/>
      <c r="U292" s="222"/>
    </row>
    <row r="293" spans="20:21" x14ac:dyDescent="0.2">
      <c r="T293" s="222"/>
      <c r="U293" s="222"/>
    </row>
    <row r="294" spans="20:21" x14ac:dyDescent="0.2">
      <c r="T294" s="222"/>
      <c r="U294" s="222"/>
    </row>
    <row r="295" spans="20:21" x14ac:dyDescent="0.2">
      <c r="T295" s="222"/>
      <c r="U295" s="222"/>
    </row>
    <row r="296" spans="20:21" x14ac:dyDescent="0.2">
      <c r="T296" s="222"/>
      <c r="U296" s="222"/>
    </row>
    <row r="297" spans="20:21" x14ac:dyDescent="0.2">
      <c r="T297" s="222"/>
      <c r="U297" s="222"/>
    </row>
    <row r="298" spans="20:21" x14ac:dyDescent="0.2">
      <c r="T298" s="222"/>
      <c r="U298" s="222"/>
    </row>
    <row r="299" spans="20:21" x14ac:dyDescent="0.2">
      <c r="T299" s="222"/>
      <c r="U299" s="222"/>
    </row>
    <row r="300" spans="20:21" x14ac:dyDescent="0.2">
      <c r="T300" s="222"/>
      <c r="U300" s="222"/>
    </row>
    <row r="301" spans="20:21" x14ac:dyDescent="0.2">
      <c r="T301" s="222"/>
      <c r="U301" s="222"/>
    </row>
    <row r="302" spans="20:21" x14ac:dyDescent="0.2">
      <c r="T302" s="222"/>
      <c r="U302" s="222"/>
    </row>
    <row r="303" spans="20:21" x14ac:dyDescent="0.2">
      <c r="T303" s="222"/>
      <c r="U303" s="222"/>
    </row>
    <row r="304" spans="20:21" x14ac:dyDescent="0.2">
      <c r="T304" s="222"/>
      <c r="U304" s="222"/>
    </row>
    <row r="305" spans="20:21" x14ac:dyDescent="0.2">
      <c r="T305" s="222"/>
      <c r="U305" s="222"/>
    </row>
    <row r="306" spans="20:21" x14ac:dyDescent="0.2">
      <c r="T306" s="222"/>
      <c r="U306" s="222"/>
    </row>
    <row r="307" spans="20:21" x14ac:dyDescent="0.2">
      <c r="T307" s="222"/>
      <c r="U307" s="222"/>
    </row>
    <row r="308" spans="20:21" x14ac:dyDescent="0.2">
      <c r="T308" s="222"/>
      <c r="U308" s="222"/>
    </row>
    <row r="309" spans="20:21" x14ac:dyDescent="0.2">
      <c r="T309" s="222"/>
      <c r="U309" s="222"/>
    </row>
    <row r="310" spans="20:21" x14ac:dyDescent="0.2">
      <c r="T310" s="222"/>
      <c r="U310" s="222"/>
    </row>
    <row r="311" spans="20:21" x14ac:dyDescent="0.2">
      <c r="T311" s="222"/>
      <c r="U311" s="222"/>
    </row>
    <row r="312" spans="20:21" x14ac:dyDescent="0.2">
      <c r="T312" s="222"/>
      <c r="U312" s="222"/>
    </row>
    <row r="313" spans="20:21" x14ac:dyDescent="0.2">
      <c r="T313" s="222"/>
      <c r="U313" s="222"/>
    </row>
    <row r="314" spans="20:21" x14ac:dyDescent="0.2">
      <c r="T314" s="222"/>
      <c r="U314" s="222"/>
    </row>
    <row r="315" spans="20:21" x14ac:dyDescent="0.2">
      <c r="T315" s="222"/>
      <c r="U315" s="222"/>
    </row>
    <row r="316" spans="20:21" x14ac:dyDescent="0.2">
      <c r="T316" s="222"/>
      <c r="U316" s="222"/>
    </row>
    <row r="317" spans="20:21" x14ac:dyDescent="0.2">
      <c r="T317" s="222"/>
      <c r="U317" s="222"/>
    </row>
    <row r="318" spans="20:21" x14ac:dyDescent="0.2">
      <c r="T318" s="222"/>
      <c r="U318" s="222"/>
    </row>
    <row r="319" spans="20:21" x14ac:dyDescent="0.2">
      <c r="T319" s="222"/>
      <c r="U319" s="222"/>
    </row>
    <row r="320" spans="20:21" x14ac:dyDescent="0.2">
      <c r="T320" s="222"/>
      <c r="U320" s="222"/>
    </row>
    <row r="321" spans="20:21" x14ac:dyDescent="0.2">
      <c r="T321" s="222"/>
      <c r="U321" s="222"/>
    </row>
    <row r="322" spans="20:21" x14ac:dyDescent="0.2">
      <c r="T322" s="222"/>
      <c r="U322" s="222"/>
    </row>
    <row r="323" spans="20:21" x14ac:dyDescent="0.2">
      <c r="T323" s="222"/>
      <c r="U323" s="222"/>
    </row>
    <row r="324" spans="20:21" x14ac:dyDescent="0.2">
      <c r="T324" s="222"/>
      <c r="U324" s="222"/>
    </row>
    <row r="325" spans="20:21" x14ac:dyDescent="0.2">
      <c r="T325" s="222"/>
      <c r="U325" s="222"/>
    </row>
    <row r="326" spans="20:21" x14ac:dyDescent="0.2">
      <c r="T326" s="222"/>
      <c r="U326" s="222"/>
    </row>
    <row r="327" spans="20:21" x14ac:dyDescent="0.2">
      <c r="T327" s="222"/>
      <c r="U327" s="222"/>
    </row>
    <row r="328" spans="20:21" x14ac:dyDescent="0.2">
      <c r="T328" s="222"/>
      <c r="U328" s="222"/>
    </row>
    <row r="329" spans="20:21" x14ac:dyDescent="0.2">
      <c r="T329" s="222"/>
      <c r="U329" s="222"/>
    </row>
    <row r="330" spans="20:21" x14ac:dyDescent="0.2">
      <c r="T330" s="222"/>
      <c r="U330" s="222"/>
    </row>
    <row r="331" spans="20:21" x14ac:dyDescent="0.2">
      <c r="T331" s="222"/>
      <c r="U331" s="222"/>
    </row>
    <row r="332" spans="20:21" x14ac:dyDescent="0.2">
      <c r="T332" s="222"/>
      <c r="U332" s="222"/>
    </row>
    <row r="333" spans="20:21" x14ac:dyDescent="0.2">
      <c r="T333" s="222"/>
      <c r="U333" s="222"/>
    </row>
    <row r="334" spans="20:21" x14ac:dyDescent="0.2">
      <c r="T334" s="222"/>
      <c r="U334" s="222"/>
    </row>
    <row r="335" spans="20:21" x14ac:dyDescent="0.2">
      <c r="T335" s="222"/>
      <c r="U335" s="222"/>
    </row>
    <row r="336" spans="20:21" x14ac:dyDescent="0.2">
      <c r="T336" s="222"/>
      <c r="U336" s="222"/>
    </row>
    <row r="337" spans="20:21" x14ac:dyDescent="0.2">
      <c r="T337" s="222"/>
      <c r="U337" s="222"/>
    </row>
    <row r="338" spans="20:21" x14ac:dyDescent="0.2">
      <c r="T338" s="222"/>
      <c r="U338" s="222"/>
    </row>
    <row r="339" spans="20:21" x14ac:dyDescent="0.2">
      <c r="T339" s="222"/>
      <c r="U339" s="222"/>
    </row>
    <row r="340" spans="20:21" x14ac:dyDescent="0.2">
      <c r="T340" s="222"/>
      <c r="U340" s="222"/>
    </row>
    <row r="341" spans="20:21" x14ac:dyDescent="0.2">
      <c r="T341" s="222"/>
      <c r="U341" s="222"/>
    </row>
    <row r="342" spans="20:21" x14ac:dyDescent="0.2">
      <c r="T342" s="222"/>
      <c r="U342" s="222"/>
    </row>
    <row r="343" spans="20:21" x14ac:dyDescent="0.2">
      <c r="T343" s="222"/>
      <c r="U343" s="222"/>
    </row>
    <row r="344" spans="20:21" x14ac:dyDescent="0.2">
      <c r="T344" s="222"/>
      <c r="U344" s="222"/>
    </row>
    <row r="345" spans="20:21" x14ac:dyDescent="0.2">
      <c r="T345" s="222"/>
      <c r="U345" s="222"/>
    </row>
    <row r="346" spans="20:21" x14ac:dyDescent="0.2">
      <c r="T346" s="222"/>
      <c r="U346" s="222"/>
    </row>
    <row r="347" spans="20:21" x14ac:dyDescent="0.2">
      <c r="T347" s="222"/>
      <c r="U347" s="222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CK183"/>
  <sheetViews>
    <sheetView topLeftCell="BC1" zoomScale="70" zoomScaleNormal="70" workbookViewId="0">
      <selection activeCell="AD13" sqref="AD13"/>
    </sheetView>
  </sheetViews>
  <sheetFormatPr defaultRowHeight="14.25" x14ac:dyDescent="0.2"/>
  <cols>
    <col min="1" max="1" width="44.42578125" style="285" customWidth="1"/>
    <col min="2" max="2" width="74.85546875" style="285" hidden="1" customWidth="1"/>
    <col min="3" max="3" width="46.28515625" style="285" customWidth="1"/>
    <col min="4" max="73" width="9.140625" style="286"/>
    <col min="74" max="74" width="35.28515625" style="285" bestFit="1" customWidth="1"/>
    <col min="75" max="16384" width="9.140625" style="285"/>
  </cols>
  <sheetData>
    <row r="1" spans="1:89" ht="22.5" x14ac:dyDescent="0.2">
      <c r="A1" s="284" t="s">
        <v>342</v>
      </c>
      <c r="AC1" s="286">
        <v>100</v>
      </c>
      <c r="BB1" s="287" t="s">
        <v>343</v>
      </c>
      <c r="BC1" s="288"/>
      <c r="BD1" s="288" t="s">
        <v>344</v>
      </c>
      <c r="BE1" s="288" t="s">
        <v>345</v>
      </c>
      <c r="BF1" s="288" t="s">
        <v>346</v>
      </c>
    </row>
    <row r="2" spans="1:89" x14ac:dyDescent="0.2">
      <c r="A2" s="285" t="s">
        <v>612</v>
      </c>
      <c r="B2" s="289"/>
      <c r="C2" s="289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  <c r="AG2" s="290"/>
      <c r="AH2" s="290"/>
      <c r="AI2" s="290"/>
      <c r="AJ2" s="290"/>
      <c r="AK2" s="290"/>
      <c r="AL2" s="290"/>
      <c r="AM2" s="290"/>
      <c r="AN2" s="290"/>
      <c r="AO2" s="290"/>
      <c r="AP2" s="290"/>
      <c r="AQ2" s="290"/>
      <c r="AR2" s="290"/>
      <c r="AS2" s="290"/>
      <c r="AT2" s="290"/>
      <c r="AU2" s="290"/>
      <c r="AV2" s="290"/>
      <c r="AW2" s="290"/>
      <c r="AX2" s="290"/>
      <c r="AY2" s="290"/>
      <c r="AZ2" s="290"/>
      <c r="BA2" s="290"/>
      <c r="BB2" s="291" t="s">
        <v>347</v>
      </c>
      <c r="BD2" s="292">
        <v>0.37830319888734398</v>
      </c>
      <c r="BE2" s="292">
        <v>2.7234848484848486</v>
      </c>
      <c r="BF2" s="292">
        <v>2.6433823529411766</v>
      </c>
      <c r="BG2" s="290"/>
      <c r="BH2" s="290"/>
      <c r="BI2" s="290"/>
      <c r="BJ2" s="290"/>
      <c r="BK2" s="290"/>
      <c r="BL2" s="290"/>
      <c r="BM2" s="290"/>
      <c r="BN2" s="290"/>
      <c r="BO2" s="290"/>
      <c r="BP2" s="290"/>
      <c r="BQ2" s="290"/>
      <c r="BR2" s="290"/>
      <c r="BS2" s="290"/>
      <c r="BT2" s="290"/>
      <c r="BU2" s="290"/>
    </row>
    <row r="3" spans="1:89" x14ac:dyDescent="0.2">
      <c r="A3" s="285" t="s">
        <v>551</v>
      </c>
      <c r="B3" s="289" t="s">
        <v>267</v>
      </c>
      <c r="C3" s="289"/>
      <c r="D3" s="290" t="s">
        <v>267</v>
      </c>
      <c r="E3" s="290" t="s">
        <v>268</v>
      </c>
      <c r="F3" s="290" t="s">
        <v>269</v>
      </c>
      <c r="G3" s="290" t="s">
        <v>270</v>
      </c>
      <c r="H3" s="290" t="s">
        <v>271</v>
      </c>
      <c r="I3" s="290" t="str">
        <f>D3</f>
        <v>C</v>
      </c>
      <c r="J3" s="290" t="str">
        <f t="shared" ref="J3:BU3" si="0">E3</f>
        <v>D</v>
      </c>
      <c r="K3" s="290" t="str">
        <f t="shared" si="0"/>
        <v>E</v>
      </c>
      <c r="L3" s="290" t="str">
        <f t="shared" si="0"/>
        <v>F</v>
      </c>
      <c r="M3" s="290" t="str">
        <f t="shared" si="0"/>
        <v>G</v>
      </c>
      <c r="N3" s="290" t="str">
        <f t="shared" si="0"/>
        <v>C</v>
      </c>
      <c r="O3" s="290" t="str">
        <f t="shared" si="0"/>
        <v>D</v>
      </c>
      <c r="P3" s="290" t="str">
        <f t="shared" si="0"/>
        <v>E</v>
      </c>
      <c r="Q3" s="290" t="str">
        <f t="shared" si="0"/>
        <v>F</v>
      </c>
      <c r="R3" s="290" t="str">
        <f t="shared" si="0"/>
        <v>G</v>
      </c>
      <c r="S3" s="290" t="str">
        <f t="shared" si="0"/>
        <v>C</v>
      </c>
      <c r="T3" s="290" t="str">
        <f t="shared" si="0"/>
        <v>D</v>
      </c>
      <c r="U3" s="290" t="str">
        <f t="shared" si="0"/>
        <v>E</v>
      </c>
      <c r="V3" s="290" t="str">
        <f t="shared" si="0"/>
        <v>F</v>
      </c>
      <c r="W3" s="290" t="str">
        <f t="shared" si="0"/>
        <v>G</v>
      </c>
      <c r="X3" s="290" t="str">
        <f t="shared" si="0"/>
        <v>C</v>
      </c>
      <c r="Y3" s="290" t="str">
        <f t="shared" si="0"/>
        <v>D</v>
      </c>
      <c r="Z3" s="290" t="str">
        <f t="shared" si="0"/>
        <v>E</v>
      </c>
      <c r="AA3" s="290" t="str">
        <f t="shared" si="0"/>
        <v>F</v>
      </c>
      <c r="AB3" s="290" t="str">
        <f t="shared" si="0"/>
        <v>G</v>
      </c>
      <c r="AC3" s="290" t="str">
        <f t="shared" si="0"/>
        <v>C</v>
      </c>
      <c r="AD3" s="290" t="str">
        <f t="shared" si="0"/>
        <v>D</v>
      </c>
      <c r="AE3" s="290" t="str">
        <f t="shared" si="0"/>
        <v>E</v>
      </c>
      <c r="AF3" s="290" t="str">
        <f t="shared" si="0"/>
        <v>F</v>
      </c>
      <c r="AG3" s="290" t="str">
        <f t="shared" si="0"/>
        <v>G</v>
      </c>
      <c r="AH3" s="290" t="str">
        <f>BQ3</f>
        <v>C</v>
      </c>
      <c r="AI3" s="290" t="str">
        <f>BR3</f>
        <v>D</v>
      </c>
      <c r="AJ3" s="290" t="str">
        <f>BS3</f>
        <v>E</v>
      </c>
      <c r="AK3" s="290" t="str">
        <f>BT3</f>
        <v>F</v>
      </c>
      <c r="AL3" s="290" t="str">
        <f>BU3</f>
        <v>G</v>
      </c>
      <c r="AM3" s="290" t="str">
        <f t="shared" ref="AM3:AQ3" si="1">AH3</f>
        <v>C</v>
      </c>
      <c r="AN3" s="290" t="str">
        <f t="shared" si="1"/>
        <v>D</v>
      </c>
      <c r="AO3" s="290" t="str">
        <f t="shared" si="1"/>
        <v>E</v>
      </c>
      <c r="AP3" s="290" t="str">
        <f t="shared" si="1"/>
        <v>F</v>
      </c>
      <c r="AQ3" s="290" t="str">
        <f t="shared" si="1"/>
        <v>G</v>
      </c>
      <c r="AR3" s="290" t="str">
        <f>AC3</f>
        <v>C</v>
      </c>
      <c r="AS3" s="290" t="str">
        <f>AD3</f>
        <v>D</v>
      </c>
      <c r="AT3" s="290" t="str">
        <f>AE3</f>
        <v>E</v>
      </c>
      <c r="AU3" s="290" t="str">
        <f>AF3</f>
        <v>F</v>
      </c>
      <c r="AV3" s="290" t="str">
        <f>AG3</f>
        <v>G</v>
      </c>
      <c r="AW3" s="290" t="str">
        <f t="shared" si="0"/>
        <v>C</v>
      </c>
      <c r="AX3" s="290" t="str">
        <f t="shared" si="0"/>
        <v>D</v>
      </c>
      <c r="AY3" s="290" t="str">
        <f t="shared" si="0"/>
        <v>E</v>
      </c>
      <c r="AZ3" s="290" t="str">
        <f t="shared" si="0"/>
        <v>F</v>
      </c>
      <c r="BA3" s="290" t="str">
        <f t="shared" si="0"/>
        <v>G</v>
      </c>
      <c r="BB3" s="290" t="str">
        <f t="shared" si="0"/>
        <v>C</v>
      </c>
      <c r="BC3" s="290" t="str">
        <f t="shared" si="0"/>
        <v>D</v>
      </c>
      <c r="BD3" s="290" t="str">
        <f t="shared" si="0"/>
        <v>E</v>
      </c>
      <c r="BE3" s="290" t="str">
        <f t="shared" si="0"/>
        <v>F</v>
      </c>
      <c r="BF3" s="290" t="str">
        <f t="shared" si="0"/>
        <v>G</v>
      </c>
      <c r="BG3" s="290" t="str">
        <f t="shared" si="0"/>
        <v>C</v>
      </c>
      <c r="BH3" s="290" t="str">
        <f t="shared" si="0"/>
        <v>D</v>
      </c>
      <c r="BI3" s="290" t="str">
        <f t="shared" si="0"/>
        <v>E</v>
      </c>
      <c r="BJ3" s="290" t="str">
        <f t="shared" si="0"/>
        <v>F</v>
      </c>
      <c r="BK3" s="290" t="str">
        <f t="shared" si="0"/>
        <v>G</v>
      </c>
      <c r="BL3" s="290" t="str">
        <f t="shared" si="0"/>
        <v>C</v>
      </c>
      <c r="BM3" s="290" t="str">
        <f t="shared" si="0"/>
        <v>D</v>
      </c>
      <c r="BN3" s="290" t="str">
        <f t="shared" si="0"/>
        <v>E</v>
      </c>
      <c r="BO3" s="290" t="str">
        <f t="shared" si="0"/>
        <v>F</v>
      </c>
      <c r="BP3" s="290" t="str">
        <f t="shared" si="0"/>
        <v>G</v>
      </c>
      <c r="BQ3" s="290" t="str">
        <f t="shared" si="0"/>
        <v>C</v>
      </c>
      <c r="BR3" s="290" t="str">
        <f t="shared" si="0"/>
        <v>D</v>
      </c>
      <c r="BS3" s="290" t="str">
        <f t="shared" si="0"/>
        <v>E</v>
      </c>
      <c r="BT3" s="290" t="str">
        <f t="shared" si="0"/>
        <v>F</v>
      </c>
      <c r="BU3" s="290" t="str">
        <f t="shared" si="0"/>
        <v>G</v>
      </c>
    </row>
    <row r="4" spans="1:89" s="297" customFormat="1" ht="36" customHeight="1" x14ac:dyDescent="0.2">
      <c r="A4" s="293" t="s">
        <v>348</v>
      </c>
      <c r="B4" s="294" t="s">
        <v>349</v>
      </c>
      <c r="C4" s="295" t="s">
        <v>350</v>
      </c>
      <c r="D4" s="550" t="s">
        <v>351</v>
      </c>
      <c r="E4" s="549"/>
      <c r="F4" s="549"/>
      <c r="G4" s="549"/>
      <c r="H4" s="551"/>
      <c r="I4" s="549" t="s">
        <v>352</v>
      </c>
      <c r="J4" s="549"/>
      <c r="K4" s="549"/>
      <c r="L4" s="549"/>
      <c r="M4" s="551"/>
      <c r="N4" s="549" t="s">
        <v>353</v>
      </c>
      <c r="O4" s="549"/>
      <c r="P4" s="549"/>
      <c r="Q4" s="549"/>
      <c r="R4" s="551"/>
      <c r="S4" s="549" t="s">
        <v>354</v>
      </c>
      <c r="T4" s="549"/>
      <c r="U4" s="549"/>
      <c r="V4" s="549"/>
      <c r="W4" s="551"/>
      <c r="X4" s="549" t="s">
        <v>355</v>
      </c>
      <c r="Y4" s="549"/>
      <c r="Z4" s="549"/>
      <c r="AA4" s="549"/>
      <c r="AB4" s="551"/>
      <c r="AC4" s="549" t="s">
        <v>356</v>
      </c>
      <c r="AD4" s="549"/>
      <c r="AE4" s="549"/>
      <c r="AF4" s="549"/>
      <c r="AG4" s="551"/>
      <c r="AH4" s="549" t="s">
        <v>357</v>
      </c>
      <c r="AI4" s="549"/>
      <c r="AJ4" s="549"/>
      <c r="AK4" s="549"/>
      <c r="AL4" s="551"/>
      <c r="AM4" s="549" t="s">
        <v>358</v>
      </c>
      <c r="AN4" s="549"/>
      <c r="AO4" s="549"/>
      <c r="AP4" s="549"/>
      <c r="AQ4" s="551"/>
      <c r="AR4" s="549" t="s">
        <v>359</v>
      </c>
      <c r="AS4" s="549"/>
      <c r="AT4" s="549"/>
      <c r="AU4" s="549"/>
      <c r="AV4" s="551"/>
      <c r="AW4" s="549" t="s">
        <v>360</v>
      </c>
      <c r="AX4" s="549"/>
      <c r="AY4" s="549"/>
      <c r="AZ4" s="549"/>
      <c r="BA4" s="549"/>
      <c r="BB4" s="550" t="s">
        <v>361</v>
      </c>
      <c r="BC4" s="549"/>
      <c r="BD4" s="549"/>
      <c r="BE4" s="549"/>
      <c r="BF4" s="551"/>
      <c r="BG4" s="549" t="s">
        <v>362</v>
      </c>
      <c r="BH4" s="549"/>
      <c r="BI4" s="549"/>
      <c r="BJ4" s="549"/>
      <c r="BK4" s="549"/>
      <c r="BL4" s="550" t="s">
        <v>363</v>
      </c>
      <c r="BM4" s="549"/>
      <c r="BN4" s="549"/>
      <c r="BO4" s="549"/>
      <c r="BP4" s="549"/>
      <c r="BQ4" s="550" t="s">
        <v>364</v>
      </c>
      <c r="BR4" s="549"/>
      <c r="BS4" s="549"/>
      <c r="BT4" s="549"/>
      <c r="BU4" s="551"/>
      <c r="BV4" s="296" t="s">
        <v>365</v>
      </c>
      <c r="BW4" s="552" t="s">
        <v>366</v>
      </c>
      <c r="BX4" s="553"/>
      <c r="BY4" s="553"/>
      <c r="BZ4" s="553"/>
      <c r="CA4" s="554"/>
      <c r="CB4" s="552" t="s">
        <v>367</v>
      </c>
      <c r="CC4" s="553"/>
      <c r="CD4" s="553"/>
      <c r="CE4" s="553"/>
      <c r="CF4" s="554"/>
      <c r="CG4" s="552" t="s">
        <v>368</v>
      </c>
      <c r="CH4" s="553"/>
      <c r="CI4" s="553"/>
      <c r="CJ4" s="553"/>
      <c r="CK4" s="554"/>
    </row>
    <row r="5" spans="1:89" x14ac:dyDescent="0.2">
      <c r="A5" s="298"/>
      <c r="B5" s="299"/>
      <c r="C5" s="300"/>
      <c r="D5" s="301">
        <v>2015</v>
      </c>
      <c r="E5" s="302">
        <v>2020</v>
      </c>
      <c r="F5" s="302">
        <v>2030</v>
      </c>
      <c r="G5" s="302">
        <v>2040</v>
      </c>
      <c r="H5" s="303">
        <v>2050</v>
      </c>
      <c r="I5" s="302">
        <v>2015</v>
      </c>
      <c r="J5" s="302">
        <v>2020</v>
      </c>
      <c r="K5" s="302">
        <v>2030</v>
      </c>
      <c r="L5" s="302">
        <v>2040</v>
      </c>
      <c r="M5" s="303">
        <v>2050</v>
      </c>
      <c r="N5" s="302">
        <v>2015</v>
      </c>
      <c r="O5" s="302">
        <v>2020</v>
      </c>
      <c r="P5" s="302">
        <v>2030</v>
      </c>
      <c r="Q5" s="302">
        <v>2040</v>
      </c>
      <c r="R5" s="303">
        <v>2050</v>
      </c>
      <c r="S5" s="302">
        <v>2015</v>
      </c>
      <c r="T5" s="302">
        <v>2020</v>
      </c>
      <c r="U5" s="302">
        <v>2030</v>
      </c>
      <c r="V5" s="302">
        <v>2040</v>
      </c>
      <c r="W5" s="303">
        <v>2050</v>
      </c>
      <c r="X5" s="302">
        <v>2015</v>
      </c>
      <c r="Y5" s="302">
        <v>2020</v>
      </c>
      <c r="Z5" s="302">
        <v>2030</v>
      </c>
      <c r="AA5" s="302">
        <v>2040</v>
      </c>
      <c r="AB5" s="303">
        <v>2050</v>
      </c>
      <c r="AC5" s="302">
        <v>2015</v>
      </c>
      <c r="AD5" s="302">
        <v>2020</v>
      </c>
      <c r="AE5" s="302">
        <v>2030</v>
      </c>
      <c r="AF5" s="302">
        <v>2040</v>
      </c>
      <c r="AG5" s="303">
        <v>2050</v>
      </c>
      <c r="AH5" s="302">
        <v>2015</v>
      </c>
      <c r="AI5" s="302">
        <v>2020</v>
      </c>
      <c r="AJ5" s="302">
        <v>2030</v>
      </c>
      <c r="AK5" s="302">
        <v>2040</v>
      </c>
      <c r="AL5" s="303">
        <v>2050</v>
      </c>
      <c r="AM5" s="302">
        <v>2015</v>
      </c>
      <c r="AN5" s="302">
        <v>2020</v>
      </c>
      <c r="AO5" s="302">
        <v>2030</v>
      </c>
      <c r="AP5" s="302">
        <v>2040</v>
      </c>
      <c r="AQ5" s="303">
        <v>2050</v>
      </c>
      <c r="AR5" s="302">
        <v>2015</v>
      </c>
      <c r="AS5" s="302">
        <v>2020</v>
      </c>
      <c r="AT5" s="302">
        <v>2030</v>
      </c>
      <c r="AU5" s="302">
        <v>2040</v>
      </c>
      <c r="AV5" s="303">
        <v>2050</v>
      </c>
      <c r="AW5" s="302">
        <v>2015</v>
      </c>
      <c r="AX5" s="302">
        <v>2020</v>
      </c>
      <c r="AY5" s="302">
        <v>2030</v>
      </c>
      <c r="AZ5" s="302">
        <v>2040</v>
      </c>
      <c r="BA5" s="302">
        <v>2050</v>
      </c>
      <c r="BB5" s="301">
        <v>2015</v>
      </c>
      <c r="BC5" s="302">
        <v>2020</v>
      </c>
      <c r="BD5" s="302">
        <v>2030</v>
      </c>
      <c r="BE5" s="302">
        <v>2040</v>
      </c>
      <c r="BF5" s="303">
        <v>2050</v>
      </c>
      <c r="BG5" s="302">
        <v>2015</v>
      </c>
      <c r="BH5" s="302">
        <v>2020</v>
      </c>
      <c r="BI5" s="302">
        <v>2030</v>
      </c>
      <c r="BJ5" s="302">
        <v>2040</v>
      </c>
      <c r="BK5" s="302">
        <v>2050</v>
      </c>
      <c r="BL5" s="301">
        <v>2015</v>
      </c>
      <c r="BM5" s="302">
        <v>2020</v>
      </c>
      <c r="BN5" s="302">
        <v>2030</v>
      </c>
      <c r="BO5" s="302">
        <v>2040</v>
      </c>
      <c r="BP5" s="302">
        <v>2050</v>
      </c>
      <c r="BQ5" s="301">
        <v>2015</v>
      </c>
      <c r="BR5" s="302">
        <v>2020</v>
      </c>
      <c r="BS5" s="302">
        <v>2030</v>
      </c>
      <c r="BT5" s="302">
        <v>2040</v>
      </c>
      <c r="BU5" s="303">
        <v>2050</v>
      </c>
      <c r="BV5" s="304"/>
      <c r="BW5" s="305">
        <v>2015</v>
      </c>
      <c r="BX5" s="306">
        <v>2020</v>
      </c>
      <c r="BY5" s="306">
        <v>2030</v>
      </c>
      <c r="BZ5" s="306">
        <v>2040</v>
      </c>
      <c r="CA5" s="307">
        <v>2050</v>
      </c>
      <c r="CB5" s="305">
        <v>2015</v>
      </c>
      <c r="CC5" s="306">
        <v>2020</v>
      </c>
      <c r="CD5" s="306">
        <v>2030</v>
      </c>
      <c r="CE5" s="306">
        <v>2040</v>
      </c>
      <c r="CF5" s="306">
        <v>2050</v>
      </c>
      <c r="CG5" s="305">
        <v>2015</v>
      </c>
      <c r="CH5" s="306">
        <v>2020</v>
      </c>
      <c r="CI5" s="306">
        <v>2030</v>
      </c>
      <c r="CJ5" s="306">
        <v>2040</v>
      </c>
      <c r="CK5" s="307">
        <v>2050</v>
      </c>
    </row>
    <row r="6" spans="1:89" s="315" customFormat="1" x14ac:dyDescent="0.2">
      <c r="A6" s="308" t="s">
        <v>369</v>
      </c>
      <c r="B6" s="309"/>
      <c r="C6" s="310"/>
      <c r="D6" s="311"/>
      <c r="E6" s="312"/>
      <c r="F6" s="312"/>
      <c r="G6" s="312"/>
      <c r="H6" s="313"/>
      <c r="I6" s="312"/>
      <c r="J6" s="312"/>
      <c r="K6" s="312"/>
      <c r="L6" s="312"/>
      <c r="M6" s="313"/>
      <c r="N6" s="312"/>
      <c r="O6" s="312"/>
      <c r="P6" s="312"/>
      <c r="Q6" s="312"/>
      <c r="R6" s="313"/>
      <c r="S6" s="312"/>
      <c r="T6" s="312"/>
      <c r="U6" s="312"/>
      <c r="V6" s="312"/>
      <c r="W6" s="313"/>
      <c r="X6" s="312"/>
      <c r="Y6" s="312"/>
      <c r="Z6" s="312"/>
      <c r="AA6" s="312"/>
      <c r="AB6" s="313"/>
      <c r="AC6" s="312">
        <v>0</v>
      </c>
      <c r="AD6" s="312">
        <v>0</v>
      </c>
      <c r="AE6" s="312">
        <v>0</v>
      </c>
      <c r="AF6" s="312">
        <v>0</v>
      </c>
      <c r="AG6" s="313">
        <v>0</v>
      </c>
      <c r="AH6" s="312">
        <v>0</v>
      </c>
      <c r="AI6" s="312">
        <v>0</v>
      </c>
      <c r="AJ6" s="312">
        <v>0</v>
      </c>
      <c r="AK6" s="312">
        <v>0</v>
      </c>
      <c r="AL6" s="313">
        <v>0</v>
      </c>
      <c r="AM6" s="312">
        <v>0</v>
      </c>
      <c r="AN6" s="312">
        <v>0</v>
      </c>
      <c r="AO6" s="312">
        <v>0</v>
      </c>
      <c r="AP6" s="312">
        <v>0</v>
      </c>
      <c r="AQ6" s="313">
        <v>0</v>
      </c>
      <c r="AR6" s="312"/>
      <c r="AS6" s="312"/>
      <c r="AT6" s="312"/>
      <c r="AU6" s="312"/>
      <c r="AV6" s="313"/>
      <c r="AW6" s="312"/>
      <c r="AX6" s="312"/>
      <c r="AY6" s="312"/>
      <c r="AZ6" s="312"/>
      <c r="BA6" s="313"/>
      <c r="BB6" s="312"/>
      <c r="BC6" s="312"/>
      <c r="BD6" s="312"/>
      <c r="BE6" s="312"/>
      <c r="BF6" s="313"/>
      <c r="BG6" s="312"/>
      <c r="BH6" s="312"/>
      <c r="BI6" s="312"/>
      <c r="BJ6" s="312"/>
      <c r="BK6" s="313"/>
      <c r="BL6" s="312"/>
      <c r="BM6" s="312"/>
      <c r="BN6" s="312"/>
      <c r="BO6" s="312"/>
      <c r="BP6" s="313"/>
      <c r="BQ6" s="311"/>
      <c r="BR6" s="312"/>
      <c r="BS6" s="312"/>
      <c r="BT6" s="312"/>
      <c r="BU6" s="313"/>
      <c r="BV6" s="314"/>
      <c r="BW6" s="312"/>
      <c r="BX6" s="312"/>
      <c r="BY6" s="312"/>
      <c r="BZ6" s="312"/>
      <c r="CA6" s="313"/>
      <c r="CB6" s="312"/>
      <c r="CC6" s="312"/>
      <c r="CD6" s="312"/>
      <c r="CE6" s="312"/>
      <c r="CF6" s="313"/>
      <c r="CG6" s="311"/>
      <c r="CH6" s="312"/>
      <c r="CI6" s="312"/>
      <c r="CJ6" s="312"/>
      <c r="CK6" s="313"/>
    </row>
    <row r="7" spans="1:89" s="315" customFormat="1" x14ac:dyDescent="0.2">
      <c r="A7" s="316" t="s">
        <v>370</v>
      </c>
      <c r="B7" s="317" t="s">
        <v>472</v>
      </c>
      <c r="C7" s="318" t="s">
        <v>371</v>
      </c>
      <c r="D7" s="319" t="s">
        <v>473</v>
      </c>
      <c r="E7" s="320" t="s">
        <v>473</v>
      </c>
      <c r="F7" s="320" t="s">
        <v>473</v>
      </c>
      <c r="G7" s="320" t="s">
        <v>473</v>
      </c>
      <c r="H7" s="321" t="s">
        <v>473</v>
      </c>
      <c r="I7" s="320"/>
      <c r="J7" s="320"/>
      <c r="K7" s="320"/>
      <c r="L7" s="320"/>
      <c r="M7" s="321"/>
      <c r="N7" s="320">
        <v>100</v>
      </c>
      <c r="O7" s="320">
        <v>100</v>
      </c>
      <c r="P7" s="320">
        <v>100</v>
      </c>
      <c r="Q7" s="320">
        <v>100</v>
      </c>
      <c r="R7" s="321">
        <v>100</v>
      </c>
      <c r="S7" s="320"/>
      <c r="T7" s="320"/>
      <c r="U7" s="320"/>
      <c r="V7" s="320"/>
      <c r="W7" s="321"/>
      <c r="X7" s="320">
        <v>100</v>
      </c>
      <c r="Y7" s="320">
        <v>100</v>
      </c>
      <c r="Z7" s="320">
        <v>100</v>
      </c>
      <c r="AA7" s="320">
        <v>100</v>
      </c>
      <c r="AB7" s="321">
        <v>100</v>
      </c>
      <c r="AC7" s="322">
        <v>1</v>
      </c>
      <c r="AD7" s="322">
        <v>1</v>
      </c>
      <c r="AE7" s="322">
        <v>1</v>
      </c>
      <c r="AF7" s="322">
        <v>1</v>
      </c>
      <c r="AG7" s="323">
        <v>1</v>
      </c>
      <c r="AH7" s="322">
        <v>0</v>
      </c>
      <c r="AI7" s="322">
        <v>0</v>
      </c>
      <c r="AJ7" s="322">
        <v>0</v>
      </c>
      <c r="AK7" s="322">
        <v>0</v>
      </c>
      <c r="AL7" s="323">
        <v>0</v>
      </c>
      <c r="AM7" s="322">
        <v>0</v>
      </c>
      <c r="AN7" s="322">
        <v>0</v>
      </c>
      <c r="AO7" s="322">
        <v>0</v>
      </c>
      <c r="AP7" s="322">
        <v>0</v>
      </c>
      <c r="AQ7" s="323">
        <v>0</v>
      </c>
      <c r="AR7" s="320"/>
      <c r="AS7" s="320"/>
      <c r="AT7" s="320"/>
      <c r="AU7" s="320"/>
      <c r="AV7" s="321"/>
      <c r="AW7" s="320">
        <v>20</v>
      </c>
      <c r="AX7" s="320">
        <v>20</v>
      </c>
      <c r="AY7" s="320">
        <v>20</v>
      </c>
      <c r="AZ7" s="320">
        <v>20</v>
      </c>
      <c r="BA7" s="321">
        <v>20</v>
      </c>
      <c r="BB7" s="324">
        <v>6600</v>
      </c>
      <c r="BC7" s="324">
        <v>6600</v>
      </c>
      <c r="BD7" s="324">
        <v>6600</v>
      </c>
      <c r="BE7" s="324">
        <v>6600</v>
      </c>
      <c r="BF7" s="325">
        <v>6600</v>
      </c>
      <c r="BG7" s="324">
        <v>0</v>
      </c>
      <c r="BH7" s="324">
        <v>0</v>
      </c>
      <c r="BI7" s="324">
        <v>0</v>
      </c>
      <c r="BJ7" s="324">
        <v>0</v>
      </c>
      <c r="BK7" s="325">
        <v>0</v>
      </c>
      <c r="BL7" s="324">
        <v>270</v>
      </c>
      <c r="BM7" s="324">
        <v>270</v>
      </c>
      <c r="BN7" s="324">
        <v>270</v>
      </c>
      <c r="BO7" s="324">
        <v>270</v>
      </c>
      <c r="BP7" s="325">
        <v>270</v>
      </c>
      <c r="BQ7" s="326">
        <v>0</v>
      </c>
      <c r="BR7" s="324">
        <v>0</v>
      </c>
      <c r="BS7" s="324">
        <v>0</v>
      </c>
      <c r="BT7" s="324">
        <v>0</v>
      </c>
      <c r="BU7" s="325">
        <v>0</v>
      </c>
      <c r="BV7" s="327"/>
      <c r="BW7" s="328">
        <v>293.33333333333331</v>
      </c>
      <c r="BX7" s="328">
        <v>293.33333333333331</v>
      </c>
      <c r="BY7" s="328">
        <v>293.33333333333331</v>
      </c>
      <c r="BZ7" s="328">
        <v>293.33333333333331</v>
      </c>
      <c r="CA7" s="329">
        <v>293.33333333333331</v>
      </c>
      <c r="CB7" s="328">
        <v>0</v>
      </c>
      <c r="CC7" s="328">
        <v>0</v>
      </c>
      <c r="CD7" s="328">
        <v>0</v>
      </c>
      <c r="CE7" s="328">
        <v>0</v>
      </c>
      <c r="CF7" s="329">
        <v>0</v>
      </c>
      <c r="CG7" s="330">
        <v>12</v>
      </c>
      <c r="CH7" s="328">
        <v>12</v>
      </c>
      <c r="CI7" s="328">
        <v>12</v>
      </c>
      <c r="CJ7" s="328">
        <v>12</v>
      </c>
      <c r="CK7" s="329">
        <v>12</v>
      </c>
    </row>
    <row r="8" spans="1:89" s="315" customFormat="1" x14ac:dyDescent="0.2">
      <c r="A8" s="316" t="s">
        <v>372</v>
      </c>
      <c r="B8" s="317" t="s">
        <v>371</v>
      </c>
      <c r="C8" s="318" t="s">
        <v>373</v>
      </c>
      <c r="D8" s="319">
        <v>400</v>
      </c>
      <c r="E8" s="320">
        <v>400</v>
      </c>
      <c r="F8" s="320">
        <v>400</v>
      </c>
      <c r="G8" s="320">
        <v>400</v>
      </c>
      <c r="H8" s="321">
        <v>400</v>
      </c>
      <c r="I8" s="320"/>
      <c r="J8" s="320"/>
      <c r="K8" s="320"/>
      <c r="L8" s="320"/>
      <c r="M8" s="321"/>
      <c r="N8" s="320">
        <v>100</v>
      </c>
      <c r="O8" s="320">
        <v>100</v>
      </c>
      <c r="P8" s="320">
        <v>100</v>
      </c>
      <c r="Q8" s="320">
        <v>100</v>
      </c>
      <c r="R8" s="321">
        <v>100</v>
      </c>
      <c r="S8" s="320"/>
      <c r="T8" s="320"/>
      <c r="U8" s="320"/>
      <c r="V8" s="320"/>
      <c r="W8" s="321"/>
      <c r="X8" s="320">
        <v>100</v>
      </c>
      <c r="Y8" s="320">
        <v>100</v>
      </c>
      <c r="Z8" s="320">
        <v>100</v>
      </c>
      <c r="AA8" s="320">
        <v>100</v>
      </c>
      <c r="AB8" s="321">
        <v>100</v>
      </c>
      <c r="AC8" s="322">
        <v>0.96</v>
      </c>
      <c r="AD8" s="322">
        <v>0.96</v>
      </c>
      <c r="AE8" s="322">
        <v>0.96</v>
      </c>
      <c r="AF8" s="322">
        <v>0.96</v>
      </c>
      <c r="AG8" s="323">
        <v>0.96</v>
      </c>
      <c r="AH8" s="322">
        <v>0</v>
      </c>
      <c r="AI8" s="322">
        <v>0</v>
      </c>
      <c r="AJ8" s="322">
        <v>0</v>
      </c>
      <c r="AK8" s="322">
        <v>0</v>
      </c>
      <c r="AL8" s="323">
        <v>0</v>
      </c>
      <c r="AM8" s="322">
        <v>0</v>
      </c>
      <c r="AN8" s="322">
        <v>0</v>
      </c>
      <c r="AO8" s="322">
        <v>0</v>
      </c>
      <c r="AP8" s="322">
        <v>0</v>
      </c>
      <c r="AQ8" s="323">
        <v>0</v>
      </c>
      <c r="AR8" s="320"/>
      <c r="AS8" s="320"/>
      <c r="AT8" s="320"/>
      <c r="AU8" s="320"/>
      <c r="AV8" s="321"/>
      <c r="AW8" s="320">
        <v>20</v>
      </c>
      <c r="AX8" s="320">
        <v>20</v>
      </c>
      <c r="AY8" s="320">
        <v>20</v>
      </c>
      <c r="AZ8" s="320">
        <v>20</v>
      </c>
      <c r="BA8" s="321">
        <v>20</v>
      </c>
      <c r="BB8" s="324">
        <v>32000</v>
      </c>
      <c r="BC8" s="324">
        <v>32000</v>
      </c>
      <c r="BD8" s="324">
        <v>32000</v>
      </c>
      <c r="BE8" s="324">
        <v>32000</v>
      </c>
      <c r="BF8" s="325">
        <v>32000</v>
      </c>
      <c r="BG8" s="324">
        <v>0</v>
      </c>
      <c r="BH8" s="324">
        <v>0</v>
      </c>
      <c r="BI8" s="324">
        <v>0</v>
      </c>
      <c r="BJ8" s="324">
        <v>0</v>
      </c>
      <c r="BK8" s="325">
        <v>0</v>
      </c>
      <c r="BL8" s="324">
        <v>500</v>
      </c>
      <c r="BM8" s="324">
        <v>500</v>
      </c>
      <c r="BN8" s="324">
        <v>500</v>
      </c>
      <c r="BO8" s="324">
        <v>500</v>
      </c>
      <c r="BP8" s="325">
        <v>500</v>
      </c>
      <c r="BQ8" s="326">
        <v>0</v>
      </c>
      <c r="BR8" s="324">
        <v>0</v>
      </c>
      <c r="BS8" s="324">
        <v>0</v>
      </c>
      <c r="BT8" s="324">
        <v>0</v>
      </c>
      <c r="BU8" s="325">
        <v>0</v>
      </c>
      <c r="BV8" s="327"/>
      <c r="BW8" s="324">
        <v>80</v>
      </c>
      <c r="BX8" s="324">
        <v>80</v>
      </c>
      <c r="BY8" s="324">
        <v>80</v>
      </c>
      <c r="BZ8" s="324">
        <v>80</v>
      </c>
      <c r="CA8" s="325">
        <v>80</v>
      </c>
      <c r="CB8" s="324">
        <v>0</v>
      </c>
      <c r="CC8" s="324">
        <v>0</v>
      </c>
      <c r="CD8" s="324">
        <v>0</v>
      </c>
      <c r="CE8" s="324">
        <v>0</v>
      </c>
      <c r="CF8" s="325">
        <v>0</v>
      </c>
      <c r="CG8" s="326">
        <v>1.25</v>
      </c>
      <c r="CH8" s="324">
        <v>1.25</v>
      </c>
      <c r="CI8" s="324">
        <v>1.25</v>
      </c>
      <c r="CJ8" s="324">
        <v>1.25</v>
      </c>
      <c r="CK8" s="325">
        <v>1.25</v>
      </c>
    </row>
    <row r="9" spans="1:89" s="315" customFormat="1" x14ac:dyDescent="0.2">
      <c r="A9" s="316" t="s">
        <v>374</v>
      </c>
      <c r="B9" s="317" t="s">
        <v>375</v>
      </c>
      <c r="C9" s="318" t="s">
        <v>375</v>
      </c>
      <c r="D9" s="319" t="s">
        <v>474</v>
      </c>
      <c r="E9" s="320" t="s">
        <v>475</v>
      </c>
      <c r="F9" s="320" t="s">
        <v>476</v>
      </c>
      <c r="G9" s="320" t="s">
        <v>476</v>
      </c>
      <c r="H9" s="321" t="s">
        <v>477</v>
      </c>
      <c r="I9" s="320"/>
      <c r="J9" s="320"/>
      <c r="K9" s="320"/>
      <c r="L9" s="320"/>
      <c r="M9" s="321"/>
      <c r="N9" s="320">
        <v>100</v>
      </c>
      <c r="O9" s="320">
        <v>100</v>
      </c>
      <c r="P9" s="320">
        <v>100</v>
      </c>
      <c r="Q9" s="320">
        <v>100</v>
      </c>
      <c r="R9" s="321">
        <v>100</v>
      </c>
      <c r="S9" s="320"/>
      <c r="T9" s="320"/>
      <c r="U9" s="320"/>
      <c r="V9" s="320"/>
      <c r="W9" s="321"/>
      <c r="X9" s="320">
        <v>100</v>
      </c>
      <c r="Y9" s="320">
        <v>100</v>
      </c>
      <c r="Z9" s="320">
        <v>100</v>
      </c>
      <c r="AA9" s="320">
        <v>100</v>
      </c>
      <c r="AB9" s="321">
        <v>100</v>
      </c>
      <c r="AC9" s="322">
        <v>1.02</v>
      </c>
      <c r="AD9" s="322">
        <v>1.02</v>
      </c>
      <c r="AE9" s="322">
        <v>1.02</v>
      </c>
      <c r="AF9" s="322">
        <v>1.02</v>
      </c>
      <c r="AG9" s="323">
        <v>1.02</v>
      </c>
      <c r="AH9" s="322">
        <v>0</v>
      </c>
      <c r="AI9" s="322">
        <v>0</v>
      </c>
      <c r="AJ9" s="322">
        <v>0</v>
      </c>
      <c r="AK9" s="322">
        <v>0</v>
      </c>
      <c r="AL9" s="323">
        <v>0</v>
      </c>
      <c r="AM9" s="322">
        <v>0</v>
      </c>
      <c r="AN9" s="322">
        <v>0</v>
      </c>
      <c r="AO9" s="322">
        <v>0</v>
      </c>
      <c r="AP9" s="322">
        <v>0</v>
      </c>
      <c r="AQ9" s="323">
        <v>0</v>
      </c>
      <c r="AR9" s="320" t="s">
        <v>478</v>
      </c>
      <c r="AS9" s="320" t="s">
        <v>479</v>
      </c>
      <c r="AT9" s="320" t="s">
        <v>480</v>
      </c>
      <c r="AU9" s="320" t="s">
        <v>481</v>
      </c>
      <c r="AV9" s="321" t="s">
        <v>481</v>
      </c>
      <c r="AW9" s="320">
        <v>22</v>
      </c>
      <c r="AX9" s="320">
        <v>22</v>
      </c>
      <c r="AY9" s="320">
        <v>22</v>
      </c>
      <c r="AZ9" s="320">
        <v>22</v>
      </c>
      <c r="BA9" s="321">
        <v>22</v>
      </c>
      <c r="BB9" s="320">
        <v>4000</v>
      </c>
      <c r="BC9" s="320">
        <v>4000</v>
      </c>
      <c r="BD9" s="320">
        <v>4000</v>
      </c>
      <c r="BE9" s="320">
        <v>4000</v>
      </c>
      <c r="BF9" s="321">
        <v>4000</v>
      </c>
      <c r="BG9" s="320">
        <v>2000</v>
      </c>
      <c r="BH9" s="320">
        <v>2000</v>
      </c>
      <c r="BI9" s="320">
        <v>2000</v>
      </c>
      <c r="BJ9" s="320">
        <v>2000</v>
      </c>
      <c r="BK9" s="321">
        <v>2000</v>
      </c>
      <c r="BL9" s="320">
        <v>235</v>
      </c>
      <c r="BM9" s="320">
        <v>235</v>
      </c>
      <c r="BN9" s="320">
        <v>235</v>
      </c>
      <c r="BO9" s="320">
        <v>235</v>
      </c>
      <c r="BP9" s="321">
        <v>235</v>
      </c>
      <c r="BQ9" s="319"/>
      <c r="BR9" s="320"/>
      <c r="BS9" s="320"/>
      <c r="BT9" s="320"/>
      <c r="BU9" s="321"/>
      <c r="BV9" s="327" t="s">
        <v>376</v>
      </c>
      <c r="BW9" s="328">
        <v>320</v>
      </c>
      <c r="BX9" s="328">
        <v>347.82608695652175</v>
      </c>
      <c r="BY9" s="328">
        <v>363.63636363636363</v>
      </c>
      <c r="BZ9" s="328">
        <v>363.63636363636363</v>
      </c>
      <c r="CA9" s="329">
        <v>380.95238095238096</v>
      </c>
      <c r="CB9" s="328">
        <v>160</v>
      </c>
      <c r="CC9" s="328">
        <v>173.91304347826087</v>
      </c>
      <c r="CD9" s="328">
        <v>181.81818181818181</v>
      </c>
      <c r="CE9" s="328">
        <v>181.81818181818181</v>
      </c>
      <c r="CF9" s="329">
        <v>190.47619047619048</v>
      </c>
      <c r="CG9" s="330">
        <v>18.8</v>
      </c>
      <c r="CH9" s="328">
        <v>20.434782608695652</v>
      </c>
      <c r="CI9" s="328">
        <v>21.363636363636363</v>
      </c>
      <c r="CJ9" s="328">
        <v>21.363636363636363</v>
      </c>
      <c r="CK9" s="329">
        <v>22.38095238095238</v>
      </c>
    </row>
    <row r="10" spans="1:89" s="315" customFormat="1" x14ac:dyDescent="0.2">
      <c r="A10" s="316" t="s">
        <v>377</v>
      </c>
      <c r="B10" s="317" t="s">
        <v>482</v>
      </c>
      <c r="C10" s="318" t="s">
        <v>378</v>
      </c>
      <c r="D10" s="319" t="s">
        <v>483</v>
      </c>
      <c r="E10" s="320" t="s">
        <v>483</v>
      </c>
      <c r="F10" s="320" t="s">
        <v>483</v>
      </c>
      <c r="G10" s="320" t="s">
        <v>483</v>
      </c>
      <c r="H10" s="321" t="s">
        <v>483</v>
      </c>
      <c r="I10" s="320"/>
      <c r="J10" s="320"/>
      <c r="K10" s="320"/>
      <c r="L10" s="320"/>
      <c r="M10" s="321"/>
      <c r="N10" s="320">
        <v>100</v>
      </c>
      <c r="O10" s="320">
        <v>100</v>
      </c>
      <c r="P10" s="320">
        <v>100</v>
      </c>
      <c r="Q10" s="320">
        <v>100</v>
      </c>
      <c r="R10" s="321">
        <v>100</v>
      </c>
      <c r="S10" s="320"/>
      <c r="T10" s="320"/>
      <c r="U10" s="320"/>
      <c r="V10" s="320"/>
      <c r="W10" s="321"/>
      <c r="X10" s="320">
        <v>100</v>
      </c>
      <c r="Y10" s="320">
        <v>100</v>
      </c>
      <c r="Z10" s="320">
        <v>100</v>
      </c>
      <c r="AA10" s="320">
        <v>100</v>
      </c>
      <c r="AB10" s="321">
        <v>100</v>
      </c>
      <c r="AC10" s="322">
        <v>1.02</v>
      </c>
      <c r="AD10" s="322">
        <v>1.02</v>
      </c>
      <c r="AE10" s="322">
        <v>1.02</v>
      </c>
      <c r="AF10" s="322">
        <v>1.02</v>
      </c>
      <c r="AG10" s="323">
        <v>1.02</v>
      </c>
      <c r="AH10" s="322">
        <v>0</v>
      </c>
      <c r="AI10" s="322">
        <v>0</v>
      </c>
      <c r="AJ10" s="322">
        <v>0</v>
      </c>
      <c r="AK10" s="322">
        <v>0</v>
      </c>
      <c r="AL10" s="323">
        <v>0</v>
      </c>
      <c r="AM10" s="322">
        <v>0</v>
      </c>
      <c r="AN10" s="322">
        <v>0</v>
      </c>
      <c r="AO10" s="322">
        <v>0</v>
      </c>
      <c r="AP10" s="322">
        <v>0</v>
      </c>
      <c r="AQ10" s="323">
        <v>0</v>
      </c>
      <c r="AR10" s="320">
        <v>400</v>
      </c>
      <c r="AS10" s="320">
        <v>300</v>
      </c>
      <c r="AT10" s="320">
        <v>200</v>
      </c>
      <c r="AU10" s="320">
        <v>100</v>
      </c>
      <c r="AV10" s="321">
        <v>100</v>
      </c>
      <c r="AW10" s="320">
        <v>25</v>
      </c>
      <c r="AX10" s="320">
        <v>25</v>
      </c>
      <c r="AY10" s="320">
        <v>25</v>
      </c>
      <c r="AZ10" s="320">
        <v>25</v>
      </c>
      <c r="BA10" s="321">
        <v>25</v>
      </c>
      <c r="BB10" s="320">
        <v>22500</v>
      </c>
      <c r="BC10" s="320">
        <v>20000</v>
      </c>
      <c r="BD10" s="320">
        <v>17500</v>
      </c>
      <c r="BE10" s="320">
        <v>17500</v>
      </c>
      <c r="BF10" s="321">
        <v>17500</v>
      </c>
      <c r="BG10" s="320">
        <v>2000</v>
      </c>
      <c r="BH10" s="320">
        <v>2000</v>
      </c>
      <c r="BI10" s="320">
        <v>2000</v>
      </c>
      <c r="BJ10" s="320">
        <v>2000</v>
      </c>
      <c r="BK10" s="321">
        <v>2000</v>
      </c>
      <c r="BL10" s="324">
        <v>1540</v>
      </c>
      <c r="BM10" s="320">
        <v>1540</v>
      </c>
      <c r="BN10" s="320">
        <v>1540</v>
      </c>
      <c r="BO10" s="320">
        <v>1540</v>
      </c>
      <c r="BP10" s="321">
        <v>1540</v>
      </c>
      <c r="BQ10" s="319">
        <v>2</v>
      </c>
      <c r="BR10" s="320">
        <v>2</v>
      </c>
      <c r="BS10" s="320">
        <v>2</v>
      </c>
      <c r="BT10" s="320">
        <v>2</v>
      </c>
      <c r="BU10" s="321">
        <v>2</v>
      </c>
      <c r="BV10" s="327" t="s">
        <v>376</v>
      </c>
      <c r="BW10" s="328">
        <v>58.441558441558442</v>
      </c>
      <c r="BX10" s="328">
        <v>51.948051948051948</v>
      </c>
      <c r="BY10" s="328">
        <v>45.454545454545453</v>
      </c>
      <c r="BZ10" s="328">
        <v>45.454545454545453</v>
      </c>
      <c r="CA10" s="329">
        <v>45.454545454545453</v>
      </c>
      <c r="CB10" s="328">
        <v>5.1948051948051948</v>
      </c>
      <c r="CC10" s="328">
        <v>5.1948051948051948</v>
      </c>
      <c r="CD10" s="328">
        <v>5.1948051948051948</v>
      </c>
      <c r="CE10" s="328">
        <v>5.1948051948051948</v>
      </c>
      <c r="CF10" s="329">
        <v>5.1948051948051948</v>
      </c>
      <c r="CG10" s="331">
        <v>4</v>
      </c>
      <c r="CH10" s="331">
        <v>4</v>
      </c>
      <c r="CI10" s="331">
        <v>4</v>
      </c>
      <c r="CJ10" s="331">
        <v>4</v>
      </c>
      <c r="CK10" s="332">
        <v>4</v>
      </c>
    </row>
    <row r="11" spans="1:89" s="315" customFormat="1" x14ac:dyDescent="0.2">
      <c r="A11" s="316" t="s">
        <v>379</v>
      </c>
      <c r="B11" s="317" t="s">
        <v>484</v>
      </c>
      <c r="C11" s="318" t="s">
        <v>380</v>
      </c>
      <c r="D11" s="319" t="s">
        <v>485</v>
      </c>
      <c r="E11" s="320" t="s">
        <v>474</v>
      </c>
      <c r="F11" s="320" t="s">
        <v>486</v>
      </c>
      <c r="G11" s="320" t="s">
        <v>486</v>
      </c>
      <c r="H11" s="321" t="s">
        <v>486</v>
      </c>
      <c r="I11" s="320"/>
      <c r="J11" s="320"/>
      <c r="K11" s="320"/>
      <c r="L11" s="320"/>
      <c r="M11" s="321"/>
      <c r="N11" s="320">
        <v>100</v>
      </c>
      <c r="O11" s="320">
        <v>100</v>
      </c>
      <c r="P11" s="320">
        <v>100</v>
      </c>
      <c r="Q11" s="320">
        <v>100</v>
      </c>
      <c r="R11" s="321">
        <v>100</v>
      </c>
      <c r="S11" s="320"/>
      <c r="T11" s="320"/>
      <c r="U11" s="320"/>
      <c r="V11" s="320"/>
      <c r="W11" s="321"/>
      <c r="X11" s="320">
        <v>100</v>
      </c>
      <c r="Y11" s="320">
        <v>100</v>
      </c>
      <c r="Z11" s="320">
        <v>100</v>
      </c>
      <c r="AA11" s="320">
        <v>100</v>
      </c>
      <c r="AB11" s="321">
        <v>100</v>
      </c>
      <c r="AC11" s="322">
        <v>0.8</v>
      </c>
      <c r="AD11" s="322">
        <v>0.87</v>
      </c>
      <c r="AE11" s="322">
        <v>0.91</v>
      </c>
      <c r="AF11" s="322">
        <v>0.95</v>
      </c>
      <c r="AG11" s="323">
        <v>0.95</v>
      </c>
      <c r="AH11" s="322">
        <v>0</v>
      </c>
      <c r="AI11" s="322">
        <v>0</v>
      </c>
      <c r="AJ11" s="322">
        <v>0</v>
      </c>
      <c r="AK11" s="322">
        <v>0</v>
      </c>
      <c r="AL11" s="323">
        <v>0</v>
      </c>
      <c r="AM11" s="322">
        <v>0</v>
      </c>
      <c r="AN11" s="322">
        <v>0</v>
      </c>
      <c r="AO11" s="322">
        <v>0</v>
      </c>
      <c r="AP11" s="322">
        <v>0</v>
      </c>
      <c r="AQ11" s="323">
        <v>0</v>
      </c>
      <c r="AR11" s="320"/>
      <c r="AS11" s="320"/>
      <c r="AT11" s="320"/>
      <c r="AU11" s="320"/>
      <c r="AV11" s="321"/>
      <c r="AW11" s="320">
        <v>20</v>
      </c>
      <c r="AX11" s="320">
        <v>20</v>
      </c>
      <c r="AY11" s="320">
        <v>20</v>
      </c>
      <c r="AZ11" s="320">
        <v>20</v>
      </c>
      <c r="BA11" s="321">
        <v>20</v>
      </c>
      <c r="BB11" s="324">
        <v>6750</v>
      </c>
      <c r="BC11" s="324">
        <v>6750</v>
      </c>
      <c r="BD11" s="324">
        <v>7500</v>
      </c>
      <c r="BE11" s="324">
        <v>7500</v>
      </c>
      <c r="BF11" s="325">
        <v>7500</v>
      </c>
      <c r="BG11" s="324">
        <v>1600</v>
      </c>
      <c r="BH11" s="324">
        <v>1600</v>
      </c>
      <c r="BI11" s="324">
        <v>1600</v>
      </c>
      <c r="BJ11" s="324">
        <v>1600</v>
      </c>
      <c r="BK11" s="325">
        <v>1600</v>
      </c>
      <c r="BL11" s="324">
        <v>26</v>
      </c>
      <c r="BM11" s="324">
        <v>25</v>
      </c>
      <c r="BN11" s="324">
        <v>36</v>
      </c>
      <c r="BO11" s="324">
        <v>36</v>
      </c>
      <c r="BP11" s="325">
        <v>36</v>
      </c>
      <c r="BQ11" s="326">
        <v>0</v>
      </c>
      <c r="BR11" s="324">
        <v>0</v>
      </c>
      <c r="BS11" s="324">
        <v>0</v>
      </c>
      <c r="BT11" s="324">
        <v>0</v>
      </c>
      <c r="BU11" s="325">
        <v>0</v>
      </c>
      <c r="BV11" s="327" t="s">
        <v>381</v>
      </c>
      <c r="BW11" s="328">
        <v>519.23076923076928</v>
      </c>
      <c r="BX11" s="328">
        <v>540</v>
      </c>
      <c r="BY11" s="328">
        <v>625</v>
      </c>
      <c r="BZ11" s="328">
        <v>625</v>
      </c>
      <c r="CA11" s="329">
        <v>625</v>
      </c>
      <c r="CB11" s="328">
        <v>123.07692307692308</v>
      </c>
      <c r="CC11" s="328">
        <v>128</v>
      </c>
      <c r="CD11" s="328">
        <v>133.33333333333334</v>
      </c>
      <c r="CE11" s="328">
        <v>133.33333333333334</v>
      </c>
      <c r="CF11" s="329">
        <v>133.33333333333334</v>
      </c>
      <c r="CG11" s="331">
        <v>2</v>
      </c>
      <c r="CH11" s="331">
        <v>2</v>
      </c>
      <c r="CI11" s="331">
        <v>3</v>
      </c>
      <c r="CJ11" s="331">
        <v>3</v>
      </c>
      <c r="CK11" s="332">
        <v>3</v>
      </c>
    </row>
    <row r="12" spans="1:89" s="315" customFormat="1" x14ac:dyDescent="0.2">
      <c r="A12" s="316" t="s">
        <v>382</v>
      </c>
      <c r="B12" s="317" t="s">
        <v>487</v>
      </c>
      <c r="C12" s="318" t="s">
        <v>383</v>
      </c>
      <c r="D12" s="319" t="s">
        <v>488</v>
      </c>
      <c r="E12" s="320" t="s">
        <v>488</v>
      </c>
      <c r="F12" s="320" t="s">
        <v>488</v>
      </c>
      <c r="G12" s="320" t="s">
        <v>488</v>
      </c>
      <c r="H12" s="321" t="s">
        <v>488</v>
      </c>
      <c r="I12" s="320"/>
      <c r="J12" s="320"/>
      <c r="K12" s="320"/>
      <c r="L12" s="320"/>
      <c r="M12" s="321"/>
      <c r="N12" s="320">
        <v>100</v>
      </c>
      <c r="O12" s="320">
        <v>100</v>
      </c>
      <c r="P12" s="320">
        <v>100</v>
      </c>
      <c r="Q12" s="320">
        <v>100</v>
      </c>
      <c r="R12" s="321">
        <v>100</v>
      </c>
      <c r="S12" s="320"/>
      <c r="T12" s="320"/>
      <c r="U12" s="320"/>
      <c r="V12" s="320"/>
      <c r="W12" s="321"/>
      <c r="X12" s="320">
        <v>100</v>
      </c>
      <c r="Y12" s="320">
        <v>100</v>
      </c>
      <c r="Z12" s="320">
        <v>100</v>
      </c>
      <c r="AA12" s="320">
        <v>100</v>
      </c>
      <c r="AB12" s="321">
        <v>100</v>
      </c>
      <c r="AC12" s="322">
        <v>0.85</v>
      </c>
      <c r="AD12" s="322">
        <v>0.87</v>
      </c>
      <c r="AE12" s="322">
        <v>0.91</v>
      </c>
      <c r="AF12" s="322">
        <v>0.95</v>
      </c>
      <c r="AG12" s="323">
        <v>0.95</v>
      </c>
      <c r="AH12" s="322">
        <v>0</v>
      </c>
      <c r="AI12" s="322">
        <v>0</v>
      </c>
      <c r="AJ12" s="322">
        <v>0</v>
      </c>
      <c r="AK12" s="322">
        <v>0</v>
      </c>
      <c r="AL12" s="323">
        <v>0</v>
      </c>
      <c r="AM12" s="322">
        <v>0</v>
      </c>
      <c r="AN12" s="322">
        <v>0</v>
      </c>
      <c r="AO12" s="322">
        <v>0</v>
      </c>
      <c r="AP12" s="322">
        <v>0</v>
      </c>
      <c r="AQ12" s="323">
        <v>0</v>
      </c>
      <c r="AR12" s="320"/>
      <c r="AS12" s="320"/>
      <c r="AT12" s="320"/>
      <c r="AU12" s="320"/>
      <c r="AV12" s="321"/>
      <c r="AW12" s="320">
        <v>20</v>
      </c>
      <c r="AX12" s="320">
        <v>20</v>
      </c>
      <c r="AY12" s="320">
        <v>20</v>
      </c>
      <c r="AZ12" s="320">
        <v>20</v>
      </c>
      <c r="BA12" s="321">
        <v>20</v>
      </c>
      <c r="BB12" s="324">
        <v>93500</v>
      </c>
      <c r="BC12" s="324">
        <v>93500</v>
      </c>
      <c r="BD12" s="324">
        <v>93500</v>
      </c>
      <c r="BE12" s="324">
        <v>93500</v>
      </c>
      <c r="BF12" s="325">
        <v>93500</v>
      </c>
      <c r="BG12" s="324">
        <v>15000</v>
      </c>
      <c r="BH12" s="324">
        <v>15000</v>
      </c>
      <c r="BI12" s="324">
        <v>18500</v>
      </c>
      <c r="BJ12" s="324">
        <v>18500</v>
      </c>
      <c r="BK12" s="325">
        <v>18500</v>
      </c>
      <c r="BL12" s="324">
        <v>31.5</v>
      </c>
      <c r="BM12" s="324">
        <v>31.5</v>
      </c>
      <c r="BN12" s="324">
        <v>35</v>
      </c>
      <c r="BO12" s="324">
        <v>40</v>
      </c>
      <c r="BP12" s="324">
        <v>40</v>
      </c>
      <c r="BQ12" s="326">
        <v>0</v>
      </c>
      <c r="BR12" s="324">
        <v>0</v>
      </c>
      <c r="BS12" s="324">
        <v>0</v>
      </c>
      <c r="BT12" s="324">
        <v>0</v>
      </c>
      <c r="BU12" s="325">
        <v>0</v>
      </c>
      <c r="BV12" s="327" t="s">
        <v>384</v>
      </c>
      <c r="BW12" s="333">
        <v>170</v>
      </c>
      <c r="BX12" s="333">
        <v>170</v>
      </c>
      <c r="BY12" s="333">
        <v>170</v>
      </c>
      <c r="BZ12" s="333">
        <v>170</v>
      </c>
      <c r="CA12" s="334">
        <v>170</v>
      </c>
      <c r="CB12" s="328">
        <v>27.272727272727273</v>
      </c>
      <c r="CC12" s="328">
        <v>27.272727272727273</v>
      </c>
      <c r="CD12" s="328">
        <v>33.636363636363633</v>
      </c>
      <c r="CE12" s="328">
        <v>33.636363636363633</v>
      </c>
      <c r="CF12" s="329">
        <v>33.636363636363633</v>
      </c>
      <c r="CG12" s="331">
        <v>6.3</v>
      </c>
      <c r="CH12" s="331">
        <v>6.3</v>
      </c>
      <c r="CI12" s="331">
        <v>7</v>
      </c>
      <c r="CJ12" s="331">
        <v>8</v>
      </c>
      <c r="CK12" s="332">
        <v>8</v>
      </c>
    </row>
    <row r="13" spans="1:89" s="315" customFormat="1" x14ac:dyDescent="0.2">
      <c r="A13" s="316" t="s">
        <v>385</v>
      </c>
      <c r="B13" s="317" t="s">
        <v>489</v>
      </c>
      <c r="C13" s="318" t="s">
        <v>386</v>
      </c>
      <c r="D13" s="319" t="s">
        <v>490</v>
      </c>
      <c r="E13" s="320" t="s">
        <v>491</v>
      </c>
      <c r="F13" s="320" t="s">
        <v>492</v>
      </c>
      <c r="G13" s="320" t="s">
        <v>493</v>
      </c>
      <c r="H13" s="321" t="s">
        <v>493</v>
      </c>
      <c r="I13" s="320"/>
      <c r="J13" s="320"/>
      <c r="K13" s="320"/>
      <c r="L13" s="320"/>
      <c r="M13" s="321"/>
      <c r="N13" s="335">
        <v>40</v>
      </c>
      <c r="O13" s="335">
        <v>40</v>
      </c>
      <c r="P13" s="335">
        <v>40</v>
      </c>
      <c r="Q13" s="335">
        <v>40</v>
      </c>
      <c r="R13" s="336">
        <v>40</v>
      </c>
      <c r="S13" s="320"/>
      <c r="T13" s="320"/>
      <c r="U13" s="320"/>
      <c r="V13" s="320"/>
      <c r="W13" s="321"/>
      <c r="X13" s="320">
        <v>0</v>
      </c>
      <c r="Y13" s="320">
        <v>0</v>
      </c>
      <c r="Z13" s="320">
        <v>0</v>
      </c>
      <c r="AA13" s="320">
        <v>0</v>
      </c>
      <c r="AB13" s="321">
        <v>0</v>
      </c>
      <c r="AC13" s="322">
        <v>0.65</v>
      </c>
      <c r="AD13" s="322">
        <v>0.7</v>
      </c>
      <c r="AE13" s="322">
        <v>0.75</v>
      </c>
      <c r="AF13" s="322">
        <v>0.75</v>
      </c>
      <c r="AG13" s="323">
        <v>0.75</v>
      </c>
      <c r="AH13" s="322">
        <v>0</v>
      </c>
      <c r="AI13" s="322">
        <v>0</v>
      </c>
      <c r="AJ13" s="322">
        <v>0</v>
      </c>
      <c r="AK13" s="322">
        <v>0</v>
      </c>
      <c r="AL13" s="323">
        <v>0</v>
      </c>
      <c r="AM13" s="322">
        <v>0</v>
      </c>
      <c r="AN13" s="322">
        <v>0</v>
      </c>
      <c r="AO13" s="322">
        <v>0</v>
      </c>
      <c r="AP13" s="322">
        <v>0</v>
      </c>
      <c r="AQ13" s="323">
        <v>0</v>
      </c>
      <c r="AR13" s="320"/>
      <c r="AS13" s="320"/>
      <c r="AT13" s="320"/>
      <c r="AU13" s="320"/>
      <c r="AV13" s="321"/>
      <c r="AW13" s="320">
        <v>24</v>
      </c>
      <c r="AX13" s="320">
        <v>24</v>
      </c>
      <c r="AY13" s="320">
        <v>24</v>
      </c>
      <c r="AZ13" s="320">
        <v>24</v>
      </c>
      <c r="BA13" s="321">
        <v>24</v>
      </c>
      <c r="BB13" s="324">
        <v>2600</v>
      </c>
      <c r="BC13" s="324">
        <v>2600</v>
      </c>
      <c r="BD13" s="324">
        <v>3500</v>
      </c>
      <c r="BE13" s="324">
        <v>3500</v>
      </c>
      <c r="BF13" s="325">
        <v>3500</v>
      </c>
      <c r="BG13" s="324">
        <v>1600</v>
      </c>
      <c r="BH13" s="324">
        <v>1600</v>
      </c>
      <c r="BI13" s="324">
        <v>1600</v>
      </c>
      <c r="BJ13" s="324">
        <v>1600</v>
      </c>
      <c r="BK13" s="325">
        <v>1600</v>
      </c>
      <c r="BL13" s="324">
        <v>0.75</v>
      </c>
      <c r="BM13" s="324">
        <v>0.70000000000000007</v>
      </c>
      <c r="BN13" s="324">
        <v>0.5</v>
      </c>
      <c r="BO13" s="324">
        <v>0.70000000000000007</v>
      </c>
      <c r="BP13" s="325">
        <v>0.70000000000000007</v>
      </c>
      <c r="BQ13" s="326">
        <v>0</v>
      </c>
      <c r="BR13" s="324">
        <v>0</v>
      </c>
      <c r="BS13" s="324">
        <v>0</v>
      </c>
      <c r="BT13" s="324">
        <v>0</v>
      </c>
      <c r="BU13" s="325">
        <v>0</v>
      </c>
      <c r="BV13" s="327" t="s">
        <v>387</v>
      </c>
      <c r="BW13" s="328">
        <v>346.66666666666669</v>
      </c>
      <c r="BX13" s="328">
        <v>371.42857142857144</v>
      </c>
      <c r="BY13" s="328">
        <v>666.66666666666663</v>
      </c>
      <c r="BZ13" s="328">
        <v>933.33333333333337</v>
      </c>
      <c r="CA13" s="329">
        <v>933.33333333333337</v>
      </c>
      <c r="CB13" s="328">
        <v>213.33333333333334</v>
      </c>
      <c r="CC13" s="328">
        <v>228.57142857142858</v>
      </c>
      <c r="CD13" s="328">
        <v>304.76190476190476</v>
      </c>
      <c r="CE13" s="328">
        <v>426.66666666666669</v>
      </c>
      <c r="CF13" s="329">
        <v>426.66666666666669</v>
      </c>
      <c r="CG13" s="331">
        <v>0.1</v>
      </c>
      <c r="CH13" s="331">
        <v>0.1</v>
      </c>
      <c r="CI13" s="331">
        <v>0.1</v>
      </c>
      <c r="CJ13" s="331">
        <v>0.2</v>
      </c>
      <c r="CK13" s="332">
        <v>0.2</v>
      </c>
    </row>
    <row r="14" spans="1:89" s="315" customFormat="1" x14ac:dyDescent="0.2">
      <c r="A14" s="316"/>
      <c r="B14" s="317"/>
      <c r="C14" s="318" t="s">
        <v>388</v>
      </c>
      <c r="D14" s="319"/>
      <c r="E14" s="320"/>
      <c r="F14" s="320"/>
      <c r="G14" s="320"/>
      <c r="H14" s="321"/>
      <c r="I14" s="320"/>
      <c r="J14" s="320"/>
      <c r="K14" s="320"/>
      <c r="L14" s="320"/>
      <c r="M14" s="321"/>
      <c r="N14" s="320"/>
      <c r="O14" s="320"/>
      <c r="P14" s="320"/>
      <c r="Q14" s="320"/>
      <c r="R14" s="321"/>
      <c r="S14" s="320"/>
      <c r="T14" s="320"/>
      <c r="U14" s="320"/>
      <c r="V14" s="320"/>
      <c r="W14" s="321"/>
      <c r="X14" s="320"/>
      <c r="Y14" s="320"/>
      <c r="Z14" s="320"/>
      <c r="AA14" s="320"/>
      <c r="AB14" s="321"/>
      <c r="AC14" s="322">
        <v>0</v>
      </c>
      <c r="AD14" s="322">
        <v>0</v>
      </c>
      <c r="AE14" s="322">
        <v>0</v>
      </c>
      <c r="AF14" s="322">
        <v>0</v>
      </c>
      <c r="AG14" s="323">
        <v>0</v>
      </c>
      <c r="AH14" s="322">
        <v>0</v>
      </c>
      <c r="AI14" s="322">
        <v>0</v>
      </c>
      <c r="AJ14" s="322">
        <v>0</v>
      </c>
      <c r="AK14" s="322">
        <v>0</v>
      </c>
      <c r="AL14" s="323">
        <v>0</v>
      </c>
      <c r="AM14" s="322">
        <v>0</v>
      </c>
      <c r="AN14" s="322">
        <v>0</v>
      </c>
      <c r="AO14" s="322">
        <v>0</v>
      </c>
      <c r="AP14" s="322">
        <v>0</v>
      </c>
      <c r="AQ14" s="323">
        <v>0</v>
      </c>
      <c r="AR14" s="320"/>
      <c r="AS14" s="320"/>
      <c r="AT14" s="320"/>
      <c r="AU14" s="320"/>
      <c r="AV14" s="321"/>
      <c r="AW14" s="320"/>
      <c r="AX14" s="320"/>
      <c r="AY14" s="320"/>
      <c r="AZ14" s="320"/>
      <c r="BA14" s="321"/>
      <c r="BB14" s="324">
        <v>0</v>
      </c>
      <c r="BC14" s="324">
        <v>0</v>
      </c>
      <c r="BD14" s="324">
        <v>0</v>
      </c>
      <c r="BE14" s="324">
        <v>0</v>
      </c>
      <c r="BF14" s="325">
        <v>0</v>
      </c>
      <c r="BG14" s="324">
        <v>0</v>
      </c>
      <c r="BH14" s="324">
        <v>0</v>
      </c>
      <c r="BI14" s="324">
        <v>0</v>
      </c>
      <c r="BJ14" s="324">
        <v>0</v>
      </c>
      <c r="BK14" s="325">
        <v>0</v>
      </c>
      <c r="BL14" s="324"/>
      <c r="BM14" s="324"/>
      <c r="BN14" s="324"/>
      <c r="BO14" s="324"/>
      <c r="BP14" s="325"/>
      <c r="BQ14" s="326"/>
      <c r="BR14" s="324"/>
      <c r="BS14" s="324"/>
      <c r="BT14" s="324"/>
      <c r="BU14" s="325"/>
      <c r="BV14" s="327"/>
      <c r="BW14" s="324"/>
      <c r="BX14" s="324"/>
      <c r="BY14" s="324"/>
      <c r="BZ14" s="324"/>
      <c r="CA14" s="325"/>
      <c r="CB14" s="324"/>
      <c r="CC14" s="324"/>
      <c r="CD14" s="324"/>
      <c r="CE14" s="324"/>
      <c r="CF14" s="325"/>
      <c r="CG14" s="326"/>
      <c r="CH14" s="324"/>
      <c r="CI14" s="324"/>
      <c r="CJ14" s="324"/>
      <c r="CK14" s="325"/>
    </row>
    <row r="15" spans="1:89" s="315" customFormat="1" x14ac:dyDescent="0.2">
      <c r="A15" s="308" t="s">
        <v>389</v>
      </c>
      <c r="B15" s="309"/>
      <c r="C15" s="310"/>
      <c r="D15" s="311"/>
      <c r="E15" s="312"/>
      <c r="F15" s="312"/>
      <c r="G15" s="312"/>
      <c r="H15" s="313"/>
      <c r="I15" s="312"/>
      <c r="J15" s="312"/>
      <c r="K15" s="312"/>
      <c r="L15" s="312"/>
      <c r="M15" s="313"/>
      <c r="N15" s="312"/>
      <c r="O15" s="312"/>
      <c r="P15" s="312"/>
      <c r="Q15" s="312"/>
      <c r="R15" s="313"/>
      <c r="S15" s="312"/>
      <c r="T15" s="312"/>
      <c r="U15" s="312"/>
      <c r="V15" s="312"/>
      <c r="W15" s="313"/>
      <c r="X15" s="312"/>
      <c r="Y15" s="312"/>
      <c r="Z15" s="312"/>
      <c r="AA15" s="312"/>
      <c r="AB15" s="313"/>
      <c r="AC15" s="337">
        <v>0</v>
      </c>
      <c r="AD15" s="337">
        <v>0</v>
      </c>
      <c r="AE15" s="337">
        <v>0</v>
      </c>
      <c r="AF15" s="337">
        <v>0</v>
      </c>
      <c r="AG15" s="338">
        <v>0</v>
      </c>
      <c r="AH15" s="337">
        <v>0</v>
      </c>
      <c r="AI15" s="337">
        <v>0</v>
      </c>
      <c r="AJ15" s="337">
        <v>0</v>
      </c>
      <c r="AK15" s="337">
        <v>0</v>
      </c>
      <c r="AL15" s="338">
        <v>0</v>
      </c>
      <c r="AM15" s="337">
        <v>0</v>
      </c>
      <c r="AN15" s="337">
        <v>0</v>
      </c>
      <c r="AO15" s="337">
        <v>0</v>
      </c>
      <c r="AP15" s="337">
        <v>0</v>
      </c>
      <c r="AQ15" s="338">
        <v>0</v>
      </c>
      <c r="AR15" s="312"/>
      <c r="AS15" s="312"/>
      <c r="AT15" s="312"/>
      <c r="AU15" s="312"/>
      <c r="AV15" s="313"/>
      <c r="AW15" s="312"/>
      <c r="AX15" s="312"/>
      <c r="AY15" s="312"/>
      <c r="AZ15" s="312"/>
      <c r="BA15" s="313"/>
      <c r="BB15" s="312">
        <v>0</v>
      </c>
      <c r="BC15" s="312">
        <v>0</v>
      </c>
      <c r="BD15" s="312">
        <v>0</v>
      </c>
      <c r="BE15" s="312">
        <v>0</v>
      </c>
      <c r="BF15" s="313">
        <v>0</v>
      </c>
      <c r="BG15" s="312">
        <v>0</v>
      </c>
      <c r="BH15" s="312">
        <v>0</v>
      </c>
      <c r="BI15" s="312">
        <v>0</v>
      </c>
      <c r="BJ15" s="312">
        <v>0</v>
      </c>
      <c r="BK15" s="313">
        <v>0</v>
      </c>
      <c r="BL15" s="312"/>
      <c r="BM15" s="312"/>
      <c r="BN15" s="312"/>
      <c r="BO15" s="312"/>
      <c r="BP15" s="313"/>
      <c r="BQ15" s="311"/>
      <c r="BR15" s="312"/>
      <c r="BS15" s="312"/>
      <c r="BT15" s="312"/>
      <c r="BU15" s="313"/>
      <c r="BV15" s="314"/>
      <c r="BW15" s="312"/>
      <c r="BX15" s="312"/>
      <c r="BY15" s="312"/>
      <c r="BZ15" s="312"/>
      <c r="CA15" s="313"/>
      <c r="CB15" s="312"/>
      <c r="CC15" s="312"/>
      <c r="CD15" s="312"/>
      <c r="CE15" s="312"/>
      <c r="CF15" s="313"/>
      <c r="CG15" s="311"/>
      <c r="CH15" s="312"/>
      <c r="CI15" s="312"/>
      <c r="CJ15" s="312"/>
      <c r="CK15" s="313"/>
    </row>
    <row r="16" spans="1:89" s="315" customFormat="1" x14ac:dyDescent="0.2">
      <c r="A16" s="316" t="s">
        <v>390</v>
      </c>
      <c r="B16" s="317" t="s">
        <v>494</v>
      </c>
      <c r="C16" s="318" t="s">
        <v>391</v>
      </c>
      <c r="D16" s="319" t="s">
        <v>495</v>
      </c>
      <c r="E16" s="320" t="s">
        <v>495</v>
      </c>
      <c r="F16" s="320" t="s">
        <v>495</v>
      </c>
      <c r="G16" s="320" t="s">
        <v>495</v>
      </c>
      <c r="H16" s="321" t="s">
        <v>495</v>
      </c>
      <c r="I16" s="320"/>
      <c r="J16" s="320"/>
      <c r="K16" s="320"/>
      <c r="L16" s="320"/>
      <c r="M16" s="321"/>
      <c r="N16" s="320">
        <v>60</v>
      </c>
      <c r="O16" s="320">
        <v>60</v>
      </c>
      <c r="P16" s="320">
        <v>60</v>
      </c>
      <c r="Q16" s="320">
        <v>60</v>
      </c>
      <c r="R16" s="321">
        <v>60</v>
      </c>
      <c r="S16" s="320"/>
      <c r="T16" s="320"/>
      <c r="U16" s="320"/>
      <c r="V16" s="320"/>
      <c r="W16" s="321"/>
      <c r="X16" s="320">
        <v>0</v>
      </c>
      <c r="Y16" s="320">
        <v>0</v>
      </c>
      <c r="Z16" s="320">
        <v>0</v>
      </c>
      <c r="AA16" s="320">
        <v>0</v>
      </c>
      <c r="AB16" s="321">
        <v>0</v>
      </c>
      <c r="AC16" s="322">
        <v>3</v>
      </c>
      <c r="AD16" s="322">
        <v>3.2</v>
      </c>
      <c r="AE16" s="322">
        <v>3.7</v>
      </c>
      <c r="AF16" s="322">
        <v>4</v>
      </c>
      <c r="AG16" s="323">
        <v>4</v>
      </c>
      <c r="AH16" s="322">
        <v>0</v>
      </c>
      <c r="AI16" s="322">
        <v>0</v>
      </c>
      <c r="AJ16" s="322">
        <v>0</v>
      </c>
      <c r="AK16" s="322">
        <v>0</v>
      </c>
      <c r="AL16" s="323">
        <v>0</v>
      </c>
      <c r="AM16" s="322">
        <v>0</v>
      </c>
      <c r="AN16" s="322">
        <v>0</v>
      </c>
      <c r="AO16" s="322">
        <v>0</v>
      </c>
      <c r="AP16" s="322">
        <v>0</v>
      </c>
      <c r="AQ16" s="323">
        <v>0</v>
      </c>
      <c r="AR16" s="320"/>
      <c r="AS16" s="320"/>
      <c r="AT16" s="320"/>
      <c r="AU16" s="320"/>
      <c r="AV16" s="321"/>
      <c r="AW16" s="320">
        <v>20</v>
      </c>
      <c r="AX16" s="320">
        <v>20</v>
      </c>
      <c r="AY16" s="320">
        <v>20</v>
      </c>
      <c r="AZ16" s="320">
        <v>20</v>
      </c>
      <c r="BA16" s="321">
        <v>20</v>
      </c>
      <c r="BB16" s="324">
        <v>2200</v>
      </c>
      <c r="BC16" s="324">
        <v>2100</v>
      </c>
      <c r="BD16" s="324">
        <v>1900</v>
      </c>
      <c r="BE16" s="324">
        <v>1800</v>
      </c>
      <c r="BF16" s="325">
        <v>1800</v>
      </c>
      <c r="BG16" s="324">
        <v>0</v>
      </c>
      <c r="BH16" s="324">
        <v>0</v>
      </c>
      <c r="BI16" s="324">
        <v>0</v>
      </c>
      <c r="BJ16" s="324">
        <v>0</v>
      </c>
      <c r="BK16" s="325">
        <v>0</v>
      </c>
      <c r="BL16" s="324">
        <v>34</v>
      </c>
      <c r="BM16" s="324">
        <v>34</v>
      </c>
      <c r="BN16" s="324">
        <v>34</v>
      </c>
      <c r="BO16" s="324">
        <v>34</v>
      </c>
      <c r="BP16" s="325">
        <v>34</v>
      </c>
      <c r="BQ16" s="326">
        <v>0</v>
      </c>
      <c r="BR16" s="324">
        <v>0</v>
      </c>
      <c r="BS16" s="324">
        <v>0</v>
      </c>
      <c r="BT16" s="324">
        <v>0</v>
      </c>
      <c r="BU16" s="325">
        <v>0</v>
      </c>
      <c r="BV16" s="327"/>
      <c r="BW16" s="328">
        <v>550</v>
      </c>
      <c r="BX16" s="328">
        <v>525</v>
      </c>
      <c r="BY16" s="328">
        <v>475</v>
      </c>
      <c r="BZ16" s="328">
        <v>450</v>
      </c>
      <c r="CA16" s="329">
        <v>450</v>
      </c>
      <c r="CB16" s="324">
        <v>0</v>
      </c>
      <c r="CC16" s="324">
        <v>0</v>
      </c>
      <c r="CD16" s="324">
        <v>0</v>
      </c>
      <c r="CE16" s="324">
        <v>0</v>
      </c>
      <c r="CF16" s="325">
        <v>0</v>
      </c>
      <c r="CG16" s="330">
        <v>8.5</v>
      </c>
      <c r="CH16" s="328">
        <v>8.5</v>
      </c>
      <c r="CI16" s="328">
        <v>8.5</v>
      </c>
      <c r="CJ16" s="328">
        <v>8.5</v>
      </c>
      <c r="CK16" s="329">
        <v>8.5</v>
      </c>
    </row>
    <row r="17" spans="1:89" s="315" customFormat="1" x14ac:dyDescent="0.2">
      <c r="A17" s="316"/>
      <c r="B17" s="317"/>
      <c r="C17" s="318" t="s">
        <v>392</v>
      </c>
      <c r="D17" s="339">
        <v>63.7</v>
      </c>
      <c r="E17" s="335">
        <v>63.7</v>
      </c>
      <c r="F17" s="335">
        <v>63.7</v>
      </c>
      <c r="G17" s="335">
        <v>63.7</v>
      </c>
      <c r="H17" s="336">
        <v>63.7</v>
      </c>
      <c r="I17" s="320"/>
      <c r="J17" s="320"/>
      <c r="K17" s="320"/>
      <c r="L17" s="320"/>
      <c r="M17" s="321"/>
      <c r="N17" s="320"/>
      <c r="O17" s="320"/>
      <c r="P17" s="320"/>
      <c r="Q17" s="320"/>
      <c r="R17" s="321"/>
      <c r="S17" s="320"/>
      <c r="T17" s="320"/>
      <c r="U17" s="320"/>
      <c r="V17" s="320"/>
      <c r="W17" s="321"/>
      <c r="X17" s="320"/>
      <c r="Y17" s="320"/>
      <c r="Z17" s="320"/>
      <c r="AA17" s="320"/>
      <c r="AB17" s="321"/>
      <c r="AC17" s="322">
        <v>0</v>
      </c>
      <c r="AD17" s="322">
        <v>0</v>
      </c>
      <c r="AE17" s="322">
        <v>0</v>
      </c>
      <c r="AF17" s="322">
        <v>0</v>
      </c>
      <c r="AG17" s="323">
        <v>0</v>
      </c>
      <c r="AH17" s="322">
        <v>0</v>
      </c>
      <c r="AI17" s="322">
        <v>0</v>
      </c>
      <c r="AJ17" s="322">
        <v>0</v>
      </c>
      <c r="AK17" s="322">
        <v>0</v>
      </c>
      <c r="AL17" s="323">
        <v>0</v>
      </c>
      <c r="AM17" s="322">
        <v>0</v>
      </c>
      <c r="AN17" s="322">
        <v>0</v>
      </c>
      <c r="AO17" s="322">
        <v>0</v>
      </c>
      <c r="AP17" s="322">
        <v>0</v>
      </c>
      <c r="AQ17" s="323">
        <v>0</v>
      </c>
      <c r="AR17" s="320"/>
      <c r="AS17" s="320"/>
      <c r="AT17" s="320"/>
      <c r="AU17" s="320"/>
      <c r="AV17" s="321"/>
      <c r="AW17" s="320"/>
      <c r="AX17" s="320"/>
      <c r="AY17" s="320"/>
      <c r="AZ17" s="320"/>
      <c r="BA17" s="321"/>
      <c r="BB17" s="340">
        <v>27140.2</v>
      </c>
      <c r="BC17" s="340">
        <v>25783.19</v>
      </c>
      <c r="BD17" s="340">
        <v>23340.571999999996</v>
      </c>
      <c r="BE17" s="340">
        <v>22254.963999999996</v>
      </c>
      <c r="BF17" s="341">
        <v>22254.963999999996</v>
      </c>
      <c r="BG17" s="324">
        <v>0</v>
      </c>
      <c r="BH17" s="324">
        <v>0</v>
      </c>
      <c r="BI17" s="324">
        <v>0</v>
      </c>
      <c r="BJ17" s="324">
        <v>0</v>
      </c>
      <c r="BK17" s="325">
        <v>0</v>
      </c>
      <c r="BL17" s="340">
        <v>650</v>
      </c>
      <c r="BM17" s="324"/>
      <c r="BN17" s="324"/>
      <c r="BO17" s="324"/>
      <c r="BP17" s="325"/>
      <c r="BQ17" s="326"/>
      <c r="BR17" s="324"/>
      <c r="BS17" s="324"/>
      <c r="BT17" s="324"/>
      <c r="BU17" s="325"/>
      <c r="BV17" s="327"/>
      <c r="BW17" s="324">
        <v>426.06279434850865</v>
      </c>
      <c r="BX17" s="324">
        <v>404.75965463108315</v>
      </c>
      <c r="BY17" s="324">
        <v>366.41400313971735</v>
      </c>
      <c r="BZ17" s="324">
        <v>349.37149136577699</v>
      </c>
      <c r="CA17" s="325">
        <v>349.37149136577699</v>
      </c>
      <c r="CB17" s="324">
        <v>0</v>
      </c>
      <c r="CC17" s="324">
        <v>0</v>
      </c>
      <c r="CD17" s="324">
        <v>0</v>
      </c>
      <c r="CE17" s="324">
        <v>0</v>
      </c>
      <c r="CF17" s="325">
        <v>0</v>
      </c>
      <c r="CG17" s="326">
        <v>10.204081632653061</v>
      </c>
      <c r="CH17" s="324">
        <v>0</v>
      </c>
      <c r="CI17" s="324">
        <v>0</v>
      </c>
      <c r="CJ17" s="324">
        <v>0</v>
      </c>
      <c r="CK17" s="325">
        <v>0</v>
      </c>
    </row>
    <row r="18" spans="1:89" s="315" customFormat="1" x14ac:dyDescent="0.2">
      <c r="A18" s="316" t="s">
        <v>393</v>
      </c>
      <c r="B18" s="317" t="s">
        <v>496</v>
      </c>
      <c r="C18" s="318" t="s">
        <v>394</v>
      </c>
      <c r="D18" s="319">
        <v>10</v>
      </c>
      <c r="E18" s="320">
        <v>10</v>
      </c>
      <c r="F18" s="320">
        <v>10</v>
      </c>
      <c r="G18" s="320">
        <v>10</v>
      </c>
      <c r="H18" s="321">
        <v>10</v>
      </c>
      <c r="I18" s="320"/>
      <c r="J18" s="320"/>
      <c r="K18" s="320"/>
      <c r="L18" s="320"/>
      <c r="M18" s="321"/>
      <c r="N18" s="320">
        <v>100</v>
      </c>
      <c r="O18" s="320">
        <v>100</v>
      </c>
      <c r="P18" s="320">
        <v>100</v>
      </c>
      <c r="Q18" s="320">
        <v>100</v>
      </c>
      <c r="R18" s="321">
        <v>100</v>
      </c>
      <c r="S18" s="320"/>
      <c r="T18" s="320"/>
      <c r="U18" s="320"/>
      <c r="V18" s="320"/>
      <c r="W18" s="321"/>
      <c r="X18" s="320">
        <v>100</v>
      </c>
      <c r="Y18" s="320">
        <v>100</v>
      </c>
      <c r="Z18" s="320">
        <v>100</v>
      </c>
      <c r="AA18" s="320">
        <v>100</v>
      </c>
      <c r="AB18" s="321">
        <v>100</v>
      </c>
      <c r="AC18" s="322">
        <v>3</v>
      </c>
      <c r="AD18" s="322">
        <v>3.3</v>
      </c>
      <c r="AE18" s="322">
        <v>3.7</v>
      </c>
      <c r="AF18" s="322">
        <v>4</v>
      </c>
      <c r="AG18" s="323">
        <v>4</v>
      </c>
      <c r="AH18" s="322">
        <v>0</v>
      </c>
      <c r="AI18" s="322">
        <v>0</v>
      </c>
      <c r="AJ18" s="322">
        <v>0</v>
      </c>
      <c r="AK18" s="322">
        <v>0</v>
      </c>
      <c r="AL18" s="323">
        <v>0</v>
      </c>
      <c r="AM18" s="322">
        <v>0</v>
      </c>
      <c r="AN18" s="322">
        <v>0</v>
      </c>
      <c r="AO18" s="322">
        <v>0</v>
      </c>
      <c r="AP18" s="322">
        <v>0</v>
      </c>
      <c r="AQ18" s="323">
        <v>0</v>
      </c>
      <c r="AR18" s="320"/>
      <c r="AS18" s="320"/>
      <c r="AT18" s="320"/>
      <c r="AU18" s="320"/>
      <c r="AV18" s="321"/>
      <c r="AW18" s="320">
        <v>20</v>
      </c>
      <c r="AX18" s="320">
        <v>20</v>
      </c>
      <c r="AY18" s="320">
        <v>20</v>
      </c>
      <c r="AZ18" s="320">
        <v>20</v>
      </c>
      <c r="BA18" s="321">
        <v>20</v>
      </c>
      <c r="BB18" s="324">
        <v>11000</v>
      </c>
      <c r="BC18" s="324">
        <v>10000</v>
      </c>
      <c r="BD18" s="324">
        <v>10000</v>
      </c>
      <c r="BE18" s="324">
        <v>9000</v>
      </c>
      <c r="BF18" s="325">
        <v>9000</v>
      </c>
      <c r="BG18" s="324">
        <v>0</v>
      </c>
      <c r="BH18" s="324">
        <v>0</v>
      </c>
      <c r="BI18" s="324">
        <v>0</v>
      </c>
      <c r="BJ18" s="324">
        <v>0</v>
      </c>
      <c r="BK18" s="325">
        <v>0</v>
      </c>
      <c r="BL18" s="324">
        <v>150</v>
      </c>
      <c r="BM18" s="324">
        <v>150</v>
      </c>
      <c r="BN18" s="324">
        <v>150</v>
      </c>
      <c r="BO18" s="324">
        <v>150</v>
      </c>
      <c r="BP18" s="325">
        <v>150</v>
      </c>
      <c r="BQ18" s="326">
        <v>0</v>
      </c>
      <c r="BR18" s="324">
        <v>0</v>
      </c>
      <c r="BS18" s="324">
        <v>0</v>
      </c>
      <c r="BT18" s="324">
        <v>0</v>
      </c>
      <c r="BU18" s="325">
        <v>0</v>
      </c>
      <c r="BV18" s="327" t="s">
        <v>395</v>
      </c>
      <c r="BW18" s="324">
        <v>1100</v>
      </c>
      <c r="BX18" s="324">
        <v>1000</v>
      </c>
      <c r="BY18" s="324">
        <v>1000</v>
      </c>
      <c r="BZ18" s="324">
        <v>900</v>
      </c>
      <c r="CA18" s="325">
        <v>900</v>
      </c>
      <c r="CB18" s="324">
        <v>0</v>
      </c>
      <c r="CC18" s="324">
        <v>0</v>
      </c>
      <c r="CD18" s="324">
        <v>0</v>
      </c>
      <c r="CE18" s="324">
        <v>0</v>
      </c>
      <c r="CF18" s="325">
        <v>0</v>
      </c>
      <c r="CG18" s="326">
        <v>15</v>
      </c>
      <c r="CH18" s="324">
        <v>15</v>
      </c>
      <c r="CI18" s="324">
        <v>15</v>
      </c>
      <c r="CJ18" s="324">
        <v>15</v>
      </c>
      <c r="CK18" s="325">
        <v>15</v>
      </c>
    </row>
    <row r="19" spans="1:89" s="315" customFormat="1" x14ac:dyDescent="0.2">
      <c r="A19" s="316" t="s">
        <v>396</v>
      </c>
      <c r="B19" s="317" t="s">
        <v>497</v>
      </c>
      <c r="C19" s="318" t="s">
        <v>397</v>
      </c>
      <c r="D19" s="319" t="s">
        <v>498</v>
      </c>
      <c r="E19" s="320" t="s">
        <v>498</v>
      </c>
      <c r="F19" s="320" t="s">
        <v>498</v>
      </c>
      <c r="G19" s="320" t="s">
        <v>498</v>
      </c>
      <c r="H19" s="321" t="s">
        <v>498</v>
      </c>
      <c r="I19" s="320"/>
      <c r="J19" s="320"/>
      <c r="K19" s="320"/>
      <c r="L19" s="320"/>
      <c r="M19" s="321"/>
      <c r="N19" s="320">
        <v>100</v>
      </c>
      <c r="O19" s="320">
        <v>100</v>
      </c>
      <c r="P19" s="320">
        <v>100</v>
      </c>
      <c r="Q19" s="320">
        <v>100</v>
      </c>
      <c r="R19" s="321">
        <v>100</v>
      </c>
      <c r="S19" s="320"/>
      <c r="T19" s="320"/>
      <c r="U19" s="320"/>
      <c r="V19" s="320"/>
      <c r="W19" s="321"/>
      <c r="X19" s="320">
        <v>100</v>
      </c>
      <c r="Y19" s="320">
        <v>100</v>
      </c>
      <c r="Z19" s="320">
        <v>100</v>
      </c>
      <c r="AA19" s="320">
        <v>100</v>
      </c>
      <c r="AB19" s="321">
        <v>100</v>
      </c>
      <c r="AC19" s="322">
        <v>3</v>
      </c>
      <c r="AD19" s="322">
        <v>3.3</v>
      </c>
      <c r="AE19" s="322">
        <v>3.7</v>
      </c>
      <c r="AF19" s="322">
        <v>4</v>
      </c>
      <c r="AG19" s="323">
        <v>4</v>
      </c>
      <c r="AH19" s="322">
        <v>0</v>
      </c>
      <c r="AI19" s="322">
        <v>0</v>
      </c>
      <c r="AJ19" s="322">
        <v>0</v>
      </c>
      <c r="AK19" s="322">
        <v>0</v>
      </c>
      <c r="AL19" s="323">
        <v>0</v>
      </c>
      <c r="AM19" s="322">
        <v>0</v>
      </c>
      <c r="AN19" s="322">
        <v>0</v>
      </c>
      <c r="AO19" s="322">
        <v>0</v>
      </c>
      <c r="AP19" s="322">
        <v>0</v>
      </c>
      <c r="AQ19" s="323">
        <v>0</v>
      </c>
      <c r="AR19" s="320"/>
      <c r="AS19" s="320"/>
      <c r="AT19" s="320"/>
      <c r="AU19" s="320"/>
      <c r="AV19" s="321"/>
      <c r="AW19" s="320">
        <v>20</v>
      </c>
      <c r="AX19" s="320">
        <v>20</v>
      </c>
      <c r="AY19" s="320">
        <v>20</v>
      </c>
      <c r="AZ19" s="320">
        <v>20</v>
      </c>
      <c r="BA19" s="321">
        <v>20</v>
      </c>
      <c r="BB19" s="324">
        <v>320000</v>
      </c>
      <c r="BC19" s="324">
        <v>320000</v>
      </c>
      <c r="BD19" s="324">
        <v>280000</v>
      </c>
      <c r="BE19" s="324">
        <v>280000</v>
      </c>
      <c r="BF19" s="325">
        <v>280000</v>
      </c>
      <c r="BG19" s="324">
        <v>0</v>
      </c>
      <c r="BH19" s="324">
        <v>0</v>
      </c>
      <c r="BI19" s="324">
        <v>0</v>
      </c>
      <c r="BJ19" s="324">
        <v>0</v>
      </c>
      <c r="BK19" s="325">
        <v>0</v>
      </c>
      <c r="BL19" s="324">
        <v>450</v>
      </c>
      <c r="BM19" s="324">
        <v>450</v>
      </c>
      <c r="BN19" s="324">
        <v>450</v>
      </c>
      <c r="BO19" s="324">
        <v>450</v>
      </c>
      <c r="BP19" s="325">
        <v>450</v>
      </c>
      <c r="BQ19" s="326">
        <v>0</v>
      </c>
      <c r="BR19" s="324">
        <v>0</v>
      </c>
      <c r="BS19" s="324">
        <v>0</v>
      </c>
      <c r="BT19" s="324">
        <v>0</v>
      </c>
      <c r="BU19" s="325">
        <v>0</v>
      </c>
      <c r="BV19" s="327"/>
      <c r="BW19" s="333">
        <v>800</v>
      </c>
      <c r="BX19" s="333">
        <v>800</v>
      </c>
      <c r="BY19" s="333">
        <v>700</v>
      </c>
      <c r="BZ19" s="333">
        <v>700</v>
      </c>
      <c r="CA19" s="334">
        <v>700</v>
      </c>
      <c r="CB19" s="324" t="s">
        <v>499</v>
      </c>
      <c r="CC19" s="324" t="s">
        <v>499</v>
      </c>
      <c r="CD19" s="324" t="s">
        <v>499</v>
      </c>
      <c r="CE19" s="324" t="s">
        <v>499</v>
      </c>
      <c r="CF19" s="325" t="s">
        <v>499</v>
      </c>
      <c r="CG19" s="330">
        <v>1.125</v>
      </c>
      <c r="CH19" s="328">
        <v>1.125</v>
      </c>
      <c r="CI19" s="328">
        <v>1.125</v>
      </c>
      <c r="CJ19" s="328">
        <v>1.125</v>
      </c>
      <c r="CK19" s="329">
        <v>1.125</v>
      </c>
    </row>
    <row r="20" spans="1:89" s="315" customFormat="1" x14ac:dyDescent="0.2">
      <c r="A20" s="316" t="s">
        <v>398</v>
      </c>
      <c r="B20" s="317" t="s">
        <v>500</v>
      </c>
      <c r="C20" s="318" t="s">
        <v>399</v>
      </c>
      <c r="D20" s="319">
        <v>10</v>
      </c>
      <c r="E20" s="320">
        <v>10</v>
      </c>
      <c r="F20" s="320">
        <v>10</v>
      </c>
      <c r="G20" s="320">
        <v>10</v>
      </c>
      <c r="H20" s="321">
        <v>10</v>
      </c>
      <c r="I20" s="320"/>
      <c r="J20" s="320"/>
      <c r="K20" s="320"/>
      <c r="L20" s="320"/>
      <c r="M20" s="321"/>
      <c r="N20" s="320">
        <v>100</v>
      </c>
      <c r="O20" s="320">
        <v>100</v>
      </c>
      <c r="P20" s="320">
        <v>100</v>
      </c>
      <c r="Q20" s="320">
        <v>100</v>
      </c>
      <c r="R20" s="321">
        <v>100</v>
      </c>
      <c r="S20" s="320"/>
      <c r="T20" s="320"/>
      <c r="U20" s="320"/>
      <c r="V20" s="320"/>
      <c r="W20" s="321"/>
      <c r="X20" s="320">
        <v>100</v>
      </c>
      <c r="Y20" s="320">
        <v>100</v>
      </c>
      <c r="Z20" s="320">
        <v>100</v>
      </c>
      <c r="AA20" s="320">
        <v>100</v>
      </c>
      <c r="AB20" s="321">
        <v>100</v>
      </c>
      <c r="AC20" s="322">
        <v>3.3</v>
      </c>
      <c r="AD20" s="322">
        <v>3.5</v>
      </c>
      <c r="AE20" s="322">
        <v>4</v>
      </c>
      <c r="AF20" s="322">
        <v>4.5</v>
      </c>
      <c r="AG20" s="323">
        <v>4.5</v>
      </c>
      <c r="AH20" s="322">
        <v>0</v>
      </c>
      <c r="AI20" s="322">
        <v>0</v>
      </c>
      <c r="AJ20" s="322">
        <v>0</v>
      </c>
      <c r="AK20" s="322">
        <v>0</v>
      </c>
      <c r="AL20" s="323">
        <v>0</v>
      </c>
      <c r="AM20" s="322">
        <v>0</v>
      </c>
      <c r="AN20" s="322">
        <v>0</v>
      </c>
      <c r="AO20" s="322">
        <v>0</v>
      </c>
      <c r="AP20" s="322">
        <v>0</v>
      </c>
      <c r="AQ20" s="323">
        <v>0</v>
      </c>
      <c r="AR20" s="320"/>
      <c r="AS20" s="320"/>
      <c r="AT20" s="320"/>
      <c r="AU20" s="320"/>
      <c r="AV20" s="321"/>
      <c r="AW20" s="320">
        <v>20</v>
      </c>
      <c r="AX20" s="320">
        <v>20</v>
      </c>
      <c r="AY20" s="320">
        <v>20</v>
      </c>
      <c r="AZ20" s="320">
        <v>20</v>
      </c>
      <c r="BA20" s="321">
        <v>20</v>
      </c>
      <c r="BB20" s="324">
        <v>14000</v>
      </c>
      <c r="BC20" s="324">
        <v>13000</v>
      </c>
      <c r="BD20" s="324">
        <v>12000</v>
      </c>
      <c r="BE20" s="324">
        <v>11000</v>
      </c>
      <c r="BF20" s="325">
        <v>11000</v>
      </c>
      <c r="BG20" s="324">
        <v>5000</v>
      </c>
      <c r="BH20" s="324">
        <v>5000</v>
      </c>
      <c r="BI20" s="324">
        <v>5000</v>
      </c>
      <c r="BJ20" s="324">
        <v>5000</v>
      </c>
      <c r="BK20" s="325">
        <v>5000</v>
      </c>
      <c r="BL20" s="324">
        <v>200</v>
      </c>
      <c r="BM20" s="324">
        <v>200</v>
      </c>
      <c r="BN20" s="324">
        <v>200</v>
      </c>
      <c r="BO20" s="324">
        <v>200</v>
      </c>
      <c r="BP20" s="325">
        <v>200</v>
      </c>
      <c r="BQ20" s="326">
        <v>0</v>
      </c>
      <c r="BR20" s="324">
        <v>0</v>
      </c>
      <c r="BS20" s="324">
        <v>0</v>
      </c>
      <c r="BT20" s="324">
        <v>0</v>
      </c>
      <c r="BU20" s="325">
        <v>0</v>
      </c>
      <c r="BV20" s="327" t="s">
        <v>400</v>
      </c>
      <c r="BW20" s="324">
        <v>1400</v>
      </c>
      <c r="BX20" s="324">
        <v>1300</v>
      </c>
      <c r="BY20" s="324">
        <v>1200</v>
      </c>
      <c r="BZ20" s="324">
        <v>1100</v>
      </c>
      <c r="CA20" s="325">
        <v>1100</v>
      </c>
      <c r="CB20" s="324">
        <v>500</v>
      </c>
      <c r="CC20" s="324">
        <v>500</v>
      </c>
      <c r="CD20" s="324">
        <v>500</v>
      </c>
      <c r="CE20" s="324">
        <v>500</v>
      </c>
      <c r="CF20" s="325">
        <v>500</v>
      </c>
      <c r="CG20" s="326">
        <v>20</v>
      </c>
      <c r="CH20" s="324">
        <v>20</v>
      </c>
      <c r="CI20" s="324">
        <v>20</v>
      </c>
      <c r="CJ20" s="324">
        <v>20</v>
      </c>
      <c r="CK20" s="325">
        <v>20</v>
      </c>
    </row>
    <row r="21" spans="1:89" s="315" customFormat="1" x14ac:dyDescent="0.2">
      <c r="A21" s="316" t="s">
        <v>401</v>
      </c>
      <c r="B21" s="317" t="s">
        <v>501</v>
      </c>
      <c r="C21" s="318" t="s">
        <v>402</v>
      </c>
      <c r="D21" s="319" t="s">
        <v>498</v>
      </c>
      <c r="E21" s="320" t="s">
        <v>498</v>
      </c>
      <c r="F21" s="320" t="s">
        <v>498</v>
      </c>
      <c r="G21" s="320" t="s">
        <v>498</v>
      </c>
      <c r="H21" s="321" t="s">
        <v>498</v>
      </c>
      <c r="I21" s="320"/>
      <c r="J21" s="320"/>
      <c r="K21" s="320"/>
      <c r="L21" s="320"/>
      <c r="M21" s="321"/>
      <c r="N21" s="320">
        <v>100</v>
      </c>
      <c r="O21" s="320">
        <v>100</v>
      </c>
      <c r="P21" s="320">
        <v>100</v>
      </c>
      <c r="Q21" s="320">
        <v>100</v>
      </c>
      <c r="R21" s="321">
        <v>100</v>
      </c>
      <c r="S21" s="320"/>
      <c r="T21" s="320"/>
      <c r="U21" s="320"/>
      <c r="V21" s="320"/>
      <c r="W21" s="321"/>
      <c r="X21" s="320">
        <v>100</v>
      </c>
      <c r="Y21" s="320">
        <v>100</v>
      </c>
      <c r="Z21" s="320">
        <v>100</v>
      </c>
      <c r="AA21" s="320">
        <v>100</v>
      </c>
      <c r="AB21" s="321">
        <v>100</v>
      </c>
      <c r="AC21" s="322">
        <v>3.3</v>
      </c>
      <c r="AD21" s="322">
        <v>3.5</v>
      </c>
      <c r="AE21" s="322">
        <v>4</v>
      </c>
      <c r="AF21" s="322">
        <v>4.5</v>
      </c>
      <c r="AG21" s="323">
        <v>4.5</v>
      </c>
      <c r="AH21" s="322">
        <v>0</v>
      </c>
      <c r="AI21" s="322">
        <v>0</v>
      </c>
      <c r="AJ21" s="322">
        <v>0</v>
      </c>
      <c r="AK21" s="322">
        <v>0</v>
      </c>
      <c r="AL21" s="323">
        <v>0</v>
      </c>
      <c r="AM21" s="322">
        <v>0</v>
      </c>
      <c r="AN21" s="322">
        <v>0</v>
      </c>
      <c r="AO21" s="322">
        <v>0</v>
      </c>
      <c r="AP21" s="322">
        <v>0</v>
      </c>
      <c r="AQ21" s="323">
        <v>0</v>
      </c>
      <c r="AR21" s="320"/>
      <c r="AS21" s="320"/>
      <c r="AT21" s="320"/>
      <c r="AU21" s="320"/>
      <c r="AV21" s="321"/>
      <c r="AW21" s="320">
        <v>20</v>
      </c>
      <c r="AX21" s="320">
        <v>20</v>
      </c>
      <c r="AY21" s="320">
        <v>20</v>
      </c>
      <c r="AZ21" s="320">
        <v>20</v>
      </c>
      <c r="BA21" s="321">
        <v>20</v>
      </c>
      <c r="BB21" s="324">
        <v>360000</v>
      </c>
      <c r="BC21" s="324">
        <v>360000</v>
      </c>
      <c r="BD21" s="324">
        <v>320000</v>
      </c>
      <c r="BE21" s="324">
        <v>280000</v>
      </c>
      <c r="BF21" s="325">
        <v>280000</v>
      </c>
      <c r="BG21" s="324">
        <v>540</v>
      </c>
      <c r="BH21" s="324">
        <v>540</v>
      </c>
      <c r="BI21" s="324">
        <v>540</v>
      </c>
      <c r="BJ21" s="324">
        <v>540</v>
      </c>
      <c r="BK21" s="325">
        <v>540</v>
      </c>
      <c r="BL21" s="324">
        <v>600</v>
      </c>
      <c r="BM21" s="324">
        <v>600</v>
      </c>
      <c r="BN21" s="324">
        <v>600</v>
      </c>
      <c r="BO21" s="324">
        <v>600</v>
      </c>
      <c r="BP21" s="325">
        <v>600</v>
      </c>
      <c r="BQ21" s="326">
        <v>0</v>
      </c>
      <c r="BR21" s="324">
        <v>0</v>
      </c>
      <c r="BS21" s="324">
        <v>0</v>
      </c>
      <c r="BT21" s="324">
        <v>0</v>
      </c>
      <c r="BU21" s="325">
        <v>0</v>
      </c>
      <c r="BV21" s="327" t="s">
        <v>400</v>
      </c>
      <c r="BW21" s="333">
        <v>900</v>
      </c>
      <c r="BX21" s="333">
        <v>900</v>
      </c>
      <c r="BY21" s="333">
        <v>800</v>
      </c>
      <c r="BZ21" s="333">
        <v>700</v>
      </c>
      <c r="CA21" s="334">
        <v>700</v>
      </c>
      <c r="CB21" s="342">
        <v>1.35</v>
      </c>
      <c r="CC21" s="328">
        <v>1.35</v>
      </c>
      <c r="CD21" s="328">
        <v>1.35</v>
      </c>
      <c r="CE21" s="328">
        <v>1.35</v>
      </c>
      <c r="CF21" s="329">
        <v>1.35</v>
      </c>
      <c r="CG21" s="330">
        <v>1.5</v>
      </c>
      <c r="CH21" s="328">
        <v>1.5</v>
      </c>
      <c r="CI21" s="328">
        <v>1.5</v>
      </c>
      <c r="CJ21" s="328">
        <v>1.5</v>
      </c>
      <c r="CK21" s="329">
        <v>1.5</v>
      </c>
    </row>
    <row r="22" spans="1:89" s="315" customFormat="1" x14ac:dyDescent="0.2">
      <c r="A22" s="316" t="s">
        <v>403</v>
      </c>
      <c r="B22" s="317" t="s">
        <v>502</v>
      </c>
      <c r="C22" s="318" t="s">
        <v>403</v>
      </c>
      <c r="D22" s="339">
        <v>15</v>
      </c>
      <c r="E22" s="335">
        <v>15</v>
      </c>
      <c r="F22" s="335">
        <v>15</v>
      </c>
      <c r="G22" s="335">
        <v>15</v>
      </c>
      <c r="H22" s="336">
        <v>15</v>
      </c>
      <c r="I22" s="320"/>
      <c r="J22" s="320"/>
      <c r="K22" s="320"/>
      <c r="L22" s="320"/>
      <c r="M22" s="321"/>
      <c r="N22" s="320">
        <v>0</v>
      </c>
      <c r="O22" s="320">
        <v>0</v>
      </c>
      <c r="P22" s="320">
        <v>0</v>
      </c>
      <c r="Q22" s="320">
        <v>0</v>
      </c>
      <c r="R22" s="321">
        <v>0</v>
      </c>
      <c r="S22" s="320"/>
      <c r="T22" s="320"/>
      <c r="U22" s="320"/>
      <c r="V22" s="320"/>
      <c r="W22" s="321"/>
      <c r="X22" s="320">
        <v>0</v>
      </c>
      <c r="Y22" s="320">
        <v>0</v>
      </c>
      <c r="Z22" s="320">
        <v>0</v>
      </c>
      <c r="AA22" s="320">
        <v>0</v>
      </c>
      <c r="AB22" s="321">
        <v>0</v>
      </c>
      <c r="AC22" s="322">
        <v>0</v>
      </c>
      <c r="AD22" s="322">
        <v>0</v>
      </c>
      <c r="AE22" s="322">
        <v>0</v>
      </c>
      <c r="AF22" s="322">
        <v>0</v>
      </c>
      <c r="AG22" s="323">
        <v>0</v>
      </c>
      <c r="AH22" s="322">
        <v>0</v>
      </c>
      <c r="AI22" s="322">
        <v>0</v>
      </c>
      <c r="AJ22" s="322">
        <v>0</v>
      </c>
      <c r="AK22" s="322">
        <v>0</v>
      </c>
      <c r="AL22" s="323">
        <v>0</v>
      </c>
      <c r="AM22" s="322">
        <v>0</v>
      </c>
      <c r="AN22" s="322">
        <v>0</v>
      </c>
      <c r="AO22" s="322">
        <v>0</v>
      </c>
      <c r="AP22" s="322">
        <v>0</v>
      </c>
      <c r="AQ22" s="323">
        <v>0</v>
      </c>
      <c r="AR22" s="320"/>
      <c r="AS22" s="320"/>
      <c r="AT22" s="320"/>
      <c r="AU22" s="320"/>
      <c r="AV22" s="321"/>
      <c r="AW22" s="320">
        <v>0</v>
      </c>
      <c r="AX22" s="320">
        <v>0</v>
      </c>
      <c r="AY22" s="320">
        <v>0</v>
      </c>
      <c r="AZ22" s="320">
        <v>0</v>
      </c>
      <c r="BA22" s="321">
        <v>0</v>
      </c>
      <c r="BB22" s="328">
        <v>16350</v>
      </c>
      <c r="BC22" s="328">
        <v>16350</v>
      </c>
      <c r="BD22" s="328">
        <v>12262.5</v>
      </c>
      <c r="BE22" s="328">
        <v>12262.5</v>
      </c>
      <c r="BF22" s="329">
        <v>10627.5</v>
      </c>
      <c r="BG22" s="328">
        <v>9385</v>
      </c>
      <c r="BH22" s="328">
        <v>9385</v>
      </c>
      <c r="BI22" s="328">
        <v>9385</v>
      </c>
      <c r="BJ22" s="328">
        <v>9385</v>
      </c>
      <c r="BK22" s="329">
        <v>9385</v>
      </c>
      <c r="BL22" s="328">
        <v>300</v>
      </c>
      <c r="BM22" s="328">
        <v>300</v>
      </c>
      <c r="BN22" s="328">
        <v>300</v>
      </c>
      <c r="BO22" s="328">
        <v>300</v>
      </c>
      <c r="BP22" s="329">
        <v>300</v>
      </c>
      <c r="BQ22" s="326">
        <v>0</v>
      </c>
      <c r="BR22" s="324">
        <v>0</v>
      </c>
      <c r="BS22" s="324">
        <v>0</v>
      </c>
      <c r="BT22" s="324">
        <v>0</v>
      </c>
      <c r="BU22" s="325">
        <v>0</v>
      </c>
      <c r="BV22" s="327" t="s">
        <v>404</v>
      </c>
      <c r="BW22" s="324">
        <v>1090</v>
      </c>
      <c r="BX22" s="324">
        <v>1090</v>
      </c>
      <c r="BY22" s="324">
        <v>817.5</v>
      </c>
      <c r="BZ22" s="324">
        <v>817.5</v>
      </c>
      <c r="CA22" s="325">
        <v>708.5</v>
      </c>
      <c r="CB22" s="324">
        <v>625.66666666666663</v>
      </c>
      <c r="CC22" s="324">
        <v>625.66666666666663</v>
      </c>
      <c r="CD22" s="324">
        <v>625.66666666666663</v>
      </c>
      <c r="CE22" s="324">
        <v>625.66666666666663</v>
      </c>
      <c r="CF22" s="325">
        <v>625.66666666666663</v>
      </c>
      <c r="CG22" s="326">
        <v>20</v>
      </c>
      <c r="CH22" s="324">
        <v>20</v>
      </c>
      <c r="CI22" s="324">
        <v>20</v>
      </c>
      <c r="CJ22" s="324">
        <v>20</v>
      </c>
      <c r="CK22" s="325">
        <v>20</v>
      </c>
    </row>
    <row r="23" spans="1:89" s="315" customFormat="1" x14ac:dyDescent="0.2">
      <c r="A23" s="316"/>
      <c r="B23" s="317"/>
      <c r="C23" s="318" t="s">
        <v>405</v>
      </c>
      <c r="D23" s="339">
        <v>290</v>
      </c>
      <c r="E23" s="335">
        <v>290</v>
      </c>
      <c r="F23" s="335">
        <v>290</v>
      </c>
      <c r="G23" s="335">
        <v>290</v>
      </c>
      <c r="H23" s="336">
        <v>290</v>
      </c>
      <c r="I23" s="320"/>
      <c r="J23" s="320"/>
      <c r="K23" s="320"/>
      <c r="L23" s="320"/>
      <c r="M23" s="321"/>
      <c r="N23" s="320"/>
      <c r="O23" s="320"/>
      <c r="P23" s="320"/>
      <c r="Q23" s="320"/>
      <c r="R23" s="321"/>
      <c r="S23" s="320"/>
      <c r="T23" s="320"/>
      <c r="U23" s="320"/>
      <c r="V23" s="320"/>
      <c r="W23" s="321"/>
      <c r="X23" s="320"/>
      <c r="Y23" s="320"/>
      <c r="Z23" s="320"/>
      <c r="AA23" s="320"/>
      <c r="AB23" s="321"/>
      <c r="AC23" s="322">
        <v>0</v>
      </c>
      <c r="AD23" s="322">
        <v>0</v>
      </c>
      <c r="AE23" s="322">
        <v>0</v>
      </c>
      <c r="AF23" s="322">
        <v>0</v>
      </c>
      <c r="AG23" s="323">
        <v>0</v>
      </c>
      <c r="AH23" s="322">
        <v>0</v>
      </c>
      <c r="AI23" s="322">
        <v>0</v>
      </c>
      <c r="AJ23" s="322">
        <v>0</v>
      </c>
      <c r="AK23" s="322">
        <v>0</v>
      </c>
      <c r="AL23" s="323">
        <v>0</v>
      </c>
      <c r="AM23" s="322">
        <v>0</v>
      </c>
      <c r="AN23" s="322">
        <v>0</v>
      </c>
      <c r="AO23" s="322">
        <v>0</v>
      </c>
      <c r="AP23" s="322">
        <v>0</v>
      </c>
      <c r="AQ23" s="323">
        <v>0</v>
      </c>
      <c r="AR23" s="320"/>
      <c r="AS23" s="320"/>
      <c r="AT23" s="320"/>
      <c r="AU23" s="320"/>
      <c r="AV23" s="321"/>
      <c r="AW23" s="320"/>
      <c r="AX23" s="320"/>
      <c r="AY23" s="320"/>
      <c r="AZ23" s="320"/>
      <c r="BA23" s="321"/>
      <c r="BB23" s="328">
        <v>87000</v>
      </c>
      <c r="BC23" s="328">
        <v>87000</v>
      </c>
      <c r="BD23" s="328">
        <v>65250</v>
      </c>
      <c r="BE23" s="328">
        <v>65250</v>
      </c>
      <c r="BF23" s="329">
        <v>56550</v>
      </c>
      <c r="BG23" s="328">
        <v>18770</v>
      </c>
      <c r="BH23" s="328">
        <v>18770</v>
      </c>
      <c r="BI23" s="328">
        <v>18770</v>
      </c>
      <c r="BJ23" s="328">
        <v>18770</v>
      </c>
      <c r="BK23" s="329">
        <v>18770</v>
      </c>
      <c r="BL23" s="328">
        <v>300</v>
      </c>
      <c r="BM23" s="328">
        <v>300</v>
      </c>
      <c r="BN23" s="328">
        <v>300</v>
      </c>
      <c r="BO23" s="328">
        <v>300</v>
      </c>
      <c r="BP23" s="329">
        <v>300</v>
      </c>
      <c r="BQ23" s="326"/>
      <c r="BR23" s="324"/>
      <c r="BS23" s="324"/>
      <c r="BT23" s="324"/>
      <c r="BU23" s="325"/>
      <c r="BV23" s="327"/>
      <c r="BW23" s="324">
        <v>300</v>
      </c>
      <c r="BX23" s="324">
        <v>300</v>
      </c>
      <c r="BY23" s="324">
        <v>225</v>
      </c>
      <c r="BZ23" s="324">
        <v>225</v>
      </c>
      <c r="CA23" s="325">
        <v>195</v>
      </c>
      <c r="CB23" s="324">
        <v>64.724137931034477</v>
      </c>
      <c r="CC23" s="324">
        <v>64.724137931034477</v>
      </c>
      <c r="CD23" s="324">
        <v>64.724137931034477</v>
      </c>
      <c r="CE23" s="324">
        <v>64.724137931034477</v>
      </c>
      <c r="CF23" s="325">
        <v>64.724137931034477</v>
      </c>
      <c r="CG23" s="326">
        <v>1.0344827586206897</v>
      </c>
      <c r="CH23" s="324">
        <v>1.0344827586206897</v>
      </c>
      <c r="CI23" s="324">
        <v>1.0344827586206897</v>
      </c>
      <c r="CJ23" s="324">
        <v>1.0344827586206897</v>
      </c>
      <c r="CK23" s="325">
        <v>1.0344827586206897</v>
      </c>
    </row>
    <row r="24" spans="1:89" s="315" customFormat="1" x14ac:dyDescent="0.2">
      <c r="A24" s="316" t="s">
        <v>406</v>
      </c>
      <c r="B24" s="317" t="s">
        <v>503</v>
      </c>
      <c r="C24" s="318" t="s">
        <v>407</v>
      </c>
      <c r="D24" s="319">
        <v>2</v>
      </c>
      <c r="E24" s="320">
        <v>2</v>
      </c>
      <c r="F24" s="320">
        <v>2</v>
      </c>
      <c r="G24" s="320">
        <v>2</v>
      </c>
      <c r="H24" s="321">
        <v>2</v>
      </c>
      <c r="I24" s="320"/>
      <c r="J24" s="320"/>
      <c r="K24" s="320"/>
      <c r="L24" s="320"/>
      <c r="M24" s="321"/>
      <c r="N24" s="320">
        <v>40</v>
      </c>
      <c r="O24" s="320">
        <v>40</v>
      </c>
      <c r="P24" s="320">
        <v>40</v>
      </c>
      <c r="Q24" s="320">
        <v>40</v>
      </c>
      <c r="R24" s="321">
        <v>40</v>
      </c>
      <c r="S24" s="320"/>
      <c r="T24" s="320"/>
      <c r="U24" s="320"/>
      <c r="V24" s="320"/>
      <c r="W24" s="321"/>
      <c r="X24" s="320">
        <v>0</v>
      </c>
      <c r="Y24" s="320">
        <v>0</v>
      </c>
      <c r="Z24" s="320">
        <v>0</v>
      </c>
      <c r="AA24" s="320">
        <v>0</v>
      </c>
      <c r="AB24" s="321">
        <v>0</v>
      </c>
      <c r="AC24" s="322">
        <v>3</v>
      </c>
      <c r="AD24" s="322">
        <v>3.1</v>
      </c>
      <c r="AE24" s="322">
        <v>3.4</v>
      </c>
      <c r="AF24" s="322">
        <v>3.5</v>
      </c>
      <c r="AG24" s="323">
        <v>3.5</v>
      </c>
      <c r="AH24" s="322">
        <v>0</v>
      </c>
      <c r="AI24" s="322">
        <v>0</v>
      </c>
      <c r="AJ24" s="322">
        <v>0</v>
      </c>
      <c r="AK24" s="322">
        <v>0</v>
      </c>
      <c r="AL24" s="323">
        <v>0</v>
      </c>
      <c r="AM24" s="322">
        <v>0</v>
      </c>
      <c r="AN24" s="322">
        <v>0</v>
      </c>
      <c r="AO24" s="322">
        <v>0</v>
      </c>
      <c r="AP24" s="322">
        <v>0</v>
      </c>
      <c r="AQ24" s="323">
        <v>0</v>
      </c>
      <c r="AR24" s="320"/>
      <c r="AS24" s="320"/>
      <c r="AT24" s="320"/>
      <c r="AU24" s="320"/>
      <c r="AV24" s="321"/>
      <c r="AW24" s="320">
        <v>20</v>
      </c>
      <c r="AX24" s="320">
        <v>20</v>
      </c>
      <c r="AY24" s="320">
        <v>20</v>
      </c>
      <c r="AZ24" s="320">
        <v>20</v>
      </c>
      <c r="BA24" s="321">
        <v>20</v>
      </c>
      <c r="BB24" s="324">
        <v>2000</v>
      </c>
      <c r="BC24" s="324">
        <v>1900</v>
      </c>
      <c r="BD24" s="324">
        <v>1800</v>
      </c>
      <c r="BE24" s="324">
        <v>1700</v>
      </c>
      <c r="BF24" s="325">
        <v>1700</v>
      </c>
      <c r="BG24" s="324">
        <v>0</v>
      </c>
      <c r="BH24" s="324">
        <v>0</v>
      </c>
      <c r="BI24" s="324">
        <v>0</v>
      </c>
      <c r="BJ24" s="324">
        <v>0</v>
      </c>
      <c r="BK24" s="325">
        <v>0</v>
      </c>
      <c r="BL24" s="324">
        <v>150</v>
      </c>
      <c r="BM24" s="324">
        <v>150</v>
      </c>
      <c r="BN24" s="324">
        <v>150</v>
      </c>
      <c r="BO24" s="324">
        <v>150</v>
      </c>
      <c r="BP24" s="325">
        <v>150</v>
      </c>
      <c r="BQ24" s="326">
        <v>0</v>
      </c>
      <c r="BR24" s="324">
        <v>0</v>
      </c>
      <c r="BS24" s="324">
        <v>0</v>
      </c>
      <c r="BT24" s="324">
        <v>0</v>
      </c>
      <c r="BU24" s="325">
        <v>0</v>
      </c>
      <c r="BV24" s="343"/>
      <c r="BW24" s="324">
        <v>1000</v>
      </c>
      <c r="BX24" s="324">
        <v>950</v>
      </c>
      <c r="BY24" s="324">
        <v>900</v>
      </c>
      <c r="BZ24" s="324">
        <v>850</v>
      </c>
      <c r="CA24" s="325">
        <v>850</v>
      </c>
      <c r="CB24" s="324">
        <v>0</v>
      </c>
      <c r="CC24" s="324">
        <v>0</v>
      </c>
      <c r="CD24" s="324">
        <v>0</v>
      </c>
      <c r="CE24" s="324">
        <v>0</v>
      </c>
      <c r="CF24" s="325">
        <v>0</v>
      </c>
      <c r="CG24" s="326">
        <v>75</v>
      </c>
      <c r="CH24" s="324">
        <v>75</v>
      </c>
      <c r="CI24" s="324">
        <v>75</v>
      </c>
      <c r="CJ24" s="324">
        <v>75</v>
      </c>
      <c r="CK24" s="325">
        <v>75</v>
      </c>
    </row>
    <row r="25" spans="1:89" s="315" customFormat="1" x14ac:dyDescent="0.2">
      <c r="A25" s="316" t="s">
        <v>408</v>
      </c>
      <c r="B25" s="317" t="s">
        <v>504</v>
      </c>
      <c r="C25" s="318" t="s">
        <v>409</v>
      </c>
      <c r="D25" s="319" t="s">
        <v>505</v>
      </c>
      <c r="E25" s="320" t="s">
        <v>505</v>
      </c>
      <c r="F25" s="320" t="s">
        <v>505</v>
      </c>
      <c r="G25" s="320" t="s">
        <v>505</v>
      </c>
      <c r="H25" s="321" t="s">
        <v>505</v>
      </c>
      <c r="I25" s="320"/>
      <c r="J25" s="320"/>
      <c r="K25" s="320"/>
      <c r="L25" s="320"/>
      <c r="M25" s="321"/>
      <c r="N25" s="320">
        <v>40</v>
      </c>
      <c r="O25" s="320">
        <v>40</v>
      </c>
      <c r="P25" s="320">
        <v>40</v>
      </c>
      <c r="Q25" s="320">
        <v>40</v>
      </c>
      <c r="R25" s="321">
        <v>40</v>
      </c>
      <c r="S25" s="320"/>
      <c r="T25" s="320"/>
      <c r="U25" s="320"/>
      <c r="V25" s="320"/>
      <c r="W25" s="321"/>
      <c r="X25" s="320">
        <v>0</v>
      </c>
      <c r="Y25" s="320">
        <v>0</v>
      </c>
      <c r="Z25" s="320">
        <v>0</v>
      </c>
      <c r="AA25" s="320">
        <v>0</v>
      </c>
      <c r="AB25" s="321">
        <v>0</v>
      </c>
      <c r="AC25" s="322">
        <v>3</v>
      </c>
      <c r="AD25" s="322">
        <v>3.1</v>
      </c>
      <c r="AE25" s="322">
        <v>3.4</v>
      </c>
      <c r="AF25" s="322">
        <v>3.5</v>
      </c>
      <c r="AG25" s="323">
        <v>3.5</v>
      </c>
      <c r="AH25" s="322">
        <v>0</v>
      </c>
      <c r="AI25" s="322">
        <v>0</v>
      </c>
      <c r="AJ25" s="322">
        <v>0</v>
      </c>
      <c r="AK25" s="322">
        <v>0</v>
      </c>
      <c r="AL25" s="323">
        <v>0</v>
      </c>
      <c r="AM25" s="322">
        <v>0</v>
      </c>
      <c r="AN25" s="322">
        <v>0</v>
      </c>
      <c r="AO25" s="322">
        <v>0</v>
      </c>
      <c r="AP25" s="322">
        <v>0</v>
      </c>
      <c r="AQ25" s="323">
        <v>0</v>
      </c>
      <c r="AR25" s="320"/>
      <c r="AS25" s="320"/>
      <c r="AT25" s="320"/>
      <c r="AU25" s="320"/>
      <c r="AV25" s="321"/>
      <c r="AW25" s="320">
        <v>20</v>
      </c>
      <c r="AX25" s="320">
        <v>20</v>
      </c>
      <c r="AY25" s="320">
        <v>20</v>
      </c>
      <c r="AZ25" s="320">
        <v>20</v>
      </c>
      <c r="BA25" s="321">
        <v>20</v>
      </c>
      <c r="BB25" s="324">
        <v>85600</v>
      </c>
      <c r="BC25" s="324">
        <v>85600</v>
      </c>
      <c r="BD25" s="324">
        <v>74900</v>
      </c>
      <c r="BE25" s="324">
        <v>74900</v>
      </c>
      <c r="BF25" s="325">
        <v>74900</v>
      </c>
      <c r="BG25" s="324">
        <v>0</v>
      </c>
      <c r="BH25" s="324">
        <v>0</v>
      </c>
      <c r="BI25" s="324">
        <v>0</v>
      </c>
      <c r="BJ25" s="324">
        <v>0</v>
      </c>
      <c r="BK25" s="325">
        <v>0</v>
      </c>
      <c r="BL25" s="324">
        <v>450</v>
      </c>
      <c r="BM25" s="324">
        <v>450</v>
      </c>
      <c r="BN25" s="324">
        <v>450</v>
      </c>
      <c r="BO25" s="324">
        <v>450</v>
      </c>
      <c r="BP25" s="325">
        <v>450</v>
      </c>
      <c r="BQ25" s="326">
        <v>0</v>
      </c>
      <c r="BR25" s="324">
        <v>0</v>
      </c>
      <c r="BS25" s="324">
        <v>0</v>
      </c>
      <c r="BT25" s="324">
        <v>0</v>
      </c>
      <c r="BU25" s="325">
        <v>0</v>
      </c>
      <c r="BV25" s="343"/>
      <c r="BW25" s="333">
        <v>800</v>
      </c>
      <c r="BX25" s="333">
        <v>800</v>
      </c>
      <c r="BY25" s="333">
        <v>700</v>
      </c>
      <c r="BZ25" s="333">
        <v>700</v>
      </c>
      <c r="CA25" s="334">
        <v>700</v>
      </c>
      <c r="CB25" s="324" t="s">
        <v>499</v>
      </c>
      <c r="CC25" s="324" t="s">
        <v>499</v>
      </c>
      <c r="CD25" s="324" t="s">
        <v>499</v>
      </c>
      <c r="CE25" s="324" t="s">
        <v>499</v>
      </c>
      <c r="CF25" s="325" t="s">
        <v>499</v>
      </c>
      <c r="CG25" s="330">
        <v>4.2056074766355138</v>
      </c>
      <c r="CH25" s="328">
        <v>4.2056074766355138</v>
      </c>
      <c r="CI25" s="328">
        <v>4.2056074766355138</v>
      </c>
      <c r="CJ25" s="328">
        <v>4.2056074766355138</v>
      </c>
      <c r="CK25" s="329">
        <v>4.2056074766355138</v>
      </c>
    </row>
    <row r="26" spans="1:89" s="315" customFormat="1" x14ac:dyDescent="0.2">
      <c r="A26" s="317" t="s">
        <v>573</v>
      </c>
      <c r="B26" s="317" t="s">
        <v>574</v>
      </c>
      <c r="C26" s="317" t="s">
        <v>407</v>
      </c>
      <c r="D26" s="319">
        <v>3.6</v>
      </c>
      <c r="E26" s="320">
        <v>3.6</v>
      </c>
      <c r="F26" s="320">
        <v>3.6</v>
      </c>
      <c r="G26" s="320">
        <v>3.6</v>
      </c>
      <c r="H26" s="321">
        <v>3.6</v>
      </c>
      <c r="I26" s="320">
        <v>2.5</v>
      </c>
      <c r="J26" s="320">
        <v>2.5</v>
      </c>
      <c r="K26" s="320">
        <v>2.5</v>
      </c>
      <c r="L26" s="320">
        <v>2.5</v>
      </c>
      <c r="M26" s="321">
        <v>2.5</v>
      </c>
      <c r="N26" s="320">
        <v>100</v>
      </c>
      <c r="O26" s="320">
        <v>100</v>
      </c>
      <c r="P26" s="320">
        <v>100</v>
      </c>
      <c r="Q26" s="320">
        <v>100</v>
      </c>
      <c r="R26" s="321">
        <v>100</v>
      </c>
      <c r="S26" s="320">
        <v>100</v>
      </c>
      <c r="T26" s="320">
        <v>100</v>
      </c>
      <c r="U26" s="320">
        <v>100</v>
      </c>
      <c r="V26" s="320">
        <v>100</v>
      </c>
      <c r="W26" s="321">
        <v>100</v>
      </c>
      <c r="X26" s="320">
        <v>0</v>
      </c>
      <c r="Y26" s="320">
        <v>0</v>
      </c>
      <c r="Z26" s="320">
        <v>0</v>
      </c>
      <c r="AA26" s="320">
        <v>0</v>
      </c>
      <c r="AB26" s="321">
        <v>0</v>
      </c>
      <c r="AC26" s="384">
        <v>0</v>
      </c>
      <c r="AD26" s="384">
        <v>0</v>
      </c>
      <c r="AE26" s="384">
        <v>0</v>
      </c>
      <c r="AF26" s="384">
        <v>0</v>
      </c>
      <c r="AG26" s="385">
        <v>0</v>
      </c>
      <c r="AH26" s="351">
        <v>3</v>
      </c>
      <c r="AI26" s="351">
        <v>3.1</v>
      </c>
      <c r="AJ26" s="351">
        <v>3.4</v>
      </c>
      <c r="AK26" s="351">
        <v>3.5</v>
      </c>
      <c r="AL26" s="386">
        <v>3.5</v>
      </c>
      <c r="AM26" s="351">
        <v>3</v>
      </c>
      <c r="AN26" s="351">
        <v>3.1</v>
      </c>
      <c r="AO26" s="351">
        <v>3.4</v>
      </c>
      <c r="AP26" s="351">
        <v>3.5</v>
      </c>
      <c r="AQ26" s="386">
        <v>3.5</v>
      </c>
      <c r="AR26" s="320">
        <v>0</v>
      </c>
      <c r="AS26" s="320">
        <v>0</v>
      </c>
      <c r="AT26" s="320">
        <v>0</v>
      </c>
      <c r="AU26" s="320">
        <v>0</v>
      </c>
      <c r="AV26" s="321">
        <v>0</v>
      </c>
      <c r="AW26" s="335">
        <v>20</v>
      </c>
      <c r="AX26" s="335">
        <v>20</v>
      </c>
      <c r="AY26" s="335">
        <v>20</v>
      </c>
      <c r="AZ26" s="335">
        <v>20</v>
      </c>
      <c r="BA26" s="336">
        <v>20</v>
      </c>
      <c r="BB26" s="324">
        <v>1875</v>
      </c>
      <c r="BC26" s="324">
        <v>1781.25</v>
      </c>
      <c r="BD26" s="324">
        <v>1593.75</v>
      </c>
      <c r="BE26" s="324">
        <v>1500</v>
      </c>
      <c r="BF26" s="325">
        <v>1406.25</v>
      </c>
      <c r="BG26" s="328">
        <v>1500</v>
      </c>
      <c r="BH26" s="328">
        <v>1500</v>
      </c>
      <c r="BI26" s="328">
        <v>1500</v>
      </c>
      <c r="BJ26" s="328">
        <v>1500</v>
      </c>
      <c r="BK26" s="329">
        <v>1500</v>
      </c>
      <c r="BL26" s="324">
        <v>294.44</v>
      </c>
      <c r="BM26" s="324">
        <v>294.44</v>
      </c>
      <c r="BN26" s="324">
        <v>294.44</v>
      </c>
      <c r="BO26" s="324">
        <v>294.44</v>
      </c>
      <c r="BP26" s="325">
        <v>294.44</v>
      </c>
      <c r="BQ26" s="324"/>
      <c r="BR26" s="324"/>
      <c r="BS26" s="324"/>
      <c r="BT26" s="324"/>
      <c r="BU26" s="325"/>
      <c r="BV26" s="327"/>
      <c r="BW26" s="326">
        <v>520.83333333333337</v>
      </c>
      <c r="BX26" s="324">
        <v>494.79166666666663</v>
      </c>
      <c r="BY26" s="324">
        <v>442.70833333333331</v>
      </c>
      <c r="BZ26" s="324">
        <v>416.66666666666663</v>
      </c>
      <c r="CA26" s="325">
        <v>390.625</v>
      </c>
      <c r="CB26" s="326">
        <v>416.66666666666663</v>
      </c>
      <c r="CC26" s="324">
        <v>416.66666666666663</v>
      </c>
      <c r="CD26" s="324">
        <v>416.66666666666663</v>
      </c>
      <c r="CE26" s="324">
        <v>416.66666666666663</v>
      </c>
      <c r="CF26" s="325">
        <v>416.66666666666663</v>
      </c>
      <c r="CG26" s="326">
        <v>81.788888888888891</v>
      </c>
      <c r="CH26" s="324">
        <v>81.788888888888891</v>
      </c>
      <c r="CI26" s="324">
        <v>81.788888888888891</v>
      </c>
      <c r="CJ26" s="324">
        <v>81.788888888888891</v>
      </c>
      <c r="CK26" s="325">
        <v>81.788888888888891</v>
      </c>
    </row>
    <row r="27" spans="1:89" s="315" customFormat="1" x14ac:dyDescent="0.2">
      <c r="A27" s="308" t="s">
        <v>410</v>
      </c>
      <c r="B27" s="309"/>
      <c r="C27" s="310"/>
      <c r="D27" s="311"/>
      <c r="E27" s="312"/>
      <c r="F27" s="312"/>
      <c r="G27" s="312"/>
      <c r="H27" s="313"/>
      <c r="I27" s="312"/>
      <c r="J27" s="312"/>
      <c r="K27" s="312"/>
      <c r="L27" s="312"/>
      <c r="M27" s="313"/>
      <c r="N27" s="312"/>
      <c r="O27" s="312"/>
      <c r="P27" s="312"/>
      <c r="Q27" s="312"/>
      <c r="R27" s="313"/>
      <c r="S27" s="312"/>
      <c r="T27" s="312"/>
      <c r="U27" s="312"/>
      <c r="V27" s="312"/>
      <c r="W27" s="313"/>
      <c r="X27" s="312"/>
      <c r="Y27" s="312"/>
      <c r="Z27" s="312"/>
      <c r="AA27" s="312"/>
      <c r="AB27" s="313"/>
      <c r="AC27" s="337">
        <v>0</v>
      </c>
      <c r="AD27" s="337">
        <v>0</v>
      </c>
      <c r="AE27" s="337">
        <v>0</v>
      </c>
      <c r="AF27" s="337">
        <v>0</v>
      </c>
      <c r="AG27" s="338">
        <v>0</v>
      </c>
      <c r="AH27" s="337">
        <v>0</v>
      </c>
      <c r="AI27" s="337">
        <v>0</v>
      </c>
      <c r="AJ27" s="337">
        <v>0</v>
      </c>
      <c r="AK27" s="337">
        <v>0</v>
      </c>
      <c r="AL27" s="338">
        <v>0</v>
      </c>
      <c r="AM27" s="337">
        <v>0</v>
      </c>
      <c r="AN27" s="337">
        <v>0</v>
      </c>
      <c r="AO27" s="337">
        <v>0</v>
      </c>
      <c r="AP27" s="337">
        <v>0</v>
      </c>
      <c r="AQ27" s="338">
        <v>0</v>
      </c>
      <c r="AR27" s="312"/>
      <c r="AS27" s="312"/>
      <c r="AT27" s="312"/>
      <c r="AU27" s="312"/>
      <c r="AV27" s="313"/>
      <c r="AW27" s="312"/>
      <c r="AX27" s="312"/>
      <c r="AY27" s="312"/>
      <c r="AZ27" s="312"/>
      <c r="BA27" s="313"/>
      <c r="BB27" s="312">
        <v>0</v>
      </c>
      <c r="BC27" s="312">
        <v>0</v>
      </c>
      <c r="BD27" s="312">
        <v>0</v>
      </c>
      <c r="BE27" s="312">
        <v>0</v>
      </c>
      <c r="BF27" s="313">
        <v>0</v>
      </c>
      <c r="BG27" s="312">
        <v>0</v>
      </c>
      <c r="BH27" s="312">
        <v>0</v>
      </c>
      <c r="BI27" s="312">
        <v>0</v>
      </c>
      <c r="BJ27" s="312">
        <v>0</v>
      </c>
      <c r="BK27" s="313">
        <v>0</v>
      </c>
      <c r="BL27" s="312"/>
      <c r="BM27" s="312"/>
      <c r="BN27" s="312"/>
      <c r="BO27" s="312"/>
      <c r="BP27" s="313"/>
      <c r="BQ27" s="311"/>
      <c r="BR27" s="312"/>
      <c r="BS27" s="312"/>
      <c r="BT27" s="312"/>
      <c r="BU27" s="313"/>
      <c r="BV27" s="314"/>
      <c r="BW27" s="312"/>
      <c r="BX27" s="312"/>
      <c r="BY27" s="312"/>
      <c r="BZ27" s="312"/>
      <c r="CA27" s="313"/>
      <c r="CB27" s="312"/>
      <c r="CC27" s="312"/>
      <c r="CD27" s="312"/>
      <c r="CE27" s="312"/>
      <c r="CF27" s="313"/>
      <c r="CG27" s="311"/>
      <c r="CH27" s="312"/>
      <c r="CI27" s="312"/>
      <c r="CJ27" s="312"/>
      <c r="CK27" s="313"/>
    </row>
    <row r="28" spans="1:89" s="315" customFormat="1" x14ac:dyDescent="0.2">
      <c r="A28" s="316" t="s">
        <v>411</v>
      </c>
      <c r="B28" s="317" t="s">
        <v>506</v>
      </c>
      <c r="C28" s="318" t="s">
        <v>412</v>
      </c>
      <c r="D28" s="319">
        <v>18</v>
      </c>
      <c r="E28" s="320">
        <v>30</v>
      </c>
      <c r="F28" s="320">
        <v>30</v>
      </c>
      <c r="G28" s="320">
        <v>30</v>
      </c>
      <c r="H28" s="321">
        <v>30</v>
      </c>
      <c r="I28" s="320"/>
      <c r="J28" s="320"/>
      <c r="K28" s="320"/>
      <c r="L28" s="320"/>
      <c r="M28" s="321"/>
      <c r="N28" s="320">
        <v>100</v>
      </c>
      <c r="O28" s="320">
        <v>100</v>
      </c>
      <c r="P28" s="320">
        <v>100</v>
      </c>
      <c r="Q28" s="320">
        <v>100</v>
      </c>
      <c r="R28" s="321">
        <v>100</v>
      </c>
      <c r="S28" s="320"/>
      <c r="T28" s="320"/>
      <c r="U28" s="320"/>
      <c r="V28" s="320"/>
      <c r="W28" s="321"/>
      <c r="X28" s="320">
        <v>100</v>
      </c>
      <c r="Y28" s="320">
        <v>100</v>
      </c>
      <c r="Z28" s="320">
        <v>100</v>
      </c>
      <c r="AA28" s="320">
        <v>100</v>
      </c>
      <c r="AB28" s="321">
        <v>100</v>
      </c>
      <c r="AC28" s="322">
        <v>1.35</v>
      </c>
      <c r="AD28" s="322">
        <v>1.45</v>
      </c>
      <c r="AE28" s="322">
        <v>1.7</v>
      </c>
      <c r="AF28" s="322">
        <v>1.7</v>
      </c>
      <c r="AG28" s="323">
        <v>1.7</v>
      </c>
      <c r="AH28" s="322">
        <v>0</v>
      </c>
      <c r="AI28" s="322">
        <v>0</v>
      </c>
      <c r="AJ28" s="322">
        <v>0</v>
      </c>
      <c r="AK28" s="322">
        <v>0</v>
      </c>
      <c r="AL28" s="323">
        <v>0</v>
      </c>
      <c r="AM28" s="322">
        <v>0</v>
      </c>
      <c r="AN28" s="322">
        <v>0</v>
      </c>
      <c r="AO28" s="322">
        <v>0</v>
      </c>
      <c r="AP28" s="322">
        <v>0</v>
      </c>
      <c r="AQ28" s="323">
        <v>0</v>
      </c>
      <c r="AR28" s="320"/>
      <c r="AS28" s="320"/>
      <c r="AT28" s="320"/>
      <c r="AU28" s="320"/>
      <c r="AV28" s="321"/>
      <c r="AW28" s="320">
        <v>22</v>
      </c>
      <c r="AX28" s="320">
        <v>22</v>
      </c>
      <c r="AY28" s="320">
        <v>22</v>
      </c>
      <c r="AZ28" s="320">
        <v>22</v>
      </c>
      <c r="BA28" s="321">
        <v>22</v>
      </c>
      <c r="BB28" s="324">
        <v>15600</v>
      </c>
      <c r="BC28" s="324">
        <v>14600</v>
      </c>
      <c r="BD28" s="324">
        <v>12600</v>
      </c>
      <c r="BE28" s="324">
        <v>12600</v>
      </c>
      <c r="BF28" s="325">
        <v>12600</v>
      </c>
      <c r="BG28" s="324">
        <v>6400</v>
      </c>
      <c r="BH28" s="324">
        <v>6400</v>
      </c>
      <c r="BI28" s="324">
        <v>6400</v>
      </c>
      <c r="BJ28" s="324">
        <v>6400</v>
      </c>
      <c r="BK28" s="325">
        <v>6400</v>
      </c>
      <c r="BL28" s="320">
        <v>235</v>
      </c>
      <c r="BM28" s="320">
        <v>235</v>
      </c>
      <c r="BN28" s="320">
        <v>235</v>
      </c>
      <c r="BO28" s="320">
        <v>235</v>
      </c>
      <c r="BP28" s="321">
        <v>235</v>
      </c>
      <c r="BQ28" s="319"/>
      <c r="BR28" s="320"/>
      <c r="BS28" s="320"/>
      <c r="BT28" s="320"/>
      <c r="BU28" s="321"/>
      <c r="BV28" s="327" t="s">
        <v>413</v>
      </c>
      <c r="BW28" s="324">
        <v>866.66666666666663</v>
      </c>
      <c r="BX28" s="324">
        <v>811.11111111111109</v>
      </c>
      <c r="BY28" s="324">
        <v>700</v>
      </c>
      <c r="BZ28" s="324">
        <v>700</v>
      </c>
      <c r="CA28" s="325">
        <v>700</v>
      </c>
      <c r="CB28" s="324">
        <v>355.55555555555554</v>
      </c>
      <c r="CC28" s="324">
        <v>355.55555555555554</v>
      </c>
      <c r="CD28" s="324">
        <v>355.55555555555554</v>
      </c>
      <c r="CE28" s="324">
        <v>355.55555555555554</v>
      </c>
      <c r="CF28" s="325">
        <v>355.55555555555554</v>
      </c>
      <c r="CG28" s="326">
        <v>13.055555555555555</v>
      </c>
      <c r="CH28" s="324">
        <v>13.055555555555555</v>
      </c>
      <c r="CI28" s="324">
        <v>13.055555555555555</v>
      </c>
      <c r="CJ28" s="324">
        <v>13.055555555555555</v>
      </c>
      <c r="CK28" s="325">
        <v>13.055555555555555</v>
      </c>
    </row>
    <row r="29" spans="1:89" s="315" customFormat="1" x14ac:dyDescent="0.2">
      <c r="A29" s="316" t="s">
        <v>414</v>
      </c>
      <c r="B29" s="317" t="s">
        <v>507</v>
      </c>
      <c r="C29" s="318" t="s">
        <v>415</v>
      </c>
      <c r="D29" s="319">
        <v>44</v>
      </c>
      <c r="E29" s="320">
        <v>80</v>
      </c>
      <c r="F29" s="320">
        <v>80</v>
      </c>
      <c r="G29" s="320">
        <v>80</v>
      </c>
      <c r="H29" s="321">
        <v>80</v>
      </c>
      <c r="I29" s="320"/>
      <c r="J29" s="320"/>
      <c r="K29" s="320"/>
      <c r="L29" s="320"/>
      <c r="M29" s="321"/>
      <c r="N29" s="320">
        <v>100</v>
      </c>
      <c r="O29" s="320">
        <v>100</v>
      </c>
      <c r="P29" s="320">
        <v>100</v>
      </c>
      <c r="Q29" s="320">
        <v>100</v>
      </c>
      <c r="R29" s="321">
        <v>100</v>
      </c>
      <c r="S29" s="320"/>
      <c r="T29" s="320"/>
      <c r="U29" s="320"/>
      <c r="V29" s="320"/>
      <c r="W29" s="321"/>
      <c r="X29" s="320">
        <v>100</v>
      </c>
      <c r="Y29" s="320">
        <v>100</v>
      </c>
      <c r="Z29" s="320">
        <v>100</v>
      </c>
      <c r="AA29" s="320">
        <v>100</v>
      </c>
      <c r="AB29" s="321">
        <v>100</v>
      </c>
      <c r="AC29" s="322">
        <v>1.35</v>
      </c>
      <c r="AD29" s="322">
        <v>1.45</v>
      </c>
      <c r="AE29" s="322">
        <v>1.7</v>
      </c>
      <c r="AF29" s="322">
        <v>1.7</v>
      </c>
      <c r="AG29" s="323">
        <v>1.7</v>
      </c>
      <c r="AH29" s="322">
        <v>0</v>
      </c>
      <c r="AI29" s="322">
        <v>0</v>
      </c>
      <c r="AJ29" s="322">
        <v>0</v>
      </c>
      <c r="AK29" s="322">
        <v>0</v>
      </c>
      <c r="AL29" s="323">
        <v>0</v>
      </c>
      <c r="AM29" s="322">
        <v>0</v>
      </c>
      <c r="AN29" s="322">
        <v>0</v>
      </c>
      <c r="AO29" s="322">
        <v>0</v>
      </c>
      <c r="AP29" s="322">
        <v>0</v>
      </c>
      <c r="AQ29" s="323">
        <v>0</v>
      </c>
      <c r="AR29" s="320"/>
      <c r="AS29" s="320"/>
      <c r="AT29" s="320"/>
      <c r="AU29" s="320"/>
      <c r="AV29" s="321"/>
      <c r="AW29" s="320">
        <v>22</v>
      </c>
      <c r="AX29" s="320">
        <v>22</v>
      </c>
      <c r="AY29" s="320">
        <v>22</v>
      </c>
      <c r="AZ29" s="320">
        <v>22</v>
      </c>
      <c r="BA29" s="321">
        <v>22</v>
      </c>
      <c r="BB29" s="324">
        <v>33000</v>
      </c>
      <c r="BC29" s="324">
        <v>33000</v>
      </c>
      <c r="BD29" s="324">
        <v>32000</v>
      </c>
      <c r="BE29" s="324">
        <v>32000</v>
      </c>
      <c r="BF29" s="325">
        <v>32000</v>
      </c>
      <c r="BG29" s="324">
        <v>24600</v>
      </c>
      <c r="BH29" s="324">
        <v>24600</v>
      </c>
      <c r="BI29" s="324">
        <v>24600</v>
      </c>
      <c r="BJ29" s="324">
        <v>24600</v>
      </c>
      <c r="BK29" s="325">
        <v>24600</v>
      </c>
      <c r="BL29" s="320">
        <v>235</v>
      </c>
      <c r="BM29" s="320">
        <v>235</v>
      </c>
      <c r="BN29" s="320">
        <v>235</v>
      </c>
      <c r="BO29" s="320">
        <v>235</v>
      </c>
      <c r="BP29" s="321">
        <v>235</v>
      </c>
      <c r="BQ29" s="319"/>
      <c r="BR29" s="320"/>
      <c r="BS29" s="320"/>
      <c r="BT29" s="320"/>
      <c r="BU29" s="321"/>
      <c r="BV29" s="327" t="s">
        <v>413</v>
      </c>
      <c r="BW29" s="324">
        <v>750</v>
      </c>
      <c r="BX29" s="324">
        <v>750</v>
      </c>
      <c r="BY29" s="324">
        <v>727.27272727272725</v>
      </c>
      <c r="BZ29" s="324">
        <v>727.27272727272725</v>
      </c>
      <c r="CA29" s="325">
        <v>727.27272727272725</v>
      </c>
      <c r="CB29" s="324">
        <v>559.09090909090912</v>
      </c>
      <c r="CC29" s="324">
        <v>559.09090909090912</v>
      </c>
      <c r="CD29" s="324">
        <v>559.09090909090912</v>
      </c>
      <c r="CE29" s="324">
        <v>559.09090909090912</v>
      </c>
      <c r="CF29" s="325">
        <v>559.09090909090912</v>
      </c>
      <c r="CG29" s="326">
        <v>5.3409090909090908</v>
      </c>
      <c r="CH29" s="324">
        <v>5.3409090909090908</v>
      </c>
      <c r="CI29" s="324">
        <v>5.3409090909090908</v>
      </c>
      <c r="CJ29" s="324">
        <v>5.3409090909090908</v>
      </c>
      <c r="CK29" s="325">
        <v>5.3409090909090908</v>
      </c>
    </row>
    <row r="30" spans="1:89" s="315" customFormat="1" x14ac:dyDescent="0.2">
      <c r="A30" s="316" t="s">
        <v>416</v>
      </c>
      <c r="B30" s="317" t="s">
        <v>508</v>
      </c>
      <c r="C30" s="318" t="s">
        <v>417</v>
      </c>
      <c r="D30" s="319" t="s">
        <v>480</v>
      </c>
      <c r="E30" s="320" t="s">
        <v>480</v>
      </c>
      <c r="F30" s="320" t="s">
        <v>480</v>
      </c>
      <c r="G30" s="320" t="s">
        <v>480</v>
      </c>
      <c r="H30" s="321" t="s">
        <v>480</v>
      </c>
      <c r="I30" s="320"/>
      <c r="J30" s="320"/>
      <c r="K30" s="320"/>
      <c r="L30" s="320"/>
      <c r="M30" s="321"/>
      <c r="N30" s="320">
        <v>100</v>
      </c>
      <c r="O30" s="320">
        <v>100</v>
      </c>
      <c r="P30" s="320">
        <v>100</v>
      </c>
      <c r="Q30" s="320">
        <v>100</v>
      </c>
      <c r="R30" s="321">
        <v>100</v>
      </c>
      <c r="S30" s="320"/>
      <c r="T30" s="320"/>
      <c r="U30" s="320"/>
      <c r="V30" s="320"/>
      <c r="W30" s="321"/>
      <c r="X30" s="320">
        <v>100</v>
      </c>
      <c r="Y30" s="320">
        <v>100</v>
      </c>
      <c r="Z30" s="320">
        <v>100</v>
      </c>
      <c r="AA30" s="320">
        <v>100</v>
      </c>
      <c r="AB30" s="321">
        <v>100</v>
      </c>
      <c r="AC30" s="322">
        <v>1.5</v>
      </c>
      <c r="AD30" s="322">
        <v>1.55</v>
      </c>
      <c r="AE30" s="322">
        <v>1.55</v>
      </c>
      <c r="AF30" s="322">
        <v>1.6</v>
      </c>
      <c r="AG30" s="323">
        <v>1.6</v>
      </c>
      <c r="AH30" s="322">
        <v>0</v>
      </c>
      <c r="AI30" s="322">
        <v>0</v>
      </c>
      <c r="AJ30" s="322">
        <v>0</v>
      </c>
      <c r="AK30" s="322">
        <v>0</v>
      </c>
      <c r="AL30" s="323">
        <v>0</v>
      </c>
      <c r="AM30" s="322">
        <v>0</v>
      </c>
      <c r="AN30" s="322">
        <v>0</v>
      </c>
      <c r="AO30" s="322">
        <v>0</v>
      </c>
      <c r="AP30" s="322">
        <v>0</v>
      </c>
      <c r="AQ30" s="323">
        <v>0</v>
      </c>
      <c r="AR30" s="320"/>
      <c r="AS30" s="320"/>
      <c r="AT30" s="320"/>
      <c r="AU30" s="320"/>
      <c r="AV30" s="321"/>
      <c r="AW30" s="320" t="s">
        <v>509</v>
      </c>
      <c r="AX30" s="320" t="s">
        <v>510</v>
      </c>
      <c r="AY30" s="320" t="s">
        <v>510</v>
      </c>
      <c r="AZ30" s="320" t="s">
        <v>510</v>
      </c>
      <c r="BA30" s="321" t="s">
        <v>510</v>
      </c>
      <c r="BB30" s="324">
        <v>47500</v>
      </c>
      <c r="BC30" s="324">
        <v>47500</v>
      </c>
      <c r="BD30" s="324">
        <v>47500</v>
      </c>
      <c r="BE30" s="324">
        <v>47500</v>
      </c>
      <c r="BF30" s="325">
        <v>47500</v>
      </c>
      <c r="BG30" s="324">
        <v>1600</v>
      </c>
      <c r="BH30" s="324">
        <v>1600</v>
      </c>
      <c r="BI30" s="324">
        <v>1600</v>
      </c>
      <c r="BJ30" s="324">
        <v>1600</v>
      </c>
      <c r="BK30" s="325">
        <v>1600</v>
      </c>
      <c r="BL30" s="320">
        <v>235</v>
      </c>
      <c r="BM30" s="320">
        <v>235</v>
      </c>
      <c r="BN30" s="320">
        <v>235</v>
      </c>
      <c r="BO30" s="320">
        <v>235</v>
      </c>
      <c r="BP30" s="321">
        <v>235</v>
      </c>
      <c r="BQ30" s="319"/>
      <c r="BR30" s="320"/>
      <c r="BS30" s="320"/>
      <c r="BT30" s="320"/>
      <c r="BU30" s="321"/>
      <c r="BV30" s="327" t="s">
        <v>418</v>
      </c>
      <c r="BW30" s="333">
        <v>950</v>
      </c>
      <c r="BX30" s="333">
        <v>950</v>
      </c>
      <c r="BY30" s="333">
        <v>950</v>
      </c>
      <c r="BZ30" s="333">
        <v>950</v>
      </c>
      <c r="CA30" s="334">
        <v>950</v>
      </c>
      <c r="CB30" s="328">
        <v>32</v>
      </c>
      <c r="CC30" s="328">
        <v>32</v>
      </c>
      <c r="CD30" s="328">
        <v>32</v>
      </c>
      <c r="CE30" s="328">
        <v>32</v>
      </c>
      <c r="CF30" s="329">
        <v>32</v>
      </c>
      <c r="CG30" s="330">
        <v>4.7</v>
      </c>
      <c r="CH30" s="328">
        <v>4.7</v>
      </c>
      <c r="CI30" s="328">
        <v>4.7</v>
      </c>
      <c r="CJ30" s="328">
        <v>4.7</v>
      </c>
      <c r="CK30" s="329">
        <v>4.7</v>
      </c>
    </row>
    <row r="31" spans="1:89" s="315" customFormat="1" x14ac:dyDescent="0.2">
      <c r="A31" s="316" t="s">
        <v>419</v>
      </c>
      <c r="B31" s="317" t="s">
        <v>511</v>
      </c>
      <c r="C31" s="344" t="s">
        <v>420</v>
      </c>
      <c r="D31" s="319" t="s">
        <v>512</v>
      </c>
      <c r="E31" s="320" t="s">
        <v>512</v>
      </c>
      <c r="F31" s="320" t="s">
        <v>512</v>
      </c>
      <c r="G31" s="320" t="s">
        <v>512</v>
      </c>
      <c r="H31" s="321" t="s">
        <v>512</v>
      </c>
      <c r="I31" s="320"/>
      <c r="J31" s="320"/>
      <c r="K31" s="320"/>
      <c r="L31" s="320"/>
      <c r="M31" s="321"/>
      <c r="N31" s="320">
        <v>100</v>
      </c>
      <c r="O31" s="320">
        <v>100</v>
      </c>
      <c r="P31" s="320">
        <v>100</v>
      </c>
      <c r="Q31" s="320">
        <v>100</v>
      </c>
      <c r="R31" s="321">
        <v>100</v>
      </c>
      <c r="S31" s="320"/>
      <c r="T31" s="320"/>
      <c r="U31" s="320"/>
      <c r="V31" s="320"/>
      <c r="W31" s="321"/>
      <c r="X31" s="320">
        <v>100</v>
      </c>
      <c r="Y31" s="320">
        <v>100</v>
      </c>
      <c r="Z31" s="320">
        <v>100</v>
      </c>
      <c r="AA31" s="320">
        <v>100</v>
      </c>
      <c r="AB31" s="321">
        <v>100</v>
      </c>
      <c r="AC31" s="322">
        <v>1.35</v>
      </c>
      <c r="AD31" s="322">
        <v>1.35</v>
      </c>
      <c r="AE31" s="322">
        <v>1.35</v>
      </c>
      <c r="AF31" s="322">
        <v>1.35</v>
      </c>
      <c r="AG31" s="323">
        <v>1.35</v>
      </c>
      <c r="AH31" s="322">
        <v>0</v>
      </c>
      <c r="AI31" s="322">
        <v>0</v>
      </c>
      <c r="AJ31" s="322">
        <v>0</v>
      </c>
      <c r="AK31" s="322">
        <v>0</v>
      </c>
      <c r="AL31" s="323">
        <v>0</v>
      </c>
      <c r="AM31" s="322">
        <v>0</v>
      </c>
      <c r="AN31" s="322">
        <v>0</v>
      </c>
      <c r="AO31" s="322">
        <v>0</v>
      </c>
      <c r="AP31" s="322">
        <v>0</v>
      </c>
      <c r="AQ31" s="323">
        <v>0</v>
      </c>
      <c r="AR31" s="320"/>
      <c r="AS31" s="320"/>
      <c r="AT31" s="320"/>
      <c r="AU31" s="320"/>
      <c r="AV31" s="321"/>
      <c r="AW31" s="320">
        <v>20</v>
      </c>
      <c r="AX31" s="320">
        <v>20</v>
      </c>
      <c r="AY31" s="320">
        <v>20</v>
      </c>
      <c r="AZ31" s="320">
        <v>20</v>
      </c>
      <c r="BA31" s="321">
        <v>20</v>
      </c>
      <c r="BB31" s="324">
        <v>14000</v>
      </c>
      <c r="BC31" s="324">
        <v>14000</v>
      </c>
      <c r="BD31" s="324">
        <v>14000</v>
      </c>
      <c r="BE31" s="324">
        <v>14000</v>
      </c>
      <c r="BF31" s="325">
        <v>14000</v>
      </c>
      <c r="BG31" s="324">
        <v>1600</v>
      </c>
      <c r="BH31" s="324">
        <v>1600</v>
      </c>
      <c r="BI31" s="324">
        <v>1600</v>
      </c>
      <c r="BJ31" s="324">
        <v>1600</v>
      </c>
      <c r="BK31" s="325">
        <v>1600</v>
      </c>
      <c r="BL31" s="320">
        <v>235</v>
      </c>
      <c r="BM31" s="320">
        <v>235</v>
      </c>
      <c r="BN31" s="320">
        <v>235</v>
      </c>
      <c r="BO31" s="320">
        <v>235</v>
      </c>
      <c r="BP31" s="321">
        <v>235</v>
      </c>
      <c r="BQ31" s="319"/>
      <c r="BR31" s="320"/>
      <c r="BS31" s="320"/>
      <c r="BT31" s="320"/>
      <c r="BU31" s="321"/>
      <c r="BV31" s="327" t="s">
        <v>421</v>
      </c>
      <c r="BW31" s="328">
        <v>1696.969696969697</v>
      </c>
      <c r="BX31" s="328">
        <v>1696.969696969697</v>
      </c>
      <c r="BY31" s="328">
        <v>1696.969696969697</v>
      </c>
      <c r="BZ31" s="328">
        <v>1696.969696969697</v>
      </c>
      <c r="CA31" s="329">
        <v>1696.969696969697</v>
      </c>
      <c r="CB31" s="328">
        <v>193.93939393939394</v>
      </c>
      <c r="CC31" s="328">
        <v>193.93939393939394</v>
      </c>
      <c r="CD31" s="328">
        <v>193.93939393939394</v>
      </c>
      <c r="CE31" s="328">
        <v>193.93939393939394</v>
      </c>
      <c r="CF31" s="329">
        <v>193.93939393939394</v>
      </c>
      <c r="CG31" s="330">
        <v>28.484848484848484</v>
      </c>
      <c r="CH31" s="328">
        <v>28.484848484848484</v>
      </c>
      <c r="CI31" s="328">
        <v>28.484848484848484</v>
      </c>
      <c r="CJ31" s="328">
        <v>28.484848484848484</v>
      </c>
      <c r="CK31" s="329">
        <v>28.484848484848484</v>
      </c>
    </row>
    <row r="32" spans="1:89" s="315" customFormat="1" x14ac:dyDescent="0.2">
      <c r="A32" s="316" t="s">
        <v>422</v>
      </c>
      <c r="B32" s="317" t="s">
        <v>502</v>
      </c>
      <c r="C32" s="318" t="s">
        <v>423</v>
      </c>
      <c r="D32" s="319">
        <v>0</v>
      </c>
      <c r="E32" s="320">
        <v>0</v>
      </c>
      <c r="F32" s="320">
        <v>0</v>
      </c>
      <c r="G32" s="320">
        <v>0</v>
      </c>
      <c r="H32" s="321">
        <v>0</v>
      </c>
      <c r="I32" s="320"/>
      <c r="J32" s="320"/>
      <c r="K32" s="320"/>
      <c r="L32" s="320"/>
      <c r="M32" s="321"/>
      <c r="N32" s="320">
        <v>0</v>
      </c>
      <c r="O32" s="320">
        <v>0</v>
      </c>
      <c r="P32" s="320">
        <v>0</v>
      </c>
      <c r="Q32" s="320">
        <v>0</v>
      </c>
      <c r="R32" s="321">
        <v>0</v>
      </c>
      <c r="S32" s="320"/>
      <c r="T32" s="320"/>
      <c r="U32" s="320"/>
      <c r="V32" s="320"/>
      <c r="W32" s="321"/>
      <c r="X32" s="320">
        <v>0</v>
      </c>
      <c r="Y32" s="320">
        <v>0</v>
      </c>
      <c r="Z32" s="320">
        <v>0</v>
      </c>
      <c r="AA32" s="320">
        <v>0</v>
      </c>
      <c r="AB32" s="321">
        <v>0</v>
      </c>
      <c r="AC32" s="322">
        <v>0</v>
      </c>
      <c r="AD32" s="322">
        <v>0</v>
      </c>
      <c r="AE32" s="322">
        <v>0</v>
      </c>
      <c r="AF32" s="322">
        <v>0</v>
      </c>
      <c r="AG32" s="323">
        <v>0</v>
      </c>
      <c r="AH32" s="322">
        <v>0</v>
      </c>
      <c r="AI32" s="322">
        <v>0</v>
      </c>
      <c r="AJ32" s="322">
        <v>0</v>
      </c>
      <c r="AK32" s="322">
        <v>0</v>
      </c>
      <c r="AL32" s="323">
        <v>0</v>
      </c>
      <c r="AM32" s="322">
        <v>0</v>
      </c>
      <c r="AN32" s="322">
        <v>0</v>
      </c>
      <c r="AO32" s="322">
        <v>0</v>
      </c>
      <c r="AP32" s="322">
        <v>0</v>
      </c>
      <c r="AQ32" s="323">
        <v>0</v>
      </c>
      <c r="AR32" s="320"/>
      <c r="AS32" s="320"/>
      <c r="AT32" s="320"/>
      <c r="AU32" s="320"/>
      <c r="AV32" s="321"/>
      <c r="AW32" s="320">
        <v>0</v>
      </c>
      <c r="AX32" s="320">
        <v>0</v>
      </c>
      <c r="AY32" s="320">
        <v>0</v>
      </c>
      <c r="AZ32" s="320">
        <v>0</v>
      </c>
      <c r="BA32" s="321">
        <v>0</v>
      </c>
      <c r="BB32" s="324">
        <v>0</v>
      </c>
      <c r="BC32" s="324">
        <v>0</v>
      </c>
      <c r="BD32" s="324">
        <v>0</v>
      </c>
      <c r="BE32" s="324">
        <v>0</v>
      </c>
      <c r="BF32" s="325">
        <v>0</v>
      </c>
      <c r="BG32" s="324">
        <v>0</v>
      </c>
      <c r="BH32" s="324">
        <v>0</v>
      </c>
      <c r="BI32" s="324">
        <v>0</v>
      </c>
      <c r="BJ32" s="324">
        <v>0</v>
      </c>
      <c r="BK32" s="325">
        <v>0</v>
      </c>
      <c r="BL32" s="320">
        <v>0</v>
      </c>
      <c r="BM32" s="320">
        <v>0</v>
      </c>
      <c r="BN32" s="320">
        <v>0</v>
      </c>
      <c r="BO32" s="320">
        <v>0</v>
      </c>
      <c r="BP32" s="321">
        <v>0</v>
      </c>
      <c r="BQ32" s="319">
        <v>0</v>
      </c>
      <c r="BR32" s="320">
        <v>0</v>
      </c>
      <c r="BS32" s="320">
        <v>0</v>
      </c>
      <c r="BT32" s="320">
        <v>0</v>
      </c>
      <c r="BU32" s="321">
        <v>0</v>
      </c>
      <c r="BV32" s="327"/>
      <c r="BW32" s="324" t="s">
        <v>499</v>
      </c>
      <c r="BX32" s="324" t="s">
        <v>499</v>
      </c>
      <c r="BY32" s="324" t="s">
        <v>499</v>
      </c>
      <c r="BZ32" s="324" t="s">
        <v>499</v>
      </c>
      <c r="CA32" s="325" t="s">
        <v>499</v>
      </c>
      <c r="CB32" s="324" t="s">
        <v>499</v>
      </c>
      <c r="CC32" s="324" t="s">
        <v>499</v>
      </c>
      <c r="CD32" s="324" t="s">
        <v>499</v>
      </c>
      <c r="CE32" s="324" t="s">
        <v>499</v>
      </c>
      <c r="CF32" s="325" t="s">
        <v>499</v>
      </c>
      <c r="CG32" s="326" t="s">
        <v>499</v>
      </c>
      <c r="CH32" s="324" t="s">
        <v>499</v>
      </c>
      <c r="CI32" s="324" t="s">
        <v>499</v>
      </c>
      <c r="CJ32" s="324" t="s">
        <v>499</v>
      </c>
      <c r="CK32" s="325" t="s">
        <v>499</v>
      </c>
    </row>
    <row r="33" spans="1:89" s="315" customFormat="1" x14ac:dyDescent="0.2">
      <c r="A33" s="308" t="s">
        <v>424</v>
      </c>
      <c r="B33" s="309"/>
      <c r="C33" s="310"/>
      <c r="D33" s="311"/>
      <c r="E33" s="312"/>
      <c r="F33" s="312"/>
      <c r="G33" s="312"/>
      <c r="H33" s="313"/>
      <c r="I33" s="312"/>
      <c r="J33" s="312"/>
      <c r="K33" s="312"/>
      <c r="L33" s="312"/>
      <c r="M33" s="313"/>
      <c r="N33" s="312"/>
      <c r="O33" s="312"/>
      <c r="P33" s="312"/>
      <c r="Q33" s="312"/>
      <c r="R33" s="313"/>
      <c r="S33" s="312"/>
      <c r="T33" s="312"/>
      <c r="U33" s="312"/>
      <c r="V33" s="312"/>
      <c r="W33" s="313"/>
      <c r="X33" s="312"/>
      <c r="Y33" s="312"/>
      <c r="Z33" s="312"/>
      <c r="AA33" s="312"/>
      <c r="AB33" s="313"/>
      <c r="AC33" s="337">
        <v>0</v>
      </c>
      <c r="AD33" s="337">
        <v>0</v>
      </c>
      <c r="AE33" s="337">
        <v>0</v>
      </c>
      <c r="AF33" s="337">
        <v>0</v>
      </c>
      <c r="AG33" s="338">
        <v>0</v>
      </c>
      <c r="AH33" s="337">
        <v>0</v>
      </c>
      <c r="AI33" s="337">
        <v>0</v>
      </c>
      <c r="AJ33" s="337">
        <v>0</v>
      </c>
      <c r="AK33" s="337">
        <v>0</v>
      </c>
      <c r="AL33" s="338">
        <v>0</v>
      </c>
      <c r="AM33" s="337">
        <v>0</v>
      </c>
      <c r="AN33" s="337">
        <v>0</v>
      </c>
      <c r="AO33" s="337">
        <v>0</v>
      </c>
      <c r="AP33" s="337">
        <v>0</v>
      </c>
      <c r="AQ33" s="338">
        <v>0</v>
      </c>
      <c r="AR33" s="312"/>
      <c r="AS33" s="312"/>
      <c r="AT33" s="312"/>
      <c r="AU33" s="312"/>
      <c r="AV33" s="313"/>
      <c r="AW33" s="312"/>
      <c r="AX33" s="312"/>
      <c r="AY33" s="312"/>
      <c r="AZ33" s="312"/>
      <c r="BA33" s="313"/>
      <c r="BB33" s="312"/>
      <c r="BC33" s="312"/>
      <c r="BD33" s="312"/>
      <c r="BE33" s="312"/>
      <c r="BF33" s="313"/>
      <c r="BG33" s="312">
        <v>0</v>
      </c>
      <c r="BH33" s="312">
        <v>0</v>
      </c>
      <c r="BI33" s="312">
        <v>0</v>
      </c>
      <c r="BJ33" s="312">
        <v>0</v>
      </c>
      <c r="BK33" s="313">
        <v>0</v>
      </c>
      <c r="BL33" s="312"/>
      <c r="BM33" s="312"/>
      <c r="BN33" s="312"/>
      <c r="BO33" s="312"/>
      <c r="BP33" s="313"/>
      <c r="BQ33" s="311"/>
      <c r="BR33" s="312"/>
      <c r="BS33" s="312"/>
      <c r="BT33" s="312"/>
      <c r="BU33" s="313"/>
      <c r="BV33" s="314"/>
      <c r="BW33" s="312"/>
      <c r="BX33" s="312"/>
      <c r="BY33" s="312"/>
      <c r="BZ33" s="312"/>
      <c r="CA33" s="313"/>
      <c r="CB33" s="312"/>
      <c r="CC33" s="312"/>
      <c r="CD33" s="312"/>
      <c r="CE33" s="312"/>
      <c r="CF33" s="313"/>
      <c r="CG33" s="311"/>
      <c r="CH33" s="312"/>
      <c r="CI33" s="312"/>
      <c r="CJ33" s="312"/>
      <c r="CK33" s="313"/>
    </row>
    <row r="34" spans="1:89" s="315" customFormat="1" x14ac:dyDescent="0.2">
      <c r="A34" s="316" t="s">
        <v>425</v>
      </c>
      <c r="B34" s="317" t="s">
        <v>502</v>
      </c>
      <c r="C34" s="318" t="s">
        <v>426</v>
      </c>
      <c r="D34" s="339">
        <v>30</v>
      </c>
      <c r="E34" s="335">
        <v>30</v>
      </c>
      <c r="F34" s="335">
        <v>30</v>
      </c>
      <c r="G34" s="335">
        <v>30</v>
      </c>
      <c r="H34" s="336">
        <v>30</v>
      </c>
      <c r="I34" s="320"/>
      <c r="J34" s="320"/>
      <c r="K34" s="320"/>
      <c r="L34" s="320"/>
      <c r="M34" s="321"/>
      <c r="N34" s="320">
        <v>0</v>
      </c>
      <c r="O34" s="320">
        <v>0</v>
      </c>
      <c r="P34" s="320">
        <v>0</v>
      </c>
      <c r="Q34" s="320">
        <v>0</v>
      </c>
      <c r="R34" s="321">
        <v>0</v>
      </c>
      <c r="S34" s="320"/>
      <c r="T34" s="320"/>
      <c r="U34" s="320"/>
      <c r="V34" s="320"/>
      <c r="W34" s="321"/>
      <c r="X34" s="320">
        <v>0</v>
      </c>
      <c r="Y34" s="320">
        <v>0</v>
      </c>
      <c r="Z34" s="320">
        <v>0</v>
      </c>
      <c r="AA34" s="320">
        <v>0</v>
      </c>
      <c r="AB34" s="321">
        <v>0</v>
      </c>
      <c r="AC34" s="345">
        <v>0.9</v>
      </c>
      <c r="AD34" s="345">
        <v>0.9</v>
      </c>
      <c r="AE34" s="345">
        <v>0.9</v>
      </c>
      <c r="AF34" s="345">
        <v>0.9</v>
      </c>
      <c r="AG34" s="346">
        <v>0.9</v>
      </c>
      <c r="AH34" s="322">
        <v>0</v>
      </c>
      <c r="AI34" s="322">
        <v>0</v>
      </c>
      <c r="AJ34" s="322">
        <v>0</v>
      </c>
      <c r="AK34" s="322">
        <v>0</v>
      </c>
      <c r="AL34" s="323">
        <v>0</v>
      </c>
      <c r="AM34" s="347">
        <v>0.26</v>
      </c>
      <c r="AN34" s="345">
        <v>0.26</v>
      </c>
      <c r="AO34" s="345">
        <v>0.26</v>
      </c>
      <c r="AP34" s="345">
        <v>0.26</v>
      </c>
      <c r="AQ34" s="346">
        <v>0.26</v>
      </c>
      <c r="AR34" s="320"/>
      <c r="AS34" s="320"/>
      <c r="AT34" s="320"/>
      <c r="AU34" s="320"/>
      <c r="AV34" s="321"/>
      <c r="AW34" s="320">
        <v>0</v>
      </c>
      <c r="AX34" s="320">
        <v>0</v>
      </c>
      <c r="AY34" s="320">
        <v>0</v>
      </c>
      <c r="AZ34" s="320">
        <v>0</v>
      </c>
      <c r="BA34" s="321">
        <v>0</v>
      </c>
      <c r="BB34" s="328">
        <v>103980</v>
      </c>
      <c r="BC34" s="328">
        <v>103980</v>
      </c>
      <c r="BD34" s="328">
        <v>77985</v>
      </c>
      <c r="BE34" s="328">
        <v>77985</v>
      </c>
      <c r="BF34" s="329">
        <v>62388</v>
      </c>
      <c r="BG34" s="328">
        <v>0</v>
      </c>
      <c r="BH34" s="328">
        <v>0</v>
      </c>
      <c r="BI34" s="328">
        <v>0</v>
      </c>
      <c r="BJ34" s="328">
        <v>0</v>
      </c>
      <c r="BK34" s="329">
        <v>0</v>
      </c>
      <c r="BL34" s="328">
        <v>310</v>
      </c>
      <c r="BM34" s="324">
        <v>0</v>
      </c>
      <c r="BN34" s="324">
        <v>0</v>
      </c>
      <c r="BO34" s="324">
        <v>0</v>
      </c>
      <c r="BP34" s="325">
        <v>0</v>
      </c>
      <c r="BQ34" s="326">
        <v>0</v>
      </c>
      <c r="BR34" s="324">
        <v>0</v>
      </c>
      <c r="BS34" s="324">
        <v>0</v>
      </c>
      <c r="BT34" s="324">
        <v>0</v>
      </c>
      <c r="BU34" s="325">
        <v>0</v>
      </c>
      <c r="BV34" s="327" t="s">
        <v>404</v>
      </c>
      <c r="BW34" s="324">
        <v>3466</v>
      </c>
      <c r="BX34" s="324">
        <v>3466</v>
      </c>
      <c r="BY34" s="324">
        <v>2599.5</v>
      </c>
      <c r="BZ34" s="324">
        <v>2599.5</v>
      </c>
      <c r="CA34" s="325">
        <v>2079.6</v>
      </c>
      <c r="CB34" s="324">
        <v>0</v>
      </c>
      <c r="CC34" s="324">
        <v>0</v>
      </c>
      <c r="CD34" s="324">
        <v>0</v>
      </c>
      <c r="CE34" s="324">
        <v>0</v>
      </c>
      <c r="CF34" s="325">
        <v>0</v>
      </c>
      <c r="CG34" s="326">
        <v>10.333333333333334</v>
      </c>
      <c r="CH34" s="324">
        <v>0</v>
      </c>
      <c r="CI34" s="324">
        <v>0</v>
      </c>
      <c r="CJ34" s="324">
        <v>0</v>
      </c>
      <c r="CK34" s="325">
        <v>0</v>
      </c>
    </row>
    <row r="35" spans="1:89" s="315" customFormat="1" x14ac:dyDescent="0.2">
      <c r="A35" s="316"/>
      <c r="B35" s="317"/>
      <c r="C35" s="318" t="s">
        <v>427</v>
      </c>
      <c r="D35" s="339">
        <v>200</v>
      </c>
      <c r="E35" s="335">
        <v>200</v>
      </c>
      <c r="F35" s="335">
        <v>200</v>
      </c>
      <c r="G35" s="335">
        <v>200</v>
      </c>
      <c r="H35" s="336">
        <v>200</v>
      </c>
      <c r="I35" s="320"/>
      <c r="J35" s="320"/>
      <c r="K35" s="320"/>
      <c r="L35" s="320"/>
      <c r="M35" s="321"/>
      <c r="N35" s="320"/>
      <c r="O35" s="320"/>
      <c r="P35" s="320"/>
      <c r="Q35" s="320"/>
      <c r="R35" s="321"/>
      <c r="S35" s="320"/>
      <c r="T35" s="320"/>
      <c r="U35" s="320"/>
      <c r="V35" s="320"/>
      <c r="W35" s="321"/>
      <c r="X35" s="320"/>
      <c r="Y35" s="320"/>
      <c r="Z35" s="320"/>
      <c r="AA35" s="320"/>
      <c r="AB35" s="321"/>
      <c r="AC35" s="345">
        <v>0.9</v>
      </c>
      <c r="AD35" s="345">
        <v>0.9</v>
      </c>
      <c r="AE35" s="345">
        <v>0.9</v>
      </c>
      <c r="AF35" s="345">
        <v>0.9</v>
      </c>
      <c r="AG35" s="346">
        <v>0.9</v>
      </c>
      <c r="AH35" s="322">
        <v>0</v>
      </c>
      <c r="AI35" s="322">
        <v>0</v>
      </c>
      <c r="AJ35" s="322">
        <v>0</v>
      </c>
      <c r="AK35" s="322">
        <v>0</v>
      </c>
      <c r="AL35" s="323">
        <v>0</v>
      </c>
      <c r="AM35" s="347">
        <v>0.33</v>
      </c>
      <c r="AN35" s="345">
        <v>0.33</v>
      </c>
      <c r="AO35" s="345">
        <v>0.33</v>
      </c>
      <c r="AP35" s="345">
        <v>0.33</v>
      </c>
      <c r="AQ35" s="346">
        <v>0.33</v>
      </c>
      <c r="AR35" s="320"/>
      <c r="AS35" s="320"/>
      <c r="AT35" s="320"/>
      <c r="AU35" s="320"/>
      <c r="AV35" s="321"/>
      <c r="AW35" s="320"/>
      <c r="AX35" s="320"/>
      <c r="AY35" s="320"/>
      <c r="AZ35" s="320"/>
      <c r="BA35" s="321"/>
      <c r="BB35" s="328">
        <v>275000</v>
      </c>
      <c r="BC35" s="328">
        <v>275000</v>
      </c>
      <c r="BD35" s="328">
        <v>206250</v>
      </c>
      <c r="BE35" s="328">
        <v>206250</v>
      </c>
      <c r="BF35" s="329">
        <v>165000</v>
      </c>
      <c r="BG35" s="328">
        <v>0</v>
      </c>
      <c r="BH35" s="328">
        <v>0</v>
      </c>
      <c r="BI35" s="328">
        <v>0</v>
      </c>
      <c r="BJ35" s="328">
        <v>0</v>
      </c>
      <c r="BK35" s="329">
        <v>0</v>
      </c>
      <c r="BL35" s="328">
        <v>310</v>
      </c>
      <c r="BM35" s="324"/>
      <c r="BN35" s="324"/>
      <c r="BO35" s="324"/>
      <c r="BP35" s="325"/>
      <c r="BQ35" s="326"/>
      <c r="BR35" s="324"/>
      <c r="BS35" s="324"/>
      <c r="BT35" s="324"/>
      <c r="BU35" s="325"/>
      <c r="BV35" s="327"/>
      <c r="BW35" s="324">
        <v>1375</v>
      </c>
      <c r="BX35" s="324">
        <v>1375</v>
      </c>
      <c r="BY35" s="324">
        <v>1031.25</v>
      </c>
      <c r="BZ35" s="324">
        <v>1031.25</v>
      </c>
      <c r="CA35" s="325">
        <v>825</v>
      </c>
      <c r="CB35" s="324"/>
      <c r="CC35" s="324"/>
      <c r="CD35" s="324"/>
      <c r="CE35" s="324"/>
      <c r="CF35" s="325"/>
      <c r="CG35" s="326">
        <v>1.55</v>
      </c>
      <c r="CH35" s="324"/>
      <c r="CI35" s="324"/>
      <c r="CJ35" s="324"/>
      <c r="CK35" s="325"/>
    </row>
    <row r="36" spans="1:89" s="315" customFormat="1" x14ac:dyDescent="0.2">
      <c r="A36" s="316" t="s">
        <v>428</v>
      </c>
      <c r="B36" s="317" t="s">
        <v>513</v>
      </c>
      <c r="C36" s="318" t="s">
        <v>429</v>
      </c>
      <c r="D36" s="319">
        <v>3.2</v>
      </c>
      <c r="E36" s="320">
        <v>3.2</v>
      </c>
      <c r="F36" s="320">
        <v>3.2</v>
      </c>
      <c r="G36" s="320">
        <v>0</v>
      </c>
      <c r="H36" s="321">
        <v>0</v>
      </c>
      <c r="I36" s="320">
        <v>1</v>
      </c>
      <c r="J36" s="320">
        <v>1</v>
      </c>
      <c r="K36" s="320">
        <v>1</v>
      </c>
      <c r="L36" s="320">
        <v>0</v>
      </c>
      <c r="M36" s="321">
        <v>0</v>
      </c>
      <c r="N36" s="320" t="s">
        <v>514</v>
      </c>
      <c r="O36" s="320" t="s">
        <v>515</v>
      </c>
      <c r="P36" s="320" t="s">
        <v>515</v>
      </c>
      <c r="Q36" s="320">
        <v>0</v>
      </c>
      <c r="R36" s="321">
        <v>0</v>
      </c>
      <c r="S36" s="320"/>
      <c r="T36" s="320"/>
      <c r="U36" s="320"/>
      <c r="V36" s="320"/>
      <c r="W36" s="321"/>
      <c r="X36" s="320" t="s">
        <v>516</v>
      </c>
      <c r="Y36" s="320" t="s">
        <v>516</v>
      </c>
      <c r="Z36" s="320" t="s">
        <v>517</v>
      </c>
      <c r="AA36" s="320">
        <v>0</v>
      </c>
      <c r="AB36" s="321">
        <v>0</v>
      </c>
      <c r="AC36" s="348">
        <v>0.85</v>
      </c>
      <c r="AD36" s="348">
        <v>0.92</v>
      </c>
      <c r="AE36" s="349">
        <v>0.97499999999999998</v>
      </c>
      <c r="AF36" s="322">
        <v>0</v>
      </c>
      <c r="AG36" s="323">
        <v>0</v>
      </c>
      <c r="AH36" s="322">
        <v>0.65</v>
      </c>
      <c r="AI36" s="322">
        <v>0.7</v>
      </c>
      <c r="AJ36" s="322">
        <v>0.72499999999999998</v>
      </c>
      <c r="AK36" s="322">
        <v>0</v>
      </c>
      <c r="AL36" s="323">
        <v>0</v>
      </c>
      <c r="AM36" s="322">
        <v>0.2</v>
      </c>
      <c r="AN36" s="322">
        <v>0.22</v>
      </c>
      <c r="AO36" s="322">
        <v>0.25</v>
      </c>
      <c r="AP36" s="322">
        <v>0</v>
      </c>
      <c r="AQ36" s="323">
        <v>0</v>
      </c>
      <c r="AR36" s="320"/>
      <c r="AS36" s="320"/>
      <c r="AT36" s="320"/>
      <c r="AU36" s="320"/>
      <c r="AV36" s="321"/>
      <c r="AW36" s="320">
        <v>10</v>
      </c>
      <c r="AX36" s="320" t="s">
        <v>518</v>
      </c>
      <c r="AY36" s="320" t="s">
        <v>518</v>
      </c>
      <c r="AZ36" s="320">
        <v>0</v>
      </c>
      <c r="BA36" s="321">
        <v>0</v>
      </c>
      <c r="BB36" s="324">
        <v>15000</v>
      </c>
      <c r="BC36" s="324">
        <v>12000</v>
      </c>
      <c r="BD36" s="324">
        <v>10000</v>
      </c>
      <c r="BE36" s="324">
        <v>0</v>
      </c>
      <c r="BF36" s="325">
        <v>0</v>
      </c>
      <c r="BG36" s="324">
        <v>2500</v>
      </c>
      <c r="BH36" s="324">
        <v>2500</v>
      </c>
      <c r="BI36" s="324">
        <v>2500</v>
      </c>
      <c r="BJ36" s="324">
        <v>0</v>
      </c>
      <c r="BK36" s="325">
        <v>0</v>
      </c>
      <c r="BL36" s="320">
        <v>0</v>
      </c>
      <c r="BM36" s="320">
        <v>0</v>
      </c>
      <c r="BN36" s="320">
        <v>0</v>
      </c>
      <c r="BO36" s="320">
        <v>0</v>
      </c>
      <c r="BP36" s="321">
        <v>0</v>
      </c>
      <c r="BQ36" s="350">
        <v>1.1000000000000001</v>
      </c>
      <c r="BR36" s="351">
        <v>1.1000000000000001</v>
      </c>
      <c r="BS36" s="351">
        <v>1.1000000000000001</v>
      </c>
      <c r="BT36" s="320">
        <v>0</v>
      </c>
      <c r="BU36" s="321">
        <v>0</v>
      </c>
      <c r="BV36" s="327" t="s">
        <v>430</v>
      </c>
      <c r="BW36" s="324">
        <v>4687.5</v>
      </c>
      <c r="BX36" s="324">
        <v>3750</v>
      </c>
      <c r="BY36" s="324">
        <v>3125</v>
      </c>
      <c r="BZ36" s="324">
        <v>0</v>
      </c>
      <c r="CA36" s="325">
        <v>0</v>
      </c>
      <c r="CB36" s="352">
        <v>781.25</v>
      </c>
      <c r="CC36" s="352">
        <v>781.25</v>
      </c>
      <c r="CD36" s="352">
        <v>781.25</v>
      </c>
      <c r="CE36" s="352" t="s">
        <v>499</v>
      </c>
      <c r="CF36" s="352" t="s">
        <v>499</v>
      </c>
      <c r="CG36" s="326">
        <v>0</v>
      </c>
      <c r="CH36" s="324">
        <v>0</v>
      </c>
      <c r="CI36" s="324">
        <v>0</v>
      </c>
      <c r="CJ36" s="324">
        <v>0</v>
      </c>
      <c r="CK36" s="325">
        <v>0</v>
      </c>
    </row>
    <row r="37" spans="1:89" s="315" customFormat="1" x14ac:dyDescent="0.2">
      <c r="A37" s="316" t="s">
        <v>431</v>
      </c>
      <c r="B37" s="317" t="s">
        <v>519</v>
      </c>
      <c r="C37" s="318" t="s">
        <v>432</v>
      </c>
      <c r="D37" s="319" t="s">
        <v>520</v>
      </c>
      <c r="E37" s="320" t="s">
        <v>520</v>
      </c>
      <c r="F37" s="320" t="s">
        <v>520</v>
      </c>
      <c r="G37" s="320">
        <v>0</v>
      </c>
      <c r="H37" s="321">
        <v>0</v>
      </c>
      <c r="I37" s="320" t="s">
        <v>521</v>
      </c>
      <c r="J37" s="320" t="s">
        <v>522</v>
      </c>
      <c r="K37" s="320" t="s">
        <v>523</v>
      </c>
      <c r="L37" s="320">
        <v>0</v>
      </c>
      <c r="M37" s="321">
        <v>0</v>
      </c>
      <c r="N37" s="320" t="s">
        <v>524</v>
      </c>
      <c r="O37" s="320" t="s">
        <v>524</v>
      </c>
      <c r="P37" s="320" t="s">
        <v>524</v>
      </c>
      <c r="Q37" s="320">
        <v>0</v>
      </c>
      <c r="R37" s="321">
        <v>0</v>
      </c>
      <c r="S37" s="320"/>
      <c r="T37" s="320"/>
      <c r="U37" s="320"/>
      <c r="V37" s="320"/>
      <c r="W37" s="321"/>
      <c r="X37" s="320" t="s">
        <v>525</v>
      </c>
      <c r="Y37" s="320" t="s">
        <v>525</v>
      </c>
      <c r="Z37" s="320" t="s">
        <v>525</v>
      </c>
      <c r="AA37" s="320">
        <v>0</v>
      </c>
      <c r="AB37" s="321">
        <v>0</v>
      </c>
      <c r="AC37" s="349">
        <v>0.89500000000000002</v>
      </c>
      <c r="AD37" s="349">
        <v>0.93</v>
      </c>
      <c r="AE37" s="349">
        <v>0.95499999999999996</v>
      </c>
      <c r="AF37" s="322">
        <v>0</v>
      </c>
      <c r="AG37" s="323">
        <v>0</v>
      </c>
      <c r="AH37" s="322">
        <v>0.57499999999999996</v>
      </c>
      <c r="AI37" s="322">
        <v>0.58499999999999996</v>
      </c>
      <c r="AJ37" s="322">
        <v>0.59499999999999997</v>
      </c>
      <c r="AK37" s="322">
        <v>0</v>
      </c>
      <c r="AL37" s="323">
        <v>0</v>
      </c>
      <c r="AM37" s="322">
        <v>0.32</v>
      </c>
      <c r="AN37" s="322">
        <v>0.34</v>
      </c>
      <c r="AO37" s="322">
        <v>0.36</v>
      </c>
      <c r="AP37" s="322">
        <v>0</v>
      </c>
      <c r="AQ37" s="323">
        <v>0</v>
      </c>
      <c r="AR37" s="320"/>
      <c r="AS37" s="320"/>
      <c r="AT37" s="320"/>
      <c r="AU37" s="320"/>
      <c r="AV37" s="321"/>
      <c r="AW37" s="320" t="s">
        <v>509</v>
      </c>
      <c r="AX37" s="320" t="s">
        <v>509</v>
      </c>
      <c r="AY37" s="320" t="s">
        <v>509</v>
      </c>
      <c r="AZ37" s="320">
        <v>0</v>
      </c>
      <c r="BA37" s="321">
        <v>0</v>
      </c>
      <c r="BB37" s="324">
        <v>72500</v>
      </c>
      <c r="BC37" s="324">
        <v>72500</v>
      </c>
      <c r="BD37" s="324">
        <v>72500</v>
      </c>
      <c r="BE37" s="324">
        <v>0</v>
      </c>
      <c r="BF37" s="325">
        <v>0</v>
      </c>
      <c r="BG37" s="324">
        <v>200</v>
      </c>
      <c r="BH37" s="324">
        <v>200</v>
      </c>
      <c r="BI37" s="324">
        <v>200</v>
      </c>
      <c r="BJ37" s="324">
        <v>0</v>
      </c>
      <c r="BK37" s="325">
        <v>0</v>
      </c>
      <c r="BL37" s="320">
        <v>0</v>
      </c>
      <c r="BM37" s="320">
        <v>0</v>
      </c>
      <c r="BN37" s="320">
        <v>0</v>
      </c>
      <c r="BO37" s="320">
        <v>0</v>
      </c>
      <c r="BP37" s="321">
        <v>0</v>
      </c>
      <c r="BQ37" s="350">
        <v>0.85</v>
      </c>
      <c r="BR37" s="351">
        <v>0.85</v>
      </c>
      <c r="BS37" s="351">
        <v>0.85</v>
      </c>
      <c r="BT37" s="320">
        <v>0</v>
      </c>
      <c r="BU37" s="321">
        <v>0</v>
      </c>
      <c r="BV37" s="327" t="s">
        <v>430</v>
      </c>
      <c r="BW37" s="328">
        <v>446.15384615384613</v>
      </c>
      <c r="BX37" s="328">
        <v>446.15384615384613</v>
      </c>
      <c r="BY37" s="328">
        <v>446.15384615384613</v>
      </c>
      <c r="BZ37" s="328" t="s">
        <v>499</v>
      </c>
      <c r="CA37" s="329" t="s">
        <v>499</v>
      </c>
      <c r="CB37" s="342">
        <v>1.2307692307692308</v>
      </c>
      <c r="CC37" s="353">
        <v>1.2307692307692308</v>
      </c>
      <c r="CD37" s="353">
        <v>1.2307692307692308</v>
      </c>
      <c r="CE37" s="353" t="s">
        <v>499</v>
      </c>
      <c r="CF37" s="354" t="s">
        <v>499</v>
      </c>
      <c r="CG37" s="326">
        <v>0</v>
      </c>
      <c r="CH37" s="324">
        <v>0</v>
      </c>
      <c r="CI37" s="324">
        <v>0</v>
      </c>
      <c r="CJ37" s="324" t="s">
        <v>499</v>
      </c>
      <c r="CK37" s="325" t="s">
        <v>499</v>
      </c>
    </row>
    <row r="38" spans="1:89" s="315" customFormat="1" x14ac:dyDescent="0.2">
      <c r="A38" s="316" t="s">
        <v>433</v>
      </c>
      <c r="B38" s="317" t="s">
        <v>502</v>
      </c>
      <c r="C38" s="318" t="s">
        <v>434</v>
      </c>
      <c r="D38" s="339" t="s">
        <v>435</v>
      </c>
      <c r="E38" s="335">
        <v>10</v>
      </c>
      <c r="F38" s="335">
        <v>10</v>
      </c>
      <c r="G38" s="335">
        <v>10</v>
      </c>
      <c r="H38" s="336">
        <v>10</v>
      </c>
      <c r="I38" s="320"/>
      <c r="J38" s="320"/>
      <c r="K38" s="320"/>
      <c r="L38" s="320"/>
      <c r="M38" s="321"/>
      <c r="N38" s="320">
        <v>0</v>
      </c>
      <c r="O38" s="320">
        <v>0</v>
      </c>
      <c r="P38" s="320">
        <v>0</v>
      </c>
      <c r="Q38" s="320">
        <v>0</v>
      </c>
      <c r="R38" s="321">
        <v>0</v>
      </c>
      <c r="S38" s="320"/>
      <c r="T38" s="320"/>
      <c r="U38" s="320"/>
      <c r="V38" s="320"/>
      <c r="W38" s="321"/>
      <c r="X38" s="320">
        <v>0</v>
      </c>
      <c r="Y38" s="320">
        <v>0</v>
      </c>
      <c r="Z38" s="320">
        <v>0</v>
      </c>
      <c r="AA38" s="320">
        <v>0</v>
      </c>
      <c r="AB38" s="321">
        <v>0</v>
      </c>
      <c r="AC38" s="355">
        <v>0.65</v>
      </c>
      <c r="AD38" s="355">
        <v>0.7</v>
      </c>
      <c r="AE38" s="355">
        <v>0.72499999999999998</v>
      </c>
      <c r="AF38" s="322">
        <v>0</v>
      </c>
      <c r="AG38" s="323">
        <v>0</v>
      </c>
      <c r="AH38" s="322">
        <v>0</v>
      </c>
      <c r="AI38" s="322">
        <v>0</v>
      </c>
      <c r="AJ38" s="322">
        <v>0</v>
      </c>
      <c r="AK38" s="322">
        <v>0</v>
      </c>
      <c r="AL38" s="323">
        <v>0</v>
      </c>
      <c r="AM38" s="356">
        <v>0.2</v>
      </c>
      <c r="AN38" s="356">
        <v>0.22</v>
      </c>
      <c r="AO38" s="356">
        <v>0.25</v>
      </c>
      <c r="AP38" s="320">
        <v>0</v>
      </c>
      <c r="AQ38" s="323">
        <v>0</v>
      </c>
      <c r="AR38" s="320"/>
      <c r="AS38" s="320"/>
      <c r="AT38" s="320"/>
      <c r="AU38" s="320"/>
      <c r="AV38" s="321"/>
      <c r="AW38" s="320">
        <v>0</v>
      </c>
      <c r="AX38" s="320">
        <v>0</v>
      </c>
      <c r="AY38" s="320">
        <v>0</v>
      </c>
      <c r="AZ38" s="320">
        <v>0</v>
      </c>
      <c r="BA38" s="321">
        <v>0</v>
      </c>
      <c r="BB38" s="328">
        <v>21450</v>
      </c>
      <c r="BC38" s="328">
        <v>17160</v>
      </c>
      <c r="BD38" s="328">
        <v>14371.5</v>
      </c>
      <c r="BE38" s="328">
        <v>14371.5</v>
      </c>
      <c r="BF38" s="329">
        <v>14371.5</v>
      </c>
      <c r="BG38" s="328">
        <v>2550</v>
      </c>
      <c r="BH38" s="328">
        <v>2550</v>
      </c>
      <c r="BI38" s="328">
        <v>2550</v>
      </c>
      <c r="BJ38" s="328">
        <v>2550</v>
      </c>
      <c r="BK38" s="329">
        <v>2550</v>
      </c>
      <c r="BL38" s="328">
        <v>310</v>
      </c>
      <c r="BM38" s="324">
        <v>0</v>
      </c>
      <c r="BN38" s="324">
        <v>0</v>
      </c>
      <c r="BO38" s="324">
        <v>0</v>
      </c>
      <c r="BP38" s="325">
        <v>0</v>
      </c>
      <c r="BQ38" s="357">
        <v>0</v>
      </c>
      <c r="BR38" s="322">
        <v>0</v>
      </c>
      <c r="BS38" s="322">
        <v>0</v>
      </c>
      <c r="BT38" s="324">
        <v>0</v>
      </c>
      <c r="BU38" s="325">
        <v>0</v>
      </c>
      <c r="BV38" s="327" t="s">
        <v>404</v>
      </c>
      <c r="BW38" s="324">
        <v>2145</v>
      </c>
      <c r="BX38" s="324">
        <v>1716</v>
      </c>
      <c r="BY38" s="324">
        <v>1437.15</v>
      </c>
      <c r="BZ38" s="324">
        <v>1437.15</v>
      </c>
      <c r="CA38" s="325">
        <v>1437.15</v>
      </c>
      <c r="CB38" s="324">
        <v>255</v>
      </c>
      <c r="CC38" s="324">
        <v>255</v>
      </c>
      <c r="CD38" s="324">
        <v>255</v>
      </c>
      <c r="CE38" s="324">
        <v>255</v>
      </c>
      <c r="CF38" s="325">
        <v>255</v>
      </c>
      <c r="CG38" s="326">
        <v>31</v>
      </c>
      <c r="CH38" s="324">
        <v>0</v>
      </c>
      <c r="CI38" s="324">
        <v>0</v>
      </c>
      <c r="CJ38" s="324">
        <v>0</v>
      </c>
      <c r="CK38" s="325">
        <v>0</v>
      </c>
    </row>
    <row r="39" spans="1:89" s="315" customFormat="1" x14ac:dyDescent="0.2">
      <c r="A39" s="316" t="s">
        <v>436</v>
      </c>
      <c r="B39" s="317" t="s">
        <v>526</v>
      </c>
      <c r="C39" s="318" t="s">
        <v>437</v>
      </c>
      <c r="D39" s="319" t="s">
        <v>527</v>
      </c>
      <c r="E39" s="320" t="s">
        <v>528</v>
      </c>
      <c r="F39" s="320" t="s">
        <v>529</v>
      </c>
      <c r="G39" s="320">
        <v>0</v>
      </c>
      <c r="H39" s="321">
        <v>0</v>
      </c>
      <c r="I39" s="320">
        <v>1</v>
      </c>
      <c r="J39" s="320">
        <v>1</v>
      </c>
      <c r="K39" s="320">
        <v>1</v>
      </c>
      <c r="L39" s="320">
        <v>0</v>
      </c>
      <c r="M39" s="321">
        <v>0</v>
      </c>
      <c r="N39" s="320" t="s">
        <v>530</v>
      </c>
      <c r="O39" s="320" t="s">
        <v>530</v>
      </c>
      <c r="P39" s="320" t="s">
        <v>530</v>
      </c>
      <c r="Q39" s="320">
        <v>0</v>
      </c>
      <c r="R39" s="321">
        <v>0</v>
      </c>
      <c r="S39" s="320"/>
      <c r="T39" s="320"/>
      <c r="U39" s="320"/>
      <c r="V39" s="320"/>
      <c r="W39" s="321"/>
      <c r="X39" s="320" t="s">
        <v>525</v>
      </c>
      <c r="Y39" s="320" t="s">
        <v>525</v>
      </c>
      <c r="Z39" s="320" t="s">
        <v>525</v>
      </c>
      <c r="AA39" s="320">
        <v>0</v>
      </c>
      <c r="AB39" s="321">
        <v>0</v>
      </c>
      <c r="AC39" s="322">
        <v>0.89500000000000002</v>
      </c>
      <c r="AD39" s="322">
        <v>0.94</v>
      </c>
      <c r="AE39" s="322">
        <v>0.98499999999999999</v>
      </c>
      <c r="AF39" s="322">
        <v>0</v>
      </c>
      <c r="AG39" s="323">
        <v>0</v>
      </c>
      <c r="AH39" s="322">
        <v>0.77500000000000002</v>
      </c>
      <c r="AI39" s="322">
        <v>0.8</v>
      </c>
      <c r="AJ39" s="322">
        <v>0.82499999999999996</v>
      </c>
      <c r="AK39" s="322">
        <v>0</v>
      </c>
      <c r="AL39" s="323">
        <v>0</v>
      </c>
      <c r="AM39" s="322">
        <v>0.12</v>
      </c>
      <c r="AN39" s="322">
        <v>0.14000000000000001</v>
      </c>
      <c r="AO39" s="322">
        <v>0.16</v>
      </c>
      <c r="AP39" s="322">
        <v>0</v>
      </c>
      <c r="AQ39" s="323">
        <v>0</v>
      </c>
      <c r="AR39" s="320"/>
      <c r="AS39" s="320"/>
      <c r="AT39" s="320"/>
      <c r="AU39" s="320"/>
      <c r="AV39" s="321"/>
      <c r="AW39" s="320">
        <v>10</v>
      </c>
      <c r="AX39" s="320" t="s">
        <v>518</v>
      </c>
      <c r="AY39" s="320" t="s">
        <v>518</v>
      </c>
      <c r="AZ39" s="320">
        <v>0</v>
      </c>
      <c r="BA39" s="321">
        <v>0</v>
      </c>
      <c r="BB39" s="324">
        <v>12000</v>
      </c>
      <c r="BC39" s="324">
        <v>7000</v>
      </c>
      <c r="BD39" s="324">
        <v>5000</v>
      </c>
      <c r="BE39" s="324">
        <v>0</v>
      </c>
      <c r="BF39" s="325">
        <v>0</v>
      </c>
      <c r="BG39" s="324">
        <v>2500</v>
      </c>
      <c r="BH39" s="324">
        <v>2500</v>
      </c>
      <c r="BI39" s="324">
        <v>2500</v>
      </c>
      <c r="BJ39" s="324">
        <v>0</v>
      </c>
      <c r="BK39" s="325">
        <v>0</v>
      </c>
      <c r="BL39" s="320">
        <v>0</v>
      </c>
      <c r="BM39" s="320">
        <v>0</v>
      </c>
      <c r="BN39" s="320">
        <v>0</v>
      </c>
      <c r="BO39" s="320">
        <v>0</v>
      </c>
      <c r="BP39" s="321">
        <v>0</v>
      </c>
      <c r="BQ39" s="350">
        <v>0.75</v>
      </c>
      <c r="BR39" s="351">
        <v>0.75</v>
      </c>
      <c r="BS39" s="351">
        <v>0.75</v>
      </c>
      <c r="BT39" s="320">
        <v>0</v>
      </c>
      <c r="BU39" s="321">
        <v>0</v>
      </c>
      <c r="BV39" s="327" t="s">
        <v>438</v>
      </c>
      <c r="BW39" s="328">
        <v>1263.1578947368421</v>
      </c>
      <c r="BX39" s="328">
        <v>875</v>
      </c>
      <c r="BY39" s="328">
        <v>909.09090909090912</v>
      </c>
      <c r="BZ39" s="328" t="s">
        <v>499</v>
      </c>
      <c r="CA39" s="329" t="s">
        <v>499</v>
      </c>
      <c r="CB39" s="328">
        <v>263.15789473684208</v>
      </c>
      <c r="CC39" s="328">
        <v>312.5</v>
      </c>
      <c r="CD39" s="328">
        <v>454.54545454545456</v>
      </c>
      <c r="CE39" s="328" t="s">
        <v>499</v>
      </c>
      <c r="CF39" s="329" t="s">
        <v>499</v>
      </c>
      <c r="CG39" s="326">
        <v>0</v>
      </c>
      <c r="CH39" s="324">
        <v>0</v>
      </c>
      <c r="CI39" s="324">
        <v>0</v>
      </c>
      <c r="CJ39" s="324">
        <v>0</v>
      </c>
      <c r="CK39" s="325">
        <v>0</v>
      </c>
    </row>
    <row r="40" spans="1:89" s="315" customFormat="1" x14ac:dyDescent="0.2">
      <c r="A40" s="316" t="s">
        <v>439</v>
      </c>
      <c r="B40" s="317" t="s">
        <v>531</v>
      </c>
      <c r="C40" s="318" t="s">
        <v>440</v>
      </c>
      <c r="D40" s="319">
        <v>15</v>
      </c>
      <c r="E40" s="320">
        <v>14</v>
      </c>
      <c r="F40" s="320">
        <v>13</v>
      </c>
      <c r="G40" s="320">
        <v>0</v>
      </c>
      <c r="H40" s="321">
        <v>0</v>
      </c>
      <c r="I40" s="320">
        <v>7</v>
      </c>
      <c r="J40" s="320">
        <v>7</v>
      </c>
      <c r="K40" s="320">
        <v>7</v>
      </c>
      <c r="L40" s="320">
        <v>0</v>
      </c>
      <c r="M40" s="321">
        <v>0</v>
      </c>
      <c r="N40" s="320" t="s">
        <v>530</v>
      </c>
      <c r="O40" s="320" t="s">
        <v>530</v>
      </c>
      <c r="P40" s="320" t="s">
        <v>530</v>
      </c>
      <c r="Q40" s="320">
        <v>0</v>
      </c>
      <c r="R40" s="321">
        <v>0</v>
      </c>
      <c r="S40" s="320"/>
      <c r="T40" s="320"/>
      <c r="U40" s="320"/>
      <c r="V40" s="320"/>
      <c r="W40" s="321"/>
      <c r="X40" s="320" t="s">
        <v>532</v>
      </c>
      <c r="Y40" s="320" t="s">
        <v>532</v>
      </c>
      <c r="Z40" s="320" t="s">
        <v>532</v>
      </c>
      <c r="AA40" s="320">
        <v>0</v>
      </c>
      <c r="AB40" s="321">
        <v>0</v>
      </c>
      <c r="AC40" s="322">
        <v>0.8</v>
      </c>
      <c r="AD40" s="322">
        <v>0.82</v>
      </c>
      <c r="AE40" s="322">
        <v>0.85</v>
      </c>
      <c r="AF40" s="322">
        <v>0</v>
      </c>
      <c r="AG40" s="323">
        <v>0</v>
      </c>
      <c r="AH40" s="322">
        <v>0.55000000000000004</v>
      </c>
      <c r="AI40" s="322">
        <v>0.55000000000000004</v>
      </c>
      <c r="AJ40" s="322">
        <v>0.55000000000000004</v>
      </c>
      <c r="AK40" s="322">
        <v>0</v>
      </c>
      <c r="AL40" s="323">
        <v>0</v>
      </c>
      <c r="AM40" s="322">
        <v>0.25</v>
      </c>
      <c r="AN40" s="322">
        <v>0.27</v>
      </c>
      <c r="AO40" s="322">
        <v>0.3</v>
      </c>
      <c r="AP40" s="322">
        <v>0</v>
      </c>
      <c r="AQ40" s="323">
        <v>0</v>
      </c>
      <c r="AR40" s="320"/>
      <c r="AS40" s="320"/>
      <c r="AT40" s="320"/>
      <c r="AU40" s="320"/>
      <c r="AV40" s="321"/>
      <c r="AW40" s="320">
        <v>10</v>
      </c>
      <c r="AX40" s="320" t="s">
        <v>518</v>
      </c>
      <c r="AY40" s="320" t="s">
        <v>518</v>
      </c>
      <c r="AZ40" s="320">
        <v>0</v>
      </c>
      <c r="BA40" s="321">
        <v>0</v>
      </c>
      <c r="BB40" s="324">
        <v>20000</v>
      </c>
      <c r="BC40" s="324">
        <v>18000</v>
      </c>
      <c r="BD40" s="324">
        <v>15000</v>
      </c>
      <c r="BE40" s="324">
        <v>0</v>
      </c>
      <c r="BF40" s="325">
        <v>0</v>
      </c>
      <c r="BG40" s="324">
        <v>200</v>
      </c>
      <c r="BH40" s="324">
        <v>200</v>
      </c>
      <c r="BI40" s="324">
        <v>200</v>
      </c>
      <c r="BJ40" s="324">
        <v>0</v>
      </c>
      <c r="BK40" s="325">
        <v>0</v>
      </c>
      <c r="BL40" s="320">
        <v>0</v>
      </c>
      <c r="BM40" s="320">
        <v>0</v>
      </c>
      <c r="BN40" s="320">
        <v>0</v>
      </c>
      <c r="BO40" s="320">
        <v>0</v>
      </c>
      <c r="BP40" s="321">
        <v>0</v>
      </c>
      <c r="BQ40" s="350">
        <v>0.7</v>
      </c>
      <c r="BR40" s="351">
        <v>0.7</v>
      </c>
      <c r="BS40" s="351">
        <v>0.7</v>
      </c>
      <c r="BT40" s="320">
        <v>0</v>
      </c>
      <c r="BU40" s="321">
        <v>0</v>
      </c>
      <c r="BV40" s="327" t="s">
        <v>438</v>
      </c>
      <c r="BW40" s="324">
        <v>1333.3333333333333</v>
      </c>
      <c r="BX40" s="324">
        <v>1200</v>
      </c>
      <c r="BY40" s="324">
        <v>1000</v>
      </c>
      <c r="BZ40" s="324">
        <v>0</v>
      </c>
      <c r="CA40" s="325">
        <v>0</v>
      </c>
      <c r="CB40" s="324">
        <v>13.333333333333334</v>
      </c>
      <c r="CC40" s="324">
        <v>13.333333333333334</v>
      </c>
      <c r="CD40" s="324">
        <v>13.333333333333334</v>
      </c>
      <c r="CE40" s="324">
        <v>0</v>
      </c>
      <c r="CF40" s="325">
        <v>0</v>
      </c>
      <c r="CG40" s="326">
        <v>0</v>
      </c>
      <c r="CH40" s="324">
        <v>0</v>
      </c>
      <c r="CI40" s="324">
        <v>0</v>
      </c>
      <c r="CJ40" s="324">
        <v>0</v>
      </c>
      <c r="CK40" s="325">
        <v>0</v>
      </c>
    </row>
    <row r="41" spans="1:89" s="315" customFormat="1" x14ac:dyDescent="0.2">
      <c r="A41" s="316" t="s">
        <v>441</v>
      </c>
      <c r="B41" s="317" t="s">
        <v>533</v>
      </c>
      <c r="C41" s="318" t="s">
        <v>442</v>
      </c>
      <c r="D41" s="319" t="s">
        <v>534</v>
      </c>
      <c r="E41" s="320" t="s">
        <v>534</v>
      </c>
      <c r="F41" s="320" t="s">
        <v>534</v>
      </c>
      <c r="G41" s="320" t="s">
        <v>499</v>
      </c>
      <c r="H41" s="321" t="s">
        <v>499</v>
      </c>
      <c r="I41" s="320" t="s">
        <v>535</v>
      </c>
      <c r="J41" s="320" t="s">
        <v>535</v>
      </c>
      <c r="K41" s="320" t="s">
        <v>535</v>
      </c>
      <c r="L41" s="320">
        <v>0</v>
      </c>
      <c r="M41" s="321">
        <v>0</v>
      </c>
      <c r="N41" s="320" t="s">
        <v>536</v>
      </c>
      <c r="O41" s="320" t="s">
        <v>536</v>
      </c>
      <c r="P41" s="320" t="s">
        <v>536</v>
      </c>
      <c r="Q41" s="320">
        <v>0</v>
      </c>
      <c r="R41" s="321">
        <v>0</v>
      </c>
      <c r="S41" s="320"/>
      <c r="T41" s="320"/>
      <c r="U41" s="320"/>
      <c r="V41" s="320"/>
      <c r="W41" s="321"/>
      <c r="X41" s="320" t="s">
        <v>537</v>
      </c>
      <c r="Y41" s="320" t="s">
        <v>537</v>
      </c>
      <c r="Z41" s="320" t="s">
        <v>537</v>
      </c>
      <c r="AA41" s="320">
        <v>0</v>
      </c>
      <c r="AB41" s="321">
        <v>0</v>
      </c>
      <c r="AC41" s="322">
        <v>0.875</v>
      </c>
      <c r="AD41" s="322">
        <v>0.47499999999999998</v>
      </c>
      <c r="AE41" s="322">
        <v>0.98499999999999999</v>
      </c>
      <c r="AF41" s="322">
        <v>0</v>
      </c>
      <c r="AG41" s="323">
        <v>0</v>
      </c>
      <c r="AH41" s="322">
        <v>0.55000000000000004</v>
      </c>
      <c r="AI41" s="322">
        <v>0.52500000000000002</v>
      </c>
      <c r="AJ41" s="322">
        <v>0.52500000000000002</v>
      </c>
      <c r="AK41" s="322">
        <v>0</v>
      </c>
      <c r="AL41" s="323">
        <v>0</v>
      </c>
      <c r="AM41" s="322">
        <v>0.375</v>
      </c>
      <c r="AN41" s="322">
        <v>0.45</v>
      </c>
      <c r="AO41" s="322">
        <v>0.47499999999999998</v>
      </c>
      <c r="AP41" s="322">
        <v>0</v>
      </c>
      <c r="AQ41" s="323">
        <v>0</v>
      </c>
      <c r="AR41" s="320"/>
      <c r="AS41" s="320"/>
      <c r="AT41" s="320"/>
      <c r="AU41" s="320"/>
      <c r="AV41" s="321"/>
      <c r="AW41" s="320" t="s">
        <v>538</v>
      </c>
      <c r="AX41" s="320" t="s">
        <v>539</v>
      </c>
      <c r="AY41" s="320" t="s">
        <v>539</v>
      </c>
      <c r="AZ41" s="320">
        <v>0</v>
      </c>
      <c r="BA41" s="321">
        <v>0</v>
      </c>
      <c r="BB41" s="324">
        <v>21000</v>
      </c>
      <c r="BC41" s="328">
        <v>18900</v>
      </c>
      <c r="BD41" s="328">
        <v>15750</v>
      </c>
      <c r="BE41" s="324">
        <v>0</v>
      </c>
      <c r="BF41" s="325">
        <v>0</v>
      </c>
      <c r="BG41" s="324">
        <v>2500</v>
      </c>
      <c r="BH41" s="324">
        <v>2500</v>
      </c>
      <c r="BI41" s="324">
        <v>2500</v>
      </c>
      <c r="BJ41" s="324">
        <v>0</v>
      </c>
      <c r="BK41" s="325">
        <v>0</v>
      </c>
      <c r="BL41" s="335">
        <v>500</v>
      </c>
      <c r="BM41" s="320">
        <v>0</v>
      </c>
      <c r="BN41" s="320">
        <v>0</v>
      </c>
      <c r="BO41" s="320">
        <v>0</v>
      </c>
      <c r="BP41" s="321">
        <v>0</v>
      </c>
      <c r="BQ41" s="319">
        <v>0</v>
      </c>
      <c r="BR41" s="320">
        <v>0</v>
      </c>
      <c r="BS41" s="320">
        <v>0</v>
      </c>
      <c r="BT41" s="320">
        <v>0</v>
      </c>
      <c r="BU41" s="321">
        <v>0</v>
      </c>
      <c r="BV41" s="327" t="s">
        <v>438</v>
      </c>
      <c r="BW41" s="324">
        <v>14000</v>
      </c>
      <c r="BX41" s="324">
        <v>12600</v>
      </c>
      <c r="BY41" s="324">
        <v>10500</v>
      </c>
      <c r="BZ41" s="324">
        <v>0</v>
      </c>
      <c r="CA41" s="325">
        <v>0</v>
      </c>
      <c r="CB41" s="324">
        <v>1666.6666666666667</v>
      </c>
      <c r="CC41" s="324">
        <v>1666.6666666666667</v>
      </c>
      <c r="CD41" s="324">
        <v>1666.6666666666667</v>
      </c>
      <c r="CE41" s="324">
        <v>0</v>
      </c>
      <c r="CF41" s="325">
        <v>0</v>
      </c>
      <c r="CG41" s="326">
        <v>333.33333333333331</v>
      </c>
      <c r="CH41" s="324">
        <v>0</v>
      </c>
      <c r="CI41" s="324">
        <v>0</v>
      </c>
      <c r="CJ41" s="324">
        <v>0</v>
      </c>
      <c r="CK41" s="325">
        <v>0</v>
      </c>
    </row>
    <row r="42" spans="1:89" s="315" customFormat="1" x14ac:dyDescent="0.2">
      <c r="A42" s="316" t="s">
        <v>443</v>
      </c>
      <c r="B42" s="317" t="s">
        <v>540</v>
      </c>
      <c r="C42" s="318" t="s">
        <v>444</v>
      </c>
      <c r="D42" s="319">
        <v>1.6</v>
      </c>
      <c r="E42" s="320">
        <v>1.6</v>
      </c>
      <c r="F42" s="320">
        <v>1.6</v>
      </c>
      <c r="G42" s="320">
        <v>0</v>
      </c>
      <c r="H42" s="321">
        <v>0</v>
      </c>
      <c r="I42" s="320">
        <v>1.4</v>
      </c>
      <c r="J42" s="320">
        <v>1.4</v>
      </c>
      <c r="K42" s="320">
        <v>1.4</v>
      </c>
      <c r="L42" s="320">
        <v>0</v>
      </c>
      <c r="M42" s="321">
        <v>0</v>
      </c>
      <c r="N42" s="320" t="s">
        <v>525</v>
      </c>
      <c r="O42" s="320" t="s">
        <v>525</v>
      </c>
      <c r="P42" s="320" t="s">
        <v>525</v>
      </c>
      <c r="Q42" s="320">
        <v>0</v>
      </c>
      <c r="R42" s="321">
        <v>0</v>
      </c>
      <c r="S42" s="320"/>
      <c r="T42" s="320"/>
      <c r="U42" s="320"/>
      <c r="V42" s="320"/>
      <c r="W42" s="321"/>
      <c r="X42" s="320" t="s">
        <v>525</v>
      </c>
      <c r="Y42" s="320" t="s">
        <v>525</v>
      </c>
      <c r="Z42" s="320" t="s">
        <v>525</v>
      </c>
      <c r="AA42" s="320">
        <v>0</v>
      </c>
      <c r="AB42" s="321">
        <v>0</v>
      </c>
      <c r="AC42" s="322">
        <v>0.875</v>
      </c>
      <c r="AD42" s="322">
        <v>0.94</v>
      </c>
      <c r="AE42" s="322">
        <v>0.98499999999999999</v>
      </c>
      <c r="AF42" s="322">
        <v>0</v>
      </c>
      <c r="AG42" s="323">
        <v>0</v>
      </c>
      <c r="AH42" s="322">
        <v>0.4</v>
      </c>
      <c r="AI42" s="322">
        <v>0.44</v>
      </c>
      <c r="AJ42" s="322">
        <v>0.45</v>
      </c>
      <c r="AK42" s="322">
        <v>0</v>
      </c>
      <c r="AL42" s="323">
        <v>0</v>
      </c>
      <c r="AM42" s="322">
        <v>0.47499999999999998</v>
      </c>
      <c r="AN42" s="322">
        <v>0.505</v>
      </c>
      <c r="AO42" s="322">
        <v>0.54500000000000004</v>
      </c>
      <c r="AP42" s="322">
        <v>0</v>
      </c>
      <c r="AQ42" s="323">
        <v>0</v>
      </c>
      <c r="AR42" s="320"/>
      <c r="AS42" s="320"/>
      <c r="AT42" s="320"/>
      <c r="AU42" s="320"/>
      <c r="AV42" s="321"/>
      <c r="AW42" s="320">
        <v>7</v>
      </c>
      <c r="AX42" s="320" t="s">
        <v>518</v>
      </c>
      <c r="AY42" s="320" t="s">
        <v>518</v>
      </c>
      <c r="AZ42" s="320">
        <v>0</v>
      </c>
      <c r="BA42" s="321">
        <v>0</v>
      </c>
      <c r="BB42" s="324">
        <v>10500</v>
      </c>
      <c r="BC42" s="328">
        <v>9450</v>
      </c>
      <c r="BD42" s="328">
        <v>7875</v>
      </c>
      <c r="BE42" s="324">
        <v>0</v>
      </c>
      <c r="BF42" s="325">
        <v>0</v>
      </c>
      <c r="BG42" s="324">
        <v>2500</v>
      </c>
      <c r="BH42" s="324">
        <v>2500</v>
      </c>
      <c r="BI42" s="324">
        <v>2500</v>
      </c>
      <c r="BJ42" s="324">
        <v>0</v>
      </c>
      <c r="BK42" s="325">
        <v>0</v>
      </c>
      <c r="BL42" s="335">
        <v>500</v>
      </c>
      <c r="BM42" s="320">
        <v>0</v>
      </c>
      <c r="BN42" s="320">
        <v>0</v>
      </c>
      <c r="BO42" s="320">
        <v>0</v>
      </c>
      <c r="BP42" s="321">
        <v>0</v>
      </c>
      <c r="BQ42" s="319">
        <v>0</v>
      </c>
      <c r="BR42" s="320">
        <v>0</v>
      </c>
      <c r="BS42" s="320">
        <v>0</v>
      </c>
      <c r="BT42" s="320">
        <v>0</v>
      </c>
      <c r="BU42" s="321">
        <v>0</v>
      </c>
      <c r="BV42" s="327" t="s">
        <v>438</v>
      </c>
      <c r="BW42" s="324">
        <v>6562.5</v>
      </c>
      <c r="BX42" s="324">
        <v>5906.25</v>
      </c>
      <c r="BY42" s="324">
        <v>4921.875</v>
      </c>
      <c r="BZ42" s="324">
        <v>0</v>
      </c>
      <c r="CA42" s="325">
        <v>0</v>
      </c>
      <c r="CB42" s="324">
        <v>1562.5</v>
      </c>
      <c r="CC42" s="324">
        <v>1562.5</v>
      </c>
      <c r="CD42" s="324">
        <v>1562.5</v>
      </c>
      <c r="CE42" s="324">
        <v>0</v>
      </c>
      <c r="CF42" s="325">
        <v>0</v>
      </c>
      <c r="CG42" s="326">
        <v>312.5</v>
      </c>
      <c r="CH42" s="324">
        <v>0</v>
      </c>
      <c r="CI42" s="324">
        <v>0</v>
      </c>
      <c r="CJ42" s="324">
        <v>0</v>
      </c>
      <c r="CK42" s="325">
        <v>0</v>
      </c>
    </row>
    <row r="43" spans="1:89" s="315" customFormat="1" x14ac:dyDescent="0.2">
      <c r="A43" s="308" t="s">
        <v>445</v>
      </c>
      <c r="B43" s="309"/>
      <c r="C43" s="310"/>
      <c r="D43" s="311"/>
      <c r="E43" s="312"/>
      <c r="F43" s="312"/>
      <c r="G43" s="312"/>
      <c r="H43" s="313"/>
      <c r="I43" s="312"/>
      <c r="J43" s="312"/>
      <c r="K43" s="312"/>
      <c r="L43" s="312"/>
      <c r="M43" s="313"/>
      <c r="N43" s="312"/>
      <c r="O43" s="312"/>
      <c r="P43" s="312"/>
      <c r="Q43" s="312"/>
      <c r="R43" s="313"/>
      <c r="S43" s="312"/>
      <c r="T43" s="312"/>
      <c r="U43" s="312"/>
      <c r="V43" s="312"/>
      <c r="W43" s="313"/>
      <c r="X43" s="312"/>
      <c r="Y43" s="312"/>
      <c r="Z43" s="312"/>
      <c r="AA43" s="312"/>
      <c r="AB43" s="313"/>
      <c r="AC43" s="337">
        <v>0</v>
      </c>
      <c r="AD43" s="337">
        <v>0</v>
      </c>
      <c r="AE43" s="337">
        <v>0</v>
      </c>
      <c r="AF43" s="337">
        <v>0</v>
      </c>
      <c r="AG43" s="338">
        <v>0</v>
      </c>
      <c r="AH43" s="337">
        <v>0</v>
      </c>
      <c r="AI43" s="337">
        <v>0</v>
      </c>
      <c r="AJ43" s="337">
        <v>0</v>
      </c>
      <c r="AK43" s="337">
        <v>0</v>
      </c>
      <c r="AL43" s="338">
        <v>0</v>
      </c>
      <c r="AM43" s="337">
        <v>0</v>
      </c>
      <c r="AN43" s="337">
        <v>0</v>
      </c>
      <c r="AO43" s="337">
        <v>0</v>
      </c>
      <c r="AP43" s="337">
        <v>0</v>
      </c>
      <c r="AQ43" s="338">
        <v>0</v>
      </c>
      <c r="AR43" s="312"/>
      <c r="AS43" s="312"/>
      <c r="AT43" s="312"/>
      <c r="AU43" s="312"/>
      <c r="AV43" s="313"/>
      <c r="AW43" s="312"/>
      <c r="AX43" s="312"/>
      <c r="AY43" s="312"/>
      <c r="AZ43" s="312"/>
      <c r="BA43" s="313"/>
      <c r="BB43" s="312"/>
      <c r="BC43" s="312"/>
      <c r="BD43" s="312"/>
      <c r="BE43" s="312"/>
      <c r="BF43" s="313"/>
      <c r="BG43" s="312"/>
      <c r="BH43" s="312"/>
      <c r="BI43" s="312"/>
      <c r="BJ43" s="312"/>
      <c r="BK43" s="313"/>
      <c r="BL43" s="312"/>
      <c r="BM43" s="312"/>
      <c r="BN43" s="312"/>
      <c r="BO43" s="312"/>
      <c r="BP43" s="313"/>
      <c r="BQ43" s="311"/>
      <c r="BR43" s="312"/>
      <c r="BS43" s="312"/>
      <c r="BT43" s="312"/>
      <c r="BU43" s="313"/>
      <c r="BV43" s="314"/>
      <c r="BW43" s="312"/>
      <c r="BX43" s="312"/>
      <c r="BY43" s="312"/>
      <c r="BZ43" s="312"/>
      <c r="CA43" s="313"/>
      <c r="CB43" s="312"/>
      <c r="CC43" s="312"/>
      <c r="CD43" s="312"/>
      <c r="CE43" s="312"/>
      <c r="CF43" s="313"/>
      <c r="CG43" s="311"/>
      <c r="CH43" s="312"/>
      <c r="CI43" s="312"/>
      <c r="CJ43" s="312"/>
      <c r="CK43" s="313"/>
    </row>
    <row r="44" spans="1:89" s="315" customFormat="1" x14ac:dyDescent="0.2">
      <c r="A44" s="316"/>
      <c r="B44" s="317"/>
      <c r="C44" s="318" t="s">
        <v>446</v>
      </c>
      <c r="D44" s="319"/>
      <c r="E44" s="320"/>
      <c r="F44" s="320"/>
      <c r="G44" s="320"/>
      <c r="H44" s="321"/>
      <c r="I44" s="320"/>
      <c r="J44" s="320"/>
      <c r="K44" s="320"/>
      <c r="L44" s="320"/>
      <c r="M44" s="321"/>
      <c r="N44" s="320"/>
      <c r="O44" s="320"/>
      <c r="P44" s="320"/>
      <c r="Q44" s="320"/>
      <c r="R44" s="321"/>
      <c r="S44" s="320"/>
      <c r="T44" s="320"/>
      <c r="U44" s="320"/>
      <c r="V44" s="320"/>
      <c r="W44" s="321"/>
      <c r="X44" s="320"/>
      <c r="Y44" s="320"/>
      <c r="Z44" s="320"/>
      <c r="AA44" s="320"/>
      <c r="AB44" s="321"/>
      <c r="AC44" s="322">
        <v>0</v>
      </c>
      <c r="AD44" s="322">
        <v>0</v>
      </c>
      <c r="AE44" s="322">
        <v>0</v>
      </c>
      <c r="AF44" s="322">
        <v>0</v>
      </c>
      <c r="AG44" s="323">
        <v>0</v>
      </c>
      <c r="AH44" s="322">
        <v>0</v>
      </c>
      <c r="AI44" s="322">
        <v>0</v>
      </c>
      <c r="AJ44" s="322">
        <v>0</v>
      </c>
      <c r="AK44" s="322">
        <v>0</v>
      </c>
      <c r="AL44" s="323">
        <v>0</v>
      </c>
      <c r="AM44" s="322">
        <v>0</v>
      </c>
      <c r="AN44" s="322">
        <v>0</v>
      </c>
      <c r="AO44" s="322">
        <v>0</v>
      </c>
      <c r="AP44" s="322">
        <v>0</v>
      </c>
      <c r="AQ44" s="323">
        <v>0</v>
      </c>
      <c r="AR44" s="320"/>
      <c r="AS44" s="320"/>
      <c r="AT44" s="320"/>
      <c r="AU44" s="320"/>
      <c r="AV44" s="321"/>
      <c r="AW44" s="320"/>
      <c r="AX44" s="320"/>
      <c r="AY44" s="320"/>
      <c r="AZ44" s="320"/>
      <c r="BA44" s="321"/>
      <c r="BB44" s="324">
        <v>0</v>
      </c>
      <c r="BC44" s="324">
        <v>0</v>
      </c>
      <c r="BD44" s="324">
        <v>0</v>
      </c>
      <c r="BE44" s="324">
        <v>0</v>
      </c>
      <c r="BF44" s="325">
        <v>0</v>
      </c>
      <c r="BG44" s="320"/>
      <c r="BH44" s="320"/>
      <c r="BI44" s="320"/>
      <c r="BJ44" s="320"/>
      <c r="BK44" s="321"/>
      <c r="BL44" s="320"/>
      <c r="BM44" s="320"/>
      <c r="BN44" s="320"/>
      <c r="BO44" s="320"/>
      <c r="BP44" s="321"/>
      <c r="BQ44" s="319"/>
      <c r="BR44" s="320"/>
      <c r="BS44" s="320"/>
      <c r="BT44" s="320"/>
      <c r="BU44" s="321"/>
      <c r="BV44" s="327"/>
      <c r="BW44" s="324"/>
      <c r="BX44" s="324"/>
      <c r="BY44" s="324"/>
      <c r="BZ44" s="324"/>
      <c r="CA44" s="325"/>
      <c r="CB44" s="324"/>
      <c r="CC44" s="324"/>
      <c r="CD44" s="324"/>
      <c r="CE44" s="324"/>
      <c r="CF44" s="325"/>
      <c r="CG44" s="326"/>
      <c r="CH44" s="324"/>
      <c r="CI44" s="324"/>
      <c r="CJ44" s="324"/>
      <c r="CK44" s="325"/>
    </row>
    <row r="45" spans="1:89" s="315" customFormat="1" x14ac:dyDescent="0.2">
      <c r="A45" s="316" t="s">
        <v>447</v>
      </c>
      <c r="B45" s="317" t="s">
        <v>541</v>
      </c>
      <c r="C45" s="318" t="s">
        <v>448</v>
      </c>
      <c r="D45" s="319">
        <v>4.2</v>
      </c>
      <c r="E45" s="320">
        <v>4.2</v>
      </c>
      <c r="F45" s="320">
        <v>4.2</v>
      </c>
      <c r="G45" s="320">
        <v>4.2</v>
      </c>
      <c r="H45" s="321">
        <v>4.2</v>
      </c>
      <c r="I45" s="320"/>
      <c r="J45" s="320"/>
      <c r="K45" s="320"/>
      <c r="L45" s="320"/>
      <c r="M45" s="321"/>
      <c r="N45" s="320">
        <v>10</v>
      </c>
      <c r="O45" s="320">
        <v>10</v>
      </c>
      <c r="P45" s="320">
        <v>12</v>
      </c>
      <c r="Q45" s="320">
        <v>12</v>
      </c>
      <c r="R45" s="321">
        <v>12</v>
      </c>
      <c r="S45" s="320"/>
      <c r="T45" s="320"/>
      <c r="U45" s="320"/>
      <c r="V45" s="320"/>
      <c r="W45" s="321"/>
      <c r="X45" s="320">
        <v>65</v>
      </c>
      <c r="Y45" s="320">
        <v>65</v>
      </c>
      <c r="Z45" s="320">
        <v>70</v>
      </c>
      <c r="AA45" s="320">
        <v>70</v>
      </c>
      <c r="AB45" s="321">
        <v>70</v>
      </c>
      <c r="AC45" s="322">
        <v>0</v>
      </c>
      <c r="AD45" s="322">
        <v>0</v>
      </c>
      <c r="AE45" s="322">
        <v>0</v>
      </c>
      <c r="AF45" s="322">
        <v>0</v>
      </c>
      <c r="AG45" s="323">
        <v>0</v>
      </c>
      <c r="AH45" s="322">
        <v>0</v>
      </c>
      <c r="AI45" s="322">
        <v>0</v>
      </c>
      <c r="AJ45" s="322">
        <v>0</v>
      </c>
      <c r="AK45" s="322">
        <v>0</v>
      </c>
      <c r="AL45" s="323">
        <v>0</v>
      </c>
      <c r="AM45" s="322">
        <v>0</v>
      </c>
      <c r="AN45" s="322">
        <v>0</v>
      </c>
      <c r="AO45" s="322">
        <v>0</v>
      </c>
      <c r="AP45" s="322">
        <v>0</v>
      </c>
      <c r="AQ45" s="323">
        <v>0</v>
      </c>
      <c r="AR45" s="320"/>
      <c r="AS45" s="320"/>
      <c r="AT45" s="320"/>
      <c r="AU45" s="320"/>
      <c r="AV45" s="321"/>
      <c r="AW45" s="320">
        <v>20</v>
      </c>
      <c r="AX45" s="320">
        <v>25</v>
      </c>
      <c r="AY45" s="320">
        <v>30</v>
      </c>
      <c r="AZ45" s="320">
        <v>30</v>
      </c>
      <c r="BA45" s="321">
        <v>30</v>
      </c>
      <c r="BB45" s="324">
        <v>5400</v>
      </c>
      <c r="BC45" s="324">
        <v>5100</v>
      </c>
      <c r="BD45" s="324">
        <v>4600</v>
      </c>
      <c r="BE45" s="324">
        <v>3700</v>
      </c>
      <c r="BF45" s="325">
        <v>3700</v>
      </c>
      <c r="BG45" s="320">
        <v>0</v>
      </c>
      <c r="BH45" s="320">
        <v>0</v>
      </c>
      <c r="BI45" s="320">
        <v>0</v>
      </c>
      <c r="BJ45" s="320">
        <v>0</v>
      </c>
      <c r="BK45" s="321">
        <v>0</v>
      </c>
      <c r="BL45" s="320">
        <v>62</v>
      </c>
      <c r="BM45" s="320">
        <v>62</v>
      </c>
      <c r="BN45" s="320">
        <v>62</v>
      </c>
      <c r="BO45" s="320">
        <v>62</v>
      </c>
      <c r="BP45" s="321">
        <v>62</v>
      </c>
      <c r="BQ45" s="319"/>
      <c r="BR45" s="320"/>
      <c r="BS45" s="320"/>
      <c r="BT45" s="320"/>
      <c r="BU45" s="321"/>
      <c r="BV45" s="327"/>
      <c r="BW45" s="324">
        <v>1285.7142857142856</v>
      </c>
      <c r="BX45" s="324">
        <v>1214.2857142857142</v>
      </c>
      <c r="BY45" s="324">
        <v>1095.2380952380952</v>
      </c>
      <c r="BZ45" s="324">
        <v>880.95238095238096</v>
      </c>
      <c r="CA45" s="325">
        <v>880.95238095238096</v>
      </c>
      <c r="CB45" s="324">
        <v>0</v>
      </c>
      <c r="CC45" s="324">
        <v>0</v>
      </c>
      <c r="CD45" s="324">
        <v>0</v>
      </c>
      <c r="CE45" s="324">
        <v>0</v>
      </c>
      <c r="CF45" s="325">
        <v>0</v>
      </c>
      <c r="CG45" s="326">
        <v>14.761904761904761</v>
      </c>
      <c r="CH45" s="324">
        <v>14.761904761904761</v>
      </c>
      <c r="CI45" s="324">
        <v>14.761904761904761</v>
      </c>
      <c r="CJ45" s="324">
        <v>14.761904761904761</v>
      </c>
      <c r="CK45" s="325">
        <v>14.761904761904761</v>
      </c>
    </row>
    <row r="46" spans="1:89" s="315" customFormat="1" x14ac:dyDescent="0.2">
      <c r="A46" s="316" t="s">
        <v>449</v>
      </c>
      <c r="B46" s="317" t="s">
        <v>542</v>
      </c>
      <c r="C46" s="318" t="s">
        <v>450</v>
      </c>
      <c r="D46" s="319">
        <v>140</v>
      </c>
      <c r="E46" s="320">
        <v>140</v>
      </c>
      <c r="F46" s="320">
        <v>140</v>
      </c>
      <c r="G46" s="320">
        <v>140</v>
      </c>
      <c r="H46" s="321">
        <v>140</v>
      </c>
      <c r="I46" s="320"/>
      <c r="J46" s="320"/>
      <c r="K46" s="320"/>
      <c r="L46" s="320"/>
      <c r="M46" s="321"/>
      <c r="N46" s="320">
        <v>10</v>
      </c>
      <c r="O46" s="320">
        <v>10</v>
      </c>
      <c r="P46" s="320">
        <v>12</v>
      </c>
      <c r="Q46" s="320">
        <v>12</v>
      </c>
      <c r="R46" s="321">
        <v>12</v>
      </c>
      <c r="S46" s="320"/>
      <c r="T46" s="320"/>
      <c r="U46" s="320"/>
      <c r="V46" s="320"/>
      <c r="W46" s="321"/>
      <c r="X46" s="320">
        <v>65</v>
      </c>
      <c r="Y46" s="320">
        <v>65</v>
      </c>
      <c r="Z46" s="320">
        <v>70</v>
      </c>
      <c r="AA46" s="320">
        <v>70</v>
      </c>
      <c r="AB46" s="321">
        <v>70</v>
      </c>
      <c r="AC46" s="322">
        <v>0</v>
      </c>
      <c r="AD46" s="322">
        <v>0</v>
      </c>
      <c r="AE46" s="322">
        <v>0</v>
      </c>
      <c r="AF46" s="322">
        <v>0</v>
      </c>
      <c r="AG46" s="323">
        <v>0</v>
      </c>
      <c r="AH46" s="322">
        <v>0</v>
      </c>
      <c r="AI46" s="322">
        <v>0</v>
      </c>
      <c r="AJ46" s="322">
        <v>0</v>
      </c>
      <c r="AK46" s="322">
        <v>0</v>
      </c>
      <c r="AL46" s="323">
        <v>0</v>
      </c>
      <c r="AM46" s="322">
        <v>0</v>
      </c>
      <c r="AN46" s="322">
        <v>0</v>
      </c>
      <c r="AO46" s="322">
        <v>0</v>
      </c>
      <c r="AP46" s="322">
        <v>0</v>
      </c>
      <c r="AQ46" s="323">
        <v>0</v>
      </c>
      <c r="AR46" s="320"/>
      <c r="AS46" s="320"/>
      <c r="AT46" s="320"/>
      <c r="AU46" s="320"/>
      <c r="AV46" s="321"/>
      <c r="AW46" s="320">
        <v>20</v>
      </c>
      <c r="AX46" s="320">
        <v>25</v>
      </c>
      <c r="AY46" s="320">
        <v>30</v>
      </c>
      <c r="AZ46" s="320">
        <v>30</v>
      </c>
      <c r="BA46" s="321">
        <v>30</v>
      </c>
      <c r="BB46" s="324">
        <v>90000</v>
      </c>
      <c r="BC46" s="324">
        <v>90000</v>
      </c>
      <c r="BD46" s="324">
        <v>90000</v>
      </c>
      <c r="BE46" s="324">
        <v>90000</v>
      </c>
      <c r="BF46" s="325">
        <v>90000</v>
      </c>
      <c r="BG46" s="320">
        <v>0</v>
      </c>
      <c r="BH46" s="320">
        <v>0</v>
      </c>
      <c r="BI46" s="320">
        <v>0</v>
      </c>
      <c r="BJ46" s="320">
        <v>0</v>
      </c>
      <c r="BK46" s="321">
        <v>0</v>
      </c>
      <c r="BL46" s="320">
        <v>600</v>
      </c>
      <c r="BM46" s="320">
        <v>600</v>
      </c>
      <c r="BN46" s="320">
        <v>600</v>
      </c>
      <c r="BO46" s="320">
        <v>600</v>
      </c>
      <c r="BP46" s="321">
        <v>600</v>
      </c>
      <c r="BQ46" s="319"/>
      <c r="BR46" s="320"/>
      <c r="BS46" s="320"/>
      <c r="BT46" s="320"/>
      <c r="BU46" s="321"/>
      <c r="BV46" s="327"/>
      <c r="BW46" s="324">
        <v>642.85714285714289</v>
      </c>
      <c r="BX46" s="324">
        <v>642.85714285714289</v>
      </c>
      <c r="BY46" s="324">
        <v>642.85714285714289</v>
      </c>
      <c r="BZ46" s="324">
        <v>642.85714285714289</v>
      </c>
      <c r="CA46" s="325">
        <v>642.85714285714289</v>
      </c>
      <c r="CB46" s="324">
        <v>0</v>
      </c>
      <c r="CC46" s="324">
        <v>0</v>
      </c>
      <c r="CD46" s="324">
        <v>0</v>
      </c>
      <c r="CE46" s="324">
        <v>0</v>
      </c>
      <c r="CF46" s="325">
        <v>0</v>
      </c>
      <c r="CG46" s="326">
        <v>4.2857142857142856</v>
      </c>
      <c r="CH46" s="324">
        <v>4.2857142857142856</v>
      </c>
      <c r="CI46" s="324">
        <v>4.2857142857142856</v>
      </c>
      <c r="CJ46" s="324">
        <v>4.2857142857142856</v>
      </c>
      <c r="CK46" s="325">
        <v>4.2857142857142856</v>
      </c>
    </row>
    <row r="47" spans="1:89" s="315" customFormat="1" x14ac:dyDescent="0.2">
      <c r="A47" s="316"/>
      <c r="B47" s="317"/>
      <c r="C47" s="318" t="s">
        <v>451</v>
      </c>
      <c r="D47" s="319"/>
      <c r="E47" s="320"/>
      <c r="F47" s="320"/>
      <c r="G47" s="320"/>
      <c r="H47" s="321"/>
      <c r="I47" s="320"/>
      <c r="J47" s="320"/>
      <c r="K47" s="320"/>
      <c r="L47" s="320"/>
      <c r="M47" s="321"/>
      <c r="N47" s="320"/>
      <c r="O47" s="320"/>
      <c r="P47" s="320"/>
      <c r="Q47" s="320"/>
      <c r="R47" s="321"/>
      <c r="S47" s="320"/>
      <c r="T47" s="320"/>
      <c r="U47" s="320"/>
      <c r="V47" s="320"/>
      <c r="W47" s="321"/>
      <c r="X47" s="320"/>
      <c r="Y47" s="320"/>
      <c r="Z47" s="320"/>
      <c r="AA47" s="320"/>
      <c r="AB47" s="321"/>
      <c r="AC47" s="322">
        <v>0</v>
      </c>
      <c r="AD47" s="322">
        <v>0</v>
      </c>
      <c r="AE47" s="322">
        <v>0</v>
      </c>
      <c r="AF47" s="322">
        <v>0</v>
      </c>
      <c r="AG47" s="323">
        <v>0</v>
      </c>
      <c r="AH47" s="322">
        <v>0</v>
      </c>
      <c r="AI47" s="322">
        <v>0</v>
      </c>
      <c r="AJ47" s="322">
        <v>0</v>
      </c>
      <c r="AK47" s="322">
        <v>0</v>
      </c>
      <c r="AL47" s="323">
        <v>0</v>
      </c>
      <c r="AM47" s="322">
        <v>0</v>
      </c>
      <c r="AN47" s="322">
        <v>0</v>
      </c>
      <c r="AO47" s="322">
        <v>0</v>
      </c>
      <c r="AP47" s="322">
        <v>0</v>
      </c>
      <c r="AQ47" s="323">
        <v>0</v>
      </c>
      <c r="AR47" s="320"/>
      <c r="AS47" s="320"/>
      <c r="AT47" s="320"/>
      <c r="AU47" s="320"/>
      <c r="AV47" s="321"/>
      <c r="AW47" s="320"/>
      <c r="AX47" s="320"/>
      <c r="AY47" s="320"/>
      <c r="AZ47" s="320"/>
      <c r="BA47" s="321"/>
      <c r="BB47" s="324">
        <v>0</v>
      </c>
      <c r="BC47" s="324">
        <v>0</v>
      </c>
      <c r="BD47" s="324">
        <v>0</v>
      </c>
      <c r="BE47" s="324">
        <v>0</v>
      </c>
      <c r="BF47" s="325">
        <v>0</v>
      </c>
      <c r="BG47" s="320"/>
      <c r="BH47" s="320"/>
      <c r="BI47" s="320"/>
      <c r="BJ47" s="320"/>
      <c r="BK47" s="321"/>
      <c r="BL47" s="320"/>
      <c r="BM47" s="320"/>
      <c r="BN47" s="320"/>
      <c r="BO47" s="320"/>
      <c r="BP47" s="321"/>
      <c r="BQ47" s="319"/>
      <c r="BR47" s="320"/>
      <c r="BS47" s="320"/>
      <c r="BT47" s="320"/>
      <c r="BU47" s="321"/>
      <c r="BV47" s="327"/>
      <c r="BW47" s="324"/>
      <c r="BX47" s="324"/>
      <c r="BY47" s="324"/>
      <c r="BZ47" s="324"/>
      <c r="CA47" s="325"/>
      <c r="CB47" s="324"/>
      <c r="CC47" s="324"/>
      <c r="CD47" s="324"/>
      <c r="CE47" s="324"/>
      <c r="CF47" s="325"/>
      <c r="CG47" s="326"/>
      <c r="CH47" s="324"/>
      <c r="CI47" s="324"/>
      <c r="CJ47" s="324"/>
      <c r="CK47" s="325"/>
    </row>
    <row r="48" spans="1:89" s="315" customFormat="1" x14ac:dyDescent="0.2">
      <c r="A48" s="316" t="s">
        <v>452</v>
      </c>
      <c r="B48" s="317" t="s">
        <v>543</v>
      </c>
      <c r="C48" s="318" t="s">
        <v>453</v>
      </c>
      <c r="D48" s="319">
        <v>5</v>
      </c>
      <c r="E48" s="320">
        <v>5</v>
      </c>
      <c r="F48" s="320">
        <v>5</v>
      </c>
      <c r="G48" s="320">
        <v>5</v>
      </c>
      <c r="H48" s="321">
        <v>5</v>
      </c>
      <c r="I48" s="320"/>
      <c r="J48" s="320"/>
      <c r="K48" s="320"/>
      <c r="L48" s="320"/>
      <c r="M48" s="321"/>
      <c r="N48" s="320">
        <v>100</v>
      </c>
      <c r="O48" s="320">
        <v>100</v>
      </c>
      <c r="P48" s="320">
        <v>100</v>
      </c>
      <c r="Q48" s="320">
        <v>100</v>
      </c>
      <c r="R48" s="321">
        <v>100</v>
      </c>
      <c r="S48" s="320"/>
      <c r="T48" s="320"/>
      <c r="U48" s="320"/>
      <c r="V48" s="320"/>
      <c r="W48" s="321"/>
      <c r="X48" s="320">
        <v>100</v>
      </c>
      <c r="Y48" s="320">
        <v>100</v>
      </c>
      <c r="Z48" s="320">
        <v>100</v>
      </c>
      <c r="AA48" s="320">
        <v>100</v>
      </c>
      <c r="AB48" s="321">
        <v>100</v>
      </c>
      <c r="AC48" s="322">
        <v>1</v>
      </c>
      <c r="AD48" s="322">
        <v>1</v>
      </c>
      <c r="AE48" s="322">
        <v>1</v>
      </c>
      <c r="AF48" s="322">
        <v>1</v>
      </c>
      <c r="AG48" s="323">
        <v>1</v>
      </c>
      <c r="AH48" s="322">
        <v>0</v>
      </c>
      <c r="AI48" s="322">
        <v>0</v>
      </c>
      <c r="AJ48" s="322">
        <v>0</v>
      </c>
      <c r="AK48" s="322">
        <v>0</v>
      </c>
      <c r="AL48" s="323">
        <v>0</v>
      </c>
      <c r="AM48" s="322">
        <v>0</v>
      </c>
      <c r="AN48" s="322">
        <v>0</v>
      </c>
      <c r="AO48" s="322">
        <v>0</v>
      </c>
      <c r="AP48" s="322">
        <v>0</v>
      </c>
      <c r="AQ48" s="323">
        <v>0</v>
      </c>
      <c r="AR48" s="320"/>
      <c r="AS48" s="320"/>
      <c r="AT48" s="320"/>
      <c r="AU48" s="320"/>
      <c r="AV48" s="321"/>
      <c r="AW48" s="320">
        <v>30</v>
      </c>
      <c r="AX48" s="320">
        <v>30</v>
      </c>
      <c r="AY48" s="320">
        <v>30</v>
      </c>
      <c r="AZ48" s="320">
        <v>30</v>
      </c>
      <c r="BA48" s="321">
        <v>30</v>
      </c>
      <c r="BB48" s="324">
        <v>4000</v>
      </c>
      <c r="BC48" s="324">
        <v>4000</v>
      </c>
      <c r="BD48" s="324">
        <v>4000</v>
      </c>
      <c r="BE48" s="324">
        <v>4000</v>
      </c>
      <c r="BF48" s="325">
        <v>4000</v>
      </c>
      <c r="BG48" s="320">
        <v>0</v>
      </c>
      <c r="BH48" s="320">
        <v>0</v>
      </c>
      <c r="BI48" s="320">
        <v>0</v>
      </c>
      <c r="BJ48" s="320">
        <v>0</v>
      </c>
      <c r="BK48" s="321">
        <v>0</v>
      </c>
      <c r="BL48" s="320">
        <v>50</v>
      </c>
      <c r="BM48" s="320">
        <v>50</v>
      </c>
      <c r="BN48" s="320">
        <v>50</v>
      </c>
      <c r="BO48" s="320">
        <v>50</v>
      </c>
      <c r="BP48" s="321">
        <v>50</v>
      </c>
      <c r="BQ48" s="319">
        <v>0</v>
      </c>
      <c r="BR48" s="320">
        <v>0</v>
      </c>
      <c r="BS48" s="320">
        <v>0</v>
      </c>
      <c r="BT48" s="320">
        <v>0</v>
      </c>
      <c r="BU48" s="321">
        <v>0</v>
      </c>
      <c r="BV48" s="327" t="s">
        <v>454</v>
      </c>
      <c r="BW48" s="324">
        <v>800</v>
      </c>
      <c r="BX48" s="324">
        <v>800</v>
      </c>
      <c r="BY48" s="324">
        <v>800</v>
      </c>
      <c r="BZ48" s="324">
        <v>800</v>
      </c>
      <c r="CA48" s="325">
        <v>800</v>
      </c>
      <c r="CB48" s="324">
        <v>0</v>
      </c>
      <c r="CC48" s="324">
        <v>0</v>
      </c>
      <c r="CD48" s="324">
        <v>0</v>
      </c>
      <c r="CE48" s="324">
        <v>0</v>
      </c>
      <c r="CF48" s="325">
        <v>0</v>
      </c>
      <c r="CG48" s="326">
        <v>10</v>
      </c>
      <c r="CH48" s="324">
        <v>10</v>
      </c>
      <c r="CI48" s="324">
        <v>10</v>
      </c>
      <c r="CJ48" s="324">
        <v>10</v>
      </c>
      <c r="CK48" s="325">
        <v>10</v>
      </c>
    </row>
    <row r="49" spans="1:89" s="315" customFormat="1" x14ac:dyDescent="0.2">
      <c r="A49" s="316" t="s">
        <v>455</v>
      </c>
      <c r="B49" s="317" t="s">
        <v>544</v>
      </c>
      <c r="C49" s="318" t="s">
        <v>456</v>
      </c>
      <c r="D49" s="319">
        <v>400</v>
      </c>
      <c r="E49" s="320">
        <v>400</v>
      </c>
      <c r="F49" s="320">
        <v>400</v>
      </c>
      <c r="G49" s="320">
        <v>400</v>
      </c>
      <c r="H49" s="321">
        <v>400</v>
      </c>
      <c r="I49" s="320"/>
      <c r="J49" s="320"/>
      <c r="K49" s="320"/>
      <c r="L49" s="320"/>
      <c r="M49" s="321"/>
      <c r="N49" s="320">
        <v>100</v>
      </c>
      <c r="O49" s="320">
        <v>100</v>
      </c>
      <c r="P49" s="320">
        <v>100</v>
      </c>
      <c r="Q49" s="320">
        <v>100</v>
      </c>
      <c r="R49" s="321">
        <v>100</v>
      </c>
      <c r="S49" s="320"/>
      <c r="T49" s="320"/>
      <c r="U49" s="320"/>
      <c r="V49" s="320"/>
      <c r="W49" s="321"/>
      <c r="X49" s="320">
        <v>100</v>
      </c>
      <c r="Y49" s="320">
        <v>100</v>
      </c>
      <c r="Z49" s="320">
        <v>100</v>
      </c>
      <c r="AA49" s="320">
        <v>100</v>
      </c>
      <c r="AB49" s="321">
        <v>100</v>
      </c>
      <c r="AC49" s="322">
        <v>0.95</v>
      </c>
      <c r="AD49" s="322">
        <v>0.95</v>
      </c>
      <c r="AE49" s="322">
        <v>0.95</v>
      </c>
      <c r="AF49" s="322">
        <v>0.95</v>
      </c>
      <c r="AG49" s="323">
        <v>0.95</v>
      </c>
      <c r="AH49" s="322">
        <v>0</v>
      </c>
      <c r="AI49" s="322">
        <v>0</v>
      </c>
      <c r="AJ49" s="322">
        <v>0</v>
      </c>
      <c r="AK49" s="322">
        <v>0</v>
      </c>
      <c r="AL49" s="323">
        <v>0</v>
      </c>
      <c r="AM49" s="322">
        <v>0</v>
      </c>
      <c r="AN49" s="322">
        <v>0</v>
      </c>
      <c r="AO49" s="322">
        <v>0</v>
      </c>
      <c r="AP49" s="322">
        <v>0</v>
      </c>
      <c r="AQ49" s="323">
        <v>0</v>
      </c>
      <c r="AR49" s="320"/>
      <c r="AS49" s="320"/>
      <c r="AT49" s="320"/>
      <c r="AU49" s="320"/>
      <c r="AV49" s="321"/>
      <c r="AW49" s="320">
        <v>30</v>
      </c>
      <c r="AX49" s="320">
        <v>30</v>
      </c>
      <c r="AY49" s="320">
        <v>30</v>
      </c>
      <c r="AZ49" s="320">
        <v>30</v>
      </c>
      <c r="BA49" s="321">
        <v>30</v>
      </c>
      <c r="BB49" s="324">
        <v>266000</v>
      </c>
      <c r="BC49" s="324">
        <v>266000</v>
      </c>
      <c r="BD49" s="324">
        <v>266000</v>
      </c>
      <c r="BE49" s="324">
        <v>266000</v>
      </c>
      <c r="BF49" s="325">
        <v>266000</v>
      </c>
      <c r="BG49" s="320">
        <v>0</v>
      </c>
      <c r="BH49" s="320">
        <v>0</v>
      </c>
      <c r="BI49" s="320">
        <v>0</v>
      </c>
      <c r="BJ49" s="320">
        <v>0</v>
      </c>
      <c r="BK49" s="321">
        <v>0</v>
      </c>
      <c r="BL49" s="320">
        <v>4000</v>
      </c>
      <c r="BM49" s="320">
        <v>4000</v>
      </c>
      <c r="BN49" s="320">
        <v>4000</v>
      </c>
      <c r="BO49" s="320">
        <v>4000</v>
      </c>
      <c r="BP49" s="321">
        <v>4000</v>
      </c>
      <c r="BQ49" s="319">
        <v>0</v>
      </c>
      <c r="BR49" s="320">
        <v>0</v>
      </c>
      <c r="BS49" s="320">
        <v>0</v>
      </c>
      <c r="BT49" s="320">
        <v>0</v>
      </c>
      <c r="BU49" s="321">
        <v>0</v>
      </c>
      <c r="BV49" s="327" t="s">
        <v>454</v>
      </c>
      <c r="BW49" s="324">
        <v>665</v>
      </c>
      <c r="BX49" s="324">
        <v>665</v>
      </c>
      <c r="BY49" s="324">
        <v>665</v>
      </c>
      <c r="BZ49" s="324">
        <v>665</v>
      </c>
      <c r="CA49" s="325">
        <v>665</v>
      </c>
      <c r="CB49" s="324">
        <v>0</v>
      </c>
      <c r="CC49" s="324">
        <v>0</v>
      </c>
      <c r="CD49" s="324">
        <v>0</v>
      </c>
      <c r="CE49" s="324">
        <v>0</v>
      </c>
      <c r="CF49" s="325">
        <v>0</v>
      </c>
      <c r="CG49" s="326">
        <v>10</v>
      </c>
      <c r="CH49" s="324">
        <v>10</v>
      </c>
      <c r="CI49" s="324">
        <v>10</v>
      </c>
      <c r="CJ49" s="324">
        <v>10</v>
      </c>
      <c r="CK49" s="325">
        <v>10</v>
      </c>
    </row>
    <row r="50" spans="1:89" s="315" customFormat="1" x14ac:dyDescent="0.2">
      <c r="A50" s="316" t="s">
        <v>457</v>
      </c>
      <c r="B50" s="317" t="s">
        <v>502</v>
      </c>
      <c r="C50" s="318" t="s">
        <v>457</v>
      </c>
      <c r="D50" s="319">
        <v>0</v>
      </c>
      <c r="E50" s="320">
        <v>0</v>
      </c>
      <c r="F50" s="320">
        <v>0</v>
      </c>
      <c r="G50" s="320">
        <v>0</v>
      </c>
      <c r="H50" s="321">
        <v>0</v>
      </c>
      <c r="I50" s="320"/>
      <c r="J50" s="320"/>
      <c r="K50" s="320"/>
      <c r="L50" s="320"/>
      <c r="M50" s="321"/>
      <c r="N50" s="320">
        <v>0</v>
      </c>
      <c r="O50" s="320">
        <v>0</v>
      </c>
      <c r="P50" s="320">
        <v>0</v>
      </c>
      <c r="Q50" s="320">
        <v>0</v>
      </c>
      <c r="R50" s="321">
        <v>0</v>
      </c>
      <c r="S50" s="320"/>
      <c r="T50" s="320"/>
      <c r="U50" s="320"/>
      <c r="V50" s="320"/>
      <c r="W50" s="321"/>
      <c r="X50" s="320">
        <v>0</v>
      </c>
      <c r="Y50" s="320">
        <v>0</v>
      </c>
      <c r="Z50" s="320">
        <v>0</v>
      </c>
      <c r="AA50" s="320">
        <v>0</v>
      </c>
      <c r="AB50" s="321">
        <v>0</v>
      </c>
      <c r="AC50" s="322">
        <v>0</v>
      </c>
      <c r="AD50" s="322">
        <v>0</v>
      </c>
      <c r="AE50" s="322">
        <v>0</v>
      </c>
      <c r="AF50" s="322">
        <v>0</v>
      </c>
      <c r="AG50" s="323">
        <v>0</v>
      </c>
      <c r="AH50" s="322">
        <v>0</v>
      </c>
      <c r="AI50" s="322">
        <v>0</v>
      </c>
      <c r="AJ50" s="322">
        <v>0</v>
      </c>
      <c r="AK50" s="322">
        <v>0</v>
      </c>
      <c r="AL50" s="323">
        <v>0</v>
      </c>
      <c r="AM50" s="322">
        <v>0</v>
      </c>
      <c r="AN50" s="322">
        <v>0</v>
      </c>
      <c r="AO50" s="322">
        <v>0</v>
      </c>
      <c r="AP50" s="322">
        <v>0</v>
      </c>
      <c r="AQ50" s="323">
        <v>0</v>
      </c>
      <c r="AR50" s="320"/>
      <c r="AS50" s="320"/>
      <c r="AT50" s="320"/>
      <c r="AU50" s="320"/>
      <c r="AV50" s="321"/>
      <c r="AW50" s="320">
        <v>0</v>
      </c>
      <c r="AX50" s="320">
        <v>0</v>
      </c>
      <c r="AY50" s="320">
        <v>0</v>
      </c>
      <c r="AZ50" s="320">
        <v>0</v>
      </c>
      <c r="BA50" s="321">
        <v>0</v>
      </c>
      <c r="BB50" s="324">
        <v>0</v>
      </c>
      <c r="BC50" s="324">
        <v>0</v>
      </c>
      <c r="BD50" s="324">
        <v>0</v>
      </c>
      <c r="BE50" s="324">
        <v>0</v>
      </c>
      <c r="BF50" s="325">
        <v>0</v>
      </c>
      <c r="BG50" s="324">
        <v>0</v>
      </c>
      <c r="BH50" s="324">
        <v>0</v>
      </c>
      <c r="BI50" s="324">
        <v>0</v>
      </c>
      <c r="BJ50" s="324">
        <v>0</v>
      </c>
      <c r="BK50" s="325">
        <v>0</v>
      </c>
      <c r="BL50" s="324">
        <v>0</v>
      </c>
      <c r="BM50" s="324">
        <v>0</v>
      </c>
      <c r="BN50" s="324">
        <v>0</v>
      </c>
      <c r="BO50" s="324">
        <v>0</v>
      </c>
      <c r="BP50" s="325">
        <v>0</v>
      </c>
      <c r="BQ50" s="326">
        <v>0</v>
      </c>
      <c r="BR50" s="324">
        <v>0</v>
      </c>
      <c r="BS50" s="324">
        <v>0</v>
      </c>
      <c r="BT50" s="324">
        <v>0</v>
      </c>
      <c r="BU50" s="325">
        <v>0</v>
      </c>
      <c r="BV50" s="327" t="s">
        <v>404</v>
      </c>
      <c r="BW50" s="324" t="s">
        <v>499</v>
      </c>
      <c r="BX50" s="324" t="s">
        <v>499</v>
      </c>
      <c r="BY50" s="324" t="s">
        <v>499</v>
      </c>
      <c r="BZ50" s="324" t="s">
        <v>499</v>
      </c>
      <c r="CA50" s="325" t="s">
        <v>499</v>
      </c>
      <c r="CB50" s="324" t="s">
        <v>499</v>
      </c>
      <c r="CC50" s="324" t="s">
        <v>499</v>
      </c>
      <c r="CD50" s="324" t="s">
        <v>499</v>
      </c>
      <c r="CE50" s="324" t="s">
        <v>499</v>
      </c>
      <c r="CF50" s="325" t="s">
        <v>499</v>
      </c>
      <c r="CG50" s="326" t="s">
        <v>499</v>
      </c>
      <c r="CH50" s="324" t="s">
        <v>499</v>
      </c>
      <c r="CI50" s="324" t="s">
        <v>499</v>
      </c>
      <c r="CJ50" s="324" t="s">
        <v>499</v>
      </c>
      <c r="CK50" s="325" t="s">
        <v>499</v>
      </c>
    </row>
    <row r="51" spans="1:89" s="315" customFormat="1" x14ac:dyDescent="0.2">
      <c r="A51" s="316"/>
      <c r="B51" s="317"/>
      <c r="C51" s="318" t="s">
        <v>458</v>
      </c>
      <c r="D51" s="319"/>
      <c r="E51" s="320"/>
      <c r="F51" s="320"/>
      <c r="G51" s="320"/>
      <c r="H51" s="321"/>
      <c r="I51" s="320"/>
      <c r="J51" s="320"/>
      <c r="K51" s="320"/>
      <c r="L51" s="320"/>
      <c r="M51" s="321"/>
      <c r="N51" s="320"/>
      <c r="O51" s="320"/>
      <c r="P51" s="320"/>
      <c r="Q51" s="320"/>
      <c r="R51" s="321"/>
      <c r="S51" s="320"/>
      <c r="T51" s="320"/>
      <c r="U51" s="320"/>
      <c r="V51" s="320"/>
      <c r="W51" s="321"/>
      <c r="X51" s="320"/>
      <c r="Y51" s="320"/>
      <c r="Z51" s="320"/>
      <c r="AA51" s="320"/>
      <c r="AB51" s="321"/>
      <c r="AC51" s="322">
        <v>0</v>
      </c>
      <c r="AD51" s="322">
        <v>0</v>
      </c>
      <c r="AE51" s="322">
        <v>0</v>
      </c>
      <c r="AF51" s="322">
        <v>0</v>
      </c>
      <c r="AG51" s="323">
        <v>0</v>
      </c>
      <c r="AH51" s="322">
        <v>0</v>
      </c>
      <c r="AI51" s="322">
        <v>0</v>
      </c>
      <c r="AJ51" s="322">
        <v>0</v>
      </c>
      <c r="AK51" s="322">
        <v>0</v>
      </c>
      <c r="AL51" s="323">
        <v>0</v>
      </c>
      <c r="AM51" s="322">
        <v>0</v>
      </c>
      <c r="AN51" s="322">
        <v>0</v>
      </c>
      <c r="AO51" s="322">
        <v>0</v>
      </c>
      <c r="AP51" s="322">
        <v>0</v>
      </c>
      <c r="AQ51" s="323">
        <v>0</v>
      </c>
      <c r="AR51" s="320"/>
      <c r="AS51" s="320"/>
      <c r="AT51" s="320"/>
      <c r="AU51" s="320"/>
      <c r="AV51" s="321"/>
      <c r="AW51" s="320"/>
      <c r="AX51" s="320"/>
      <c r="AY51" s="320"/>
      <c r="AZ51" s="320"/>
      <c r="BA51" s="321"/>
      <c r="BB51" s="324">
        <v>0</v>
      </c>
      <c r="BC51" s="324">
        <v>0</v>
      </c>
      <c r="BD51" s="324">
        <v>0</v>
      </c>
      <c r="BE51" s="324">
        <v>0</v>
      </c>
      <c r="BF51" s="325">
        <v>0</v>
      </c>
      <c r="BG51" s="324"/>
      <c r="BH51" s="324"/>
      <c r="BI51" s="324"/>
      <c r="BJ51" s="324"/>
      <c r="BK51" s="325"/>
      <c r="BL51" s="324"/>
      <c r="BM51" s="324"/>
      <c r="BN51" s="324"/>
      <c r="BO51" s="324"/>
      <c r="BP51" s="325"/>
      <c r="BQ51" s="326"/>
      <c r="BR51" s="324"/>
      <c r="BS51" s="324"/>
      <c r="BT51" s="324"/>
      <c r="BU51" s="325"/>
      <c r="BV51" s="327"/>
      <c r="BW51" s="324"/>
      <c r="BX51" s="324"/>
      <c r="BY51" s="324"/>
      <c r="BZ51" s="324"/>
      <c r="CA51" s="325"/>
      <c r="CB51" s="324"/>
      <c r="CC51" s="324"/>
      <c r="CD51" s="324"/>
      <c r="CE51" s="324"/>
      <c r="CF51" s="325"/>
      <c r="CG51" s="326"/>
      <c r="CH51" s="324"/>
      <c r="CI51" s="324"/>
      <c r="CJ51" s="324"/>
      <c r="CK51" s="325"/>
    </row>
    <row r="52" spans="1:89" s="315" customFormat="1" x14ac:dyDescent="0.2">
      <c r="A52" s="358" t="s">
        <v>459</v>
      </c>
      <c r="B52" s="359" t="s">
        <v>502</v>
      </c>
      <c r="C52" s="360"/>
      <c r="D52" s="361">
        <v>0</v>
      </c>
      <c r="E52" s="362">
        <v>0</v>
      </c>
      <c r="F52" s="362">
        <v>0</v>
      </c>
      <c r="G52" s="362">
        <v>0</v>
      </c>
      <c r="H52" s="363">
        <v>0</v>
      </c>
      <c r="I52" s="362"/>
      <c r="J52" s="362"/>
      <c r="K52" s="362"/>
      <c r="L52" s="362"/>
      <c r="M52" s="363"/>
      <c r="N52" s="362">
        <v>0</v>
      </c>
      <c r="O52" s="362">
        <v>0</v>
      </c>
      <c r="P52" s="362">
        <v>0</v>
      </c>
      <c r="Q52" s="362">
        <v>0</v>
      </c>
      <c r="R52" s="363">
        <v>0</v>
      </c>
      <c r="S52" s="362"/>
      <c r="T52" s="362"/>
      <c r="U52" s="362"/>
      <c r="V52" s="362"/>
      <c r="W52" s="363"/>
      <c r="X52" s="362">
        <v>0</v>
      </c>
      <c r="Y52" s="362">
        <v>0</v>
      </c>
      <c r="Z52" s="362">
        <v>0</v>
      </c>
      <c r="AA52" s="362">
        <v>0</v>
      </c>
      <c r="AB52" s="363">
        <v>0</v>
      </c>
      <c r="AC52" s="364">
        <v>0</v>
      </c>
      <c r="AD52" s="364">
        <v>0</v>
      </c>
      <c r="AE52" s="364">
        <v>0</v>
      </c>
      <c r="AF52" s="364">
        <v>0</v>
      </c>
      <c r="AG52" s="365">
        <v>0</v>
      </c>
      <c r="AH52" s="364">
        <v>0</v>
      </c>
      <c r="AI52" s="364">
        <v>0</v>
      </c>
      <c r="AJ52" s="364">
        <v>0</v>
      </c>
      <c r="AK52" s="364">
        <v>0</v>
      </c>
      <c r="AL52" s="365">
        <v>0</v>
      </c>
      <c r="AM52" s="364">
        <v>0</v>
      </c>
      <c r="AN52" s="364">
        <v>0</v>
      </c>
      <c r="AO52" s="364">
        <v>0</v>
      </c>
      <c r="AP52" s="364">
        <v>0</v>
      </c>
      <c r="AQ52" s="365">
        <v>0</v>
      </c>
      <c r="AR52" s="362"/>
      <c r="AS52" s="362"/>
      <c r="AT52" s="362"/>
      <c r="AU52" s="362"/>
      <c r="AV52" s="363"/>
      <c r="AW52" s="362">
        <v>0</v>
      </c>
      <c r="AX52" s="362">
        <v>0</v>
      </c>
      <c r="AY52" s="362">
        <v>0</v>
      </c>
      <c r="AZ52" s="362">
        <v>0</v>
      </c>
      <c r="BA52" s="363">
        <v>0</v>
      </c>
      <c r="BB52" s="366">
        <v>0</v>
      </c>
      <c r="BC52" s="367">
        <v>0</v>
      </c>
      <c r="BD52" s="367">
        <v>0</v>
      </c>
      <c r="BE52" s="367">
        <v>0</v>
      </c>
      <c r="BF52" s="368">
        <v>0</v>
      </c>
      <c r="BG52" s="367">
        <v>0</v>
      </c>
      <c r="BH52" s="367">
        <v>0</v>
      </c>
      <c r="BI52" s="367">
        <v>0</v>
      </c>
      <c r="BJ52" s="367">
        <v>0</v>
      </c>
      <c r="BK52" s="368">
        <v>0</v>
      </c>
      <c r="BL52" s="367">
        <v>0</v>
      </c>
      <c r="BM52" s="367">
        <v>0</v>
      </c>
      <c r="BN52" s="367">
        <v>0</v>
      </c>
      <c r="BO52" s="367">
        <v>0</v>
      </c>
      <c r="BP52" s="368">
        <v>0</v>
      </c>
      <c r="BQ52" s="366">
        <v>0</v>
      </c>
      <c r="BR52" s="367">
        <v>0</v>
      </c>
      <c r="BS52" s="367">
        <v>0</v>
      </c>
      <c r="BT52" s="367">
        <v>0</v>
      </c>
      <c r="BU52" s="368">
        <v>0</v>
      </c>
      <c r="BV52" s="369" t="s">
        <v>404</v>
      </c>
      <c r="BW52" s="367" t="s">
        <v>499</v>
      </c>
      <c r="BX52" s="367" t="s">
        <v>499</v>
      </c>
      <c r="BY52" s="367" t="s">
        <v>499</v>
      </c>
      <c r="BZ52" s="367" t="s">
        <v>499</v>
      </c>
      <c r="CA52" s="368" t="s">
        <v>499</v>
      </c>
      <c r="CB52" s="367" t="s">
        <v>499</v>
      </c>
      <c r="CC52" s="367" t="s">
        <v>499</v>
      </c>
      <c r="CD52" s="367" t="s">
        <v>499</v>
      </c>
      <c r="CE52" s="367" t="s">
        <v>499</v>
      </c>
      <c r="CF52" s="368" t="s">
        <v>499</v>
      </c>
      <c r="CG52" s="367" t="s">
        <v>499</v>
      </c>
      <c r="CH52" s="367" t="s">
        <v>499</v>
      </c>
      <c r="CI52" s="367" t="s">
        <v>499</v>
      </c>
      <c r="CJ52" s="367" t="s">
        <v>499</v>
      </c>
      <c r="CK52" s="368" t="s">
        <v>499</v>
      </c>
    </row>
    <row r="53" spans="1:89" s="315" customFormat="1" x14ac:dyDescent="0.2">
      <c r="A53" s="358" t="s">
        <v>460</v>
      </c>
      <c r="B53" s="359" t="s">
        <v>502</v>
      </c>
      <c r="C53" s="360"/>
      <c r="D53" s="361">
        <v>0</v>
      </c>
      <c r="E53" s="362">
        <v>0</v>
      </c>
      <c r="F53" s="362">
        <v>0</v>
      </c>
      <c r="G53" s="362">
        <v>0</v>
      </c>
      <c r="H53" s="363">
        <v>0</v>
      </c>
      <c r="I53" s="362"/>
      <c r="J53" s="362"/>
      <c r="K53" s="362"/>
      <c r="L53" s="362"/>
      <c r="M53" s="363"/>
      <c r="N53" s="362">
        <v>0</v>
      </c>
      <c r="O53" s="362">
        <v>0</v>
      </c>
      <c r="P53" s="362">
        <v>0</v>
      </c>
      <c r="Q53" s="362">
        <v>0</v>
      </c>
      <c r="R53" s="363">
        <v>0</v>
      </c>
      <c r="S53" s="362"/>
      <c r="T53" s="362"/>
      <c r="U53" s="362"/>
      <c r="V53" s="362"/>
      <c r="W53" s="363"/>
      <c r="X53" s="362">
        <v>0</v>
      </c>
      <c r="Y53" s="362">
        <v>0</v>
      </c>
      <c r="Z53" s="362">
        <v>0</v>
      </c>
      <c r="AA53" s="362">
        <v>0</v>
      </c>
      <c r="AB53" s="363">
        <v>0</v>
      </c>
      <c r="AC53" s="364">
        <v>0</v>
      </c>
      <c r="AD53" s="364">
        <v>0</v>
      </c>
      <c r="AE53" s="364">
        <v>0</v>
      </c>
      <c r="AF53" s="364">
        <v>0</v>
      </c>
      <c r="AG53" s="365">
        <v>0</v>
      </c>
      <c r="AH53" s="364">
        <v>0</v>
      </c>
      <c r="AI53" s="364">
        <v>0</v>
      </c>
      <c r="AJ53" s="364">
        <v>0</v>
      </c>
      <c r="AK53" s="364">
        <v>0</v>
      </c>
      <c r="AL53" s="365">
        <v>0</v>
      </c>
      <c r="AM53" s="364">
        <v>0</v>
      </c>
      <c r="AN53" s="364">
        <v>0</v>
      </c>
      <c r="AO53" s="364">
        <v>0</v>
      </c>
      <c r="AP53" s="364">
        <v>0</v>
      </c>
      <c r="AQ53" s="365">
        <v>0</v>
      </c>
      <c r="AR53" s="362"/>
      <c r="AS53" s="362"/>
      <c r="AT53" s="362"/>
      <c r="AU53" s="362"/>
      <c r="AV53" s="363"/>
      <c r="AW53" s="362">
        <v>0</v>
      </c>
      <c r="AX53" s="362">
        <v>0</v>
      </c>
      <c r="AY53" s="362">
        <v>0</v>
      </c>
      <c r="AZ53" s="362">
        <v>0</v>
      </c>
      <c r="BA53" s="363">
        <v>0</v>
      </c>
      <c r="BB53" s="366">
        <v>0</v>
      </c>
      <c r="BC53" s="367">
        <v>0</v>
      </c>
      <c r="BD53" s="367">
        <v>0</v>
      </c>
      <c r="BE53" s="367">
        <v>0</v>
      </c>
      <c r="BF53" s="368">
        <v>0</v>
      </c>
      <c r="BG53" s="367">
        <v>0</v>
      </c>
      <c r="BH53" s="367">
        <v>0</v>
      </c>
      <c r="BI53" s="367">
        <v>0</v>
      </c>
      <c r="BJ53" s="367">
        <v>0</v>
      </c>
      <c r="BK53" s="368">
        <v>0</v>
      </c>
      <c r="BL53" s="367">
        <v>0</v>
      </c>
      <c r="BM53" s="367">
        <v>0</v>
      </c>
      <c r="BN53" s="367">
        <v>0</v>
      </c>
      <c r="BO53" s="367">
        <v>0</v>
      </c>
      <c r="BP53" s="368">
        <v>0</v>
      </c>
      <c r="BQ53" s="366">
        <v>0</v>
      </c>
      <c r="BR53" s="367">
        <v>0</v>
      </c>
      <c r="BS53" s="367">
        <v>0</v>
      </c>
      <c r="BT53" s="367">
        <v>0</v>
      </c>
      <c r="BU53" s="368">
        <v>0</v>
      </c>
      <c r="BV53" s="369" t="s">
        <v>404</v>
      </c>
      <c r="BW53" s="367" t="s">
        <v>499</v>
      </c>
      <c r="BX53" s="367" t="s">
        <v>499</v>
      </c>
      <c r="BY53" s="367" t="s">
        <v>499</v>
      </c>
      <c r="BZ53" s="367" t="s">
        <v>499</v>
      </c>
      <c r="CA53" s="368" t="s">
        <v>499</v>
      </c>
      <c r="CB53" s="367" t="s">
        <v>499</v>
      </c>
      <c r="CC53" s="367" t="s">
        <v>499</v>
      </c>
      <c r="CD53" s="367" t="s">
        <v>499</v>
      </c>
      <c r="CE53" s="367" t="s">
        <v>499</v>
      </c>
      <c r="CF53" s="368" t="s">
        <v>499</v>
      </c>
      <c r="CG53" s="367" t="s">
        <v>499</v>
      </c>
      <c r="CH53" s="367" t="s">
        <v>499</v>
      </c>
      <c r="CI53" s="367" t="s">
        <v>499</v>
      </c>
      <c r="CJ53" s="367" t="s">
        <v>499</v>
      </c>
      <c r="CK53" s="368" t="s">
        <v>499</v>
      </c>
    </row>
    <row r="54" spans="1:89" s="315" customFormat="1" x14ac:dyDescent="0.2">
      <c r="A54" s="358" t="s">
        <v>461</v>
      </c>
      <c r="B54" s="359" t="s">
        <v>502</v>
      </c>
      <c r="C54" s="360"/>
      <c r="D54" s="361">
        <v>0</v>
      </c>
      <c r="E54" s="362">
        <v>0</v>
      </c>
      <c r="F54" s="362">
        <v>0</v>
      </c>
      <c r="G54" s="362">
        <v>0</v>
      </c>
      <c r="H54" s="363">
        <v>0</v>
      </c>
      <c r="I54" s="362"/>
      <c r="J54" s="362"/>
      <c r="K54" s="362"/>
      <c r="L54" s="362"/>
      <c r="M54" s="363"/>
      <c r="N54" s="362">
        <v>0</v>
      </c>
      <c r="O54" s="362">
        <v>0</v>
      </c>
      <c r="P54" s="362">
        <v>0</v>
      </c>
      <c r="Q54" s="362">
        <v>0</v>
      </c>
      <c r="R54" s="363">
        <v>0</v>
      </c>
      <c r="S54" s="362"/>
      <c r="T54" s="362"/>
      <c r="U54" s="362"/>
      <c r="V54" s="362"/>
      <c r="W54" s="363"/>
      <c r="X54" s="362">
        <v>0</v>
      </c>
      <c r="Y54" s="362">
        <v>0</v>
      </c>
      <c r="Z54" s="362">
        <v>0</v>
      </c>
      <c r="AA54" s="362">
        <v>0</v>
      </c>
      <c r="AB54" s="363">
        <v>0</v>
      </c>
      <c r="AC54" s="364">
        <v>0</v>
      </c>
      <c r="AD54" s="364">
        <v>0</v>
      </c>
      <c r="AE54" s="364">
        <v>0</v>
      </c>
      <c r="AF54" s="364">
        <v>0</v>
      </c>
      <c r="AG54" s="365">
        <v>0</v>
      </c>
      <c r="AH54" s="364">
        <v>0</v>
      </c>
      <c r="AI54" s="364">
        <v>0</v>
      </c>
      <c r="AJ54" s="364">
        <v>0</v>
      </c>
      <c r="AK54" s="364">
        <v>0</v>
      </c>
      <c r="AL54" s="365">
        <v>0</v>
      </c>
      <c r="AM54" s="364">
        <v>0</v>
      </c>
      <c r="AN54" s="364">
        <v>0</v>
      </c>
      <c r="AO54" s="364">
        <v>0</v>
      </c>
      <c r="AP54" s="364">
        <v>0</v>
      </c>
      <c r="AQ54" s="365">
        <v>0</v>
      </c>
      <c r="AR54" s="362"/>
      <c r="AS54" s="362"/>
      <c r="AT54" s="362"/>
      <c r="AU54" s="362"/>
      <c r="AV54" s="363"/>
      <c r="AW54" s="362">
        <v>0</v>
      </c>
      <c r="AX54" s="362">
        <v>0</v>
      </c>
      <c r="AY54" s="362">
        <v>0</v>
      </c>
      <c r="AZ54" s="362">
        <v>0</v>
      </c>
      <c r="BA54" s="363">
        <v>0</v>
      </c>
      <c r="BB54" s="366">
        <v>0</v>
      </c>
      <c r="BC54" s="367">
        <v>0</v>
      </c>
      <c r="BD54" s="367">
        <v>0</v>
      </c>
      <c r="BE54" s="367">
        <v>0</v>
      </c>
      <c r="BF54" s="368">
        <v>0</v>
      </c>
      <c r="BG54" s="367">
        <v>0</v>
      </c>
      <c r="BH54" s="367">
        <v>0</v>
      </c>
      <c r="BI54" s="367">
        <v>0</v>
      </c>
      <c r="BJ54" s="367">
        <v>0</v>
      </c>
      <c r="BK54" s="368">
        <v>0</v>
      </c>
      <c r="BL54" s="367">
        <v>0</v>
      </c>
      <c r="BM54" s="367">
        <v>0</v>
      </c>
      <c r="BN54" s="367">
        <v>0</v>
      </c>
      <c r="BO54" s="367">
        <v>0</v>
      </c>
      <c r="BP54" s="368">
        <v>0</v>
      </c>
      <c r="BQ54" s="366">
        <v>0</v>
      </c>
      <c r="BR54" s="367">
        <v>0</v>
      </c>
      <c r="BS54" s="367">
        <v>0</v>
      </c>
      <c r="BT54" s="367">
        <v>0</v>
      </c>
      <c r="BU54" s="368">
        <v>0</v>
      </c>
      <c r="BV54" s="369" t="s">
        <v>404</v>
      </c>
      <c r="BW54" s="367" t="s">
        <v>499</v>
      </c>
      <c r="BX54" s="367" t="s">
        <v>499</v>
      </c>
      <c r="BY54" s="367" t="s">
        <v>499</v>
      </c>
      <c r="BZ54" s="367" t="s">
        <v>499</v>
      </c>
      <c r="CA54" s="368" t="s">
        <v>499</v>
      </c>
      <c r="CB54" s="367" t="s">
        <v>499</v>
      </c>
      <c r="CC54" s="367" t="s">
        <v>499</v>
      </c>
      <c r="CD54" s="367" t="s">
        <v>499</v>
      </c>
      <c r="CE54" s="367" t="s">
        <v>499</v>
      </c>
      <c r="CF54" s="368" t="s">
        <v>499</v>
      </c>
      <c r="CG54" s="367" t="s">
        <v>499</v>
      </c>
      <c r="CH54" s="367" t="s">
        <v>499</v>
      </c>
      <c r="CI54" s="367" t="s">
        <v>499</v>
      </c>
      <c r="CJ54" s="367" t="s">
        <v>499</v>
      </c>
      <c r="CK54" s="368" t="s">
        <v>499</v>
      </c>
    </row>
    <row r="55" spans="1:89" s="315" customFormat="1" x14ac:dyDescent="0.2">
      <c r="A55" s="358" t="s">
        <v>462</v>
      </c>
      <c r="B55" s="359" t="s">
        <v>502</v>
      </c>
      <c r="C55" s="360"/>
      <c r="D55" s="361">
        <v>0</v>
      </c>
      <c r="E55" s="362">
        <v>0</v>
      </c>
      <c r="F55" s="362">
        <v>0</v>
      </c>
      <c r="G55" s="362">
        <v>0</v>
      </c>
      <c r="H55" s="363">
        <v>0</v>
      </c>
      <c r="I55" s="362"/>
      <c r="J55" s="362"/>
      <c r="K55" s="362"/>
      <c r="L55" s="362"/>
      <c r="M55" s="363"/>
      <c r="N55" s="362">
        <v>0</v>
      </c>
      <c r="O55" s="362">
        <v>0</v>
      </c>
      <c r="P55" s="362">
        <v>0</v>
      </c>
      <c r="Q55" s="362">
        <v>0</v>
      </c>
      <c r="R55" s="363">
        <v>0</v>
      </c>
      <c r="S55" s="362"/>
      <c r="T55" s="362"/>
      <c r="U55" s="362"/>
      <c r="V55" s="362"/>
      <c r="W55" s="363"/>
      <c r="X55" s="362">
        <v>0</v>
      </c>
      <c r="Y55" s="362">
        <v>0</v>
      </c>
      <c r="Z55" s="362">
        <v>0</v>
      </c>
      <c r="AA55" s="362">
        <v>0</v>
      </c>
      <c r="AB55" s="363">
        <v>0</v>
      </c>
      <c r="AC55" s="364">
        <v>0</v>
      </c>
      <c r="AD55" s="364">
        <v>0</v>
      </c>
      <c r="AE55" s="364">
        <v>0</v>
      </c>
      <c r="AF55" s="364">
        <v>0</v>
      </c>
      <c r="AG55" s="365">
        <v>0</v>
      </c>
      <c r="AH55" s="364">
        <v>0</v>
      </c>
      <c r="AI55" s="364">
        <v>0</v>
      </c>
      <c r="AJ55" s="364">
        <v>0</v>
      </c>
      <c r="AK55" s="364">
        <v>0</v>
      </c>
      <c r="AL55" s="365">
        <v>0</v>
      </c>
      <c r="AM55" s="364">
        <v>0</v>
      </c>
      <c r="AN55" s="364">
        <v>0</v>
      </c>
      <c r="AO55" s="364">
        <v>0</v>
      </c>
      <c r="AP55" s="364">
        <v>0</v>
      </c>
      <c r="AQ55" s="365">
        <v>0</v>
      </c>
      <c r="AR55" s="362"/>
      <c r="AS55" s="362"/>
      <c r="AT55" s="362"/>
      <c r="AU55" s="362"/>
      <c r="AV55" s="363"/>
      <c r="AW55" s="362">
        <v>0</v>
      </c>
      <c r="AX55" s="362">
        <v>0</v>
      </c>
      <c r="AY55" s="362">
        <v>0</v>
      </c>
      <c r="AZ55" s="362">
        <v>0</v>
      </c>
      <c r="BA55" s="363">
        <v>0</v>
      </c>
      <c r="BB55" s="366">
        <v>0</v>
      </c>
      <c r="BC55" s="367">
        <v>0</v>
      </c>
      <c r="BD55" s="367">
        <v>0</v>
      </c>
      <c r="BE55" s="367">
        <v>0</v>
      </c>
      <c r="BF55" s="368">
        <v>0</v>
      </c>
      <c r="BG55" s="367">
        <v>0</v>
      </c>
      <c r="BH55" s="367">
        <v>0</v>
      </c>
      <c r="BI55" s="367">
        <v>0</v>
      </c>
      <c r="BJ55" s="367">
        <v>0</v>
      </c>
      <c r="BK55" s="368">
        <v>0</v>
      </c>
      <c r="BL55" s="367">
        <v>0</v>
      </c>
      <c r="BM55" s="367">
        <v>0</v>
      </c>
      <c r="BN55" s="367">
        <v>0</v>
      </c>
      <c r="BO55" s="367">
        <v>0</v>
      </c>
      <c r="BP55" s="368">
        <v>0</v>
      </c>
      <c r="BQ55" s="366">
        <v>0</v>
      </c>
      <c r="BR55" s="367">
        <v>0</v>
      </c>
      <c r="BS55" s="367">
        <v>0</v>
      </c>
      <c r="BT55" s="367">
        <v>0</v>
      </c>
      <c r="BU55" s="368">
        <v>0</v>
      </c>
      <c r="BV55" s="369" t="s">
        <v>404</v>
      </c>
      <c r="BW55" s="367" t="s">
        <v>499</v>
      </c>
      <c r="BX55" s="367" t="s">
        <v>499</v>
      </c>
      <c r="BY55" s="367" t="s">
        <v>499</v>
      </c>
      <c r="BZ55" s="367" t="s">
        <v>499</v>
      </c>
      <c r="CA55" s="368" t="s">
        <v>499</v>
      </c>
      <c r="CB55" s="367" t="s">
        <v>499</v>
      </c>
      <c r="CC55" s="367" t="s">
        <v>499</v>
      </c>
      <c r="CD55" s="367" t="s">
        <v>499</v>
      </c>
      <c r="CE55" s="367" t="s">
        <v>499</v>
      </c>
      <c r="CF55" s="368" t="s">
        <v>499</v>
      </c>
      <c r="CG55" s="367" t="s">
        <v>499</v>
      </c>
      <c r="CH55" s="367" t="s">
        <v>499</v>
      </c>
      <c r="CI55" s="367" t="s">
        <v>499</v>
      </c>
      <c r="CJ55" s="367" t="s">
        <v>499</v>
      </c>
      <c r="CK55" s="368" t="s">
        <v>499</v>
      </c>
    </row>
    <row r="56" spans="1:89" s="315" customFormat="1" x14ac:dyDescent="0.2">
      <c r="A56" s="358" t="s">
        <v>463</v>
      </c>
      <c r="B56" s="359" t="s">
        <v>502</v>
      </c>
      <c r="C56" s="360"/>
      <c r="D56" s="361">
        <v>0</v>
      </c>
      <c r="E56" s="362">
        <v>0</v>
      </c>
      <c r="F56" s="362">
        <v>0</v>
      </c>
      <c r="G56" s="362">
        <v>0</v>
      </c>
      <c r="H56" s="363">
        <v>0</v>
      </c>
      <c r="I56" s="362"/>
      <c r="J56" s="362"/>
      <c r="K56" s="362"/>
      <c r="L56" s="362"/>
      <c r="M56" s="363"/>
      <c r="N56" s="362">
        <v>0</v>
      </c>
      <c r="O56" s="362">
        <v>0</v>
      </c>
      <c r="P56" s="362">
        <v>0</v>
      </c>
      <c r="Q56" s="362">
        <v>0</v>
      </c>
      <c r="R56" s="363">
        <v>0</v>
      </c>
      <c r="S56" s="362"/>
      <c r="T56" s="362"/>
      <c r="U56" s="362"/>
      <c r="V56" s="362"/>
      <c r="W56" s="363"/>
      <c r="X56" s="362">
        <v>0</v>
      </c>
      <c r="Y56" s="362">
        <v>0</v>
      </c>
      <c r="Z56" s="362">
        <v>0</v>
      </c>
      <c r="AA56" s="362">
        <v>0</v>
      </c>
      <c r="AB56" s="363">
        <v>0</v>
      </c>
      <c r="AC56" s="364">
        <v>0</v>
      </c>
      <c r="AD56" s="364">
        <v>0</v>
      </c>
      <c r="AE56" s="364">
        <v>0</v>
      </c>
      <c r="AF56" s="364">
        <v>0</v>
      </c>
      <c r="AG56" s="365">
        <v>0</v>
      </c>
      <c r="AH56" s="364">
        <v>0</v>
      </c>
      <c r="AI56" s="364">
        <v>0</v>
      </c>
      <c r="AJ56" s="364">
        <v>0</v>
      </c>
      <c r="AK56" s="364">
        <v>0</v>
      </c>
      <c r="AL56" s="365">
        <v>0</v>
      </c>
      <c r="AM56" s="364">
        <v>0</v>
      </c>
      <c r="AN56" s="364">
        <v>0</v>
      </c>
      <c r="AO56" s="364">
        <v>0</v>
      </c>
      <c r="AP56" s="364">
        <v>0</v>
      </c>
      <c r="AQ56" s="365">
        <v>0</v>
      </c>
      <c r="AR56" s="362"/>
      <c r="AS56" s="362"/>
      <c r="AT56" s="362"/>
      <c r="AU56" s="362"/>
      <c r="AV56" s="363"/>
      <c r="AW56" s="362">
        <v>0</v>
      </c>
      <c r="AX56" s="362">
        <v>0</v>
      </c>
      <c r="AY56" s="362">
        <v>0</v>
      </c>
      <c r="AZ56" s="362">
        <v>0</v>
      </c>
      <c r="BA56" s="363">
        <v>0</v>
      </c>
      <c r="BB56" s="366">
        <v>0</v>
      </c>
      <c r="BC56" s="367">
        <v>0</v>
      </c>
      <c r="BD56" s="367">
        <v>0</v>
      </c>
      <c r="BE56" s="367">
        <v>0</v>
      </c>
      <c r="BF56" s="368">
        <v>0</v>
      </c>
      <c r="BG56" s="367">
        <v>0</v>
      </c>
      <c r="BH56" s="367">
        <v>0</v>
      </c>
      <c r="BI56" s="367">
        <v>0</v>
      </c>
      <c r="BJ56" s="367">
        <v>0</v>
      </c>
      <c r="BK56" s="368">
        <v>0</v>
      </c>
      <c r="BL56" s="367">
        <v>0</v>
      </c>
      <c r="BM56" s="367">
        <v>0</v>
      </c>
      <c r="BN56" s="367">
        <v>0</v>
      </c>
      <c r="BO56" s="367">
        <v>0</v>
      </c>
      <c r="BP56" s="368">
        <v>0</v>
      </c>
      <c r="BQ56" s="366">
        <v>0</v>
      </c>
      <c r="BR56" s="367">
        <v>0</v>
      </c>
      <c r="BS56" s="367">
        <v>0</v>
      </c>
      <c r="BT56" s="367">
        <v>0</v>
      </c>
      <c r="BU56" s="368">
        <v>0</v>
      </c>
      <c r="BV56" s="369" t="s">
        <v>404</v>
      </c>
      <c r="BW56" s="367" t="s">
        <v>499</v>
      </c>
      <c r="BX56" s="367" t="s">
        <v>499</v>
      </c>
      <c r="BY56" s="367" t="s">
        <v>499</v>
      </c>
      <c r="BZ56" s="367" t="s">
        <v>499</v>
      </c>
      <c r="CA56" s="368" t="s">
        <v>499</v>
      </c>
      <c r="CB56" s="367" t="s">
        <v>499</v>
      </c>
      <c r="CC56" s="367" t="s">
        <v>499</v>
      </c>
      <c r="CD56" s="367" t="s">
        <v>499</v>
      </c>
      <c r="CE56" s="367" t="s">
        <v>499</v>
      </c>
      <c r="CF56" s="368" t="s">
        <v>499</v>
      </c>
      <c r="CG56" s="367" t="s">
        <v>499</v>
      </c>
      <c r="CH56" s="367" t="s">
        <v>499</v>
      </c>
      <c r="CI56" s="367" t="s">
        <v>499</v>
      </c>
      <c r="CJ56" s="367" t="s">
        <v>499</v>
      </c>
      <c r="CK56" s="368" t="s">
        <v>499</v>
      </c>
    </row>
    <row r="57" spans="1:89" s="315" customFormat="1" x14ac:dyDescent="0.2">
      <c r="A57" s="358" t="s">
        <v>464</v>
      </c>
      <c r="B57" s="359" t="s">
        <v>502</v>
      </c>
      <c r="C57" s="360"/>
      <c r="D57" s="361">
        <v>0</v>
      </c>
      <c r="E57" s="362">
        <v>0</v>
      </c>
      <c r="F57" s="362">
        <v>0</v>
      </c>
      <c r="G57" s="362">
        <v>0</v>
      </c>
      <c r="H57" s="363">
        <v>0</v>
      </c>
      <c r="I57" s="362"/>
      <c r="J57" s="362"/>
      <c r="K57" s="362"/>
      <c r="L57" s="362"/>
      <c r="M57" s="363"/>
      <c r="N57" s="362">
        <v>0</v>
      </c>
      <c r="O57" s="362">
        <v>0</v>
      </c>
      <c r="P57" s="362">
        <v>0</v>
      </c>
      <c r="Q57" s="362">
        <v>0</v>
      </c>
      <c r="R57" s="363">
        <v>0</v>
      </c>
      <c r="S57" s="362"/>
      <c r="T57" s="362"/>
      <c r="U57" s="362"/>
      <c r="V57" s="362"/>
      <c r="W57" s="363"/>
      <c r="X57" s="362">
        <v>0</v>
      </c>
      <c r="Y57" s="362">
        <v>0</v>
      </c>
      <c r="Z57" s="362">
        <v>0</v>
      </c>
      <c r="AA57" s="362">
        <v>0</v>
      </c>
      <c r="AB57" s="363">
        <v>0</v>
      </c>
      <c r="AC57" s="364">
        <v>0</v>
      </c>
      <c r="AD57" s="364">
        <v>0</v>
      </c>
      <c r="AE57" s="364">
        <v>0</v>
      </c>
      <c r="AF57" s="364">
        <v>0</v>
      </c>
      <c r="AG57" s="365">
        <v>0</v>
      </c>
      <c r="AH57" s="364">
        <v>0</v>
      </c>
      <c r="AI57" s="364">
        <v>0</v>
      </c>
      <c r="AJ57" s="364">
        <v>0</v>
      </c>
      <c r="AK57" s="364">
        <v>0</v>
      </c>
      <c r="AL57" s="365">
        <v>0</v>
      </c>
      <c r="AM57" s="364">
        <v>0</v>
      </c>
      <c r="AN57" s="364">
        <v>0</v>
      </c>
      <c r="AO57" s="364">
        <v>0</v>
      </c>
      <c r="AP57" s="364">
        <v>0</v>
      </c>
      <c r="AQ57" s="365">
        <v>0</v>
      </c>
      <c r="AR57" s="362"/>
      <c r="AS57" s="362"/>
      <c r="AT57" s="362"/>
      <c r="AU57" s="362"/>
      <c r="AV57" s="363"/>
      <c r="AW57" s="362">
        <v>0</v>
      </c>
      <c r="AX57" s="362">
        <v>0</v>
      </c>
      <c r="AY57" s="362">
        <v>0</v>
      </c>
      <c r="AZ57" s="362">
        <v>0</v>
      </c>
      <c r="BA57" s="363">
        <v>0</v>
      </c>
      <c r="BB57" s="366">
        <v>0</v>
      </c>
      <c r="BC57" s="367">
        <v>0</v>
      </c>
      <c r="BD57" s="367">
        <v>0</v>
      </c>
      <c r="BE57" s="367">
        <v>0</v>
      </c>
      <c r="BF57" s="368">
        <v>0</v>
      </c>
      <c r="BG57" s="367">
        <v>0</v>
      </c>
      <c r="BH57" s="367">
        <v>0</v>
      </c>
      <c r="BI57" s="367">
        <v>0</v>
      </c>
      <c r="BJ57" s="367">
        <v>0</v>
      </c>
      <c r="BK57" s="368">
        <v>0</v>
      </c>
      <c r="BL57" s="367">
        <v>0</v>
      </c>
      <c r="BM57" s="367">
        <v>0</v>
      </c>
      <c r="BN57" s="367">
        <v>0</v>
      </c>
      <c r="BO57" s="367">
        <v>0</v>
      </c>
      <c r="BP57" s="368">
        <v>0</v>
      </c>
      <c r="BQ57" s="366">
        <v>0</v>
      </c>
      <c r="BR57" s="367">
        <v>0</v>
      </c>
      <c r="BS57" s="367">
        <v>0</v>
      </c>
      <c r="BT57" s="367">
        <v>0</v>
      </c>
      <c r="BU57" s="368">
        <v>0</v>
      </c>
      <c r="BV57" s="369" t="s">
        <v>404</v>
      </c>
      <c r="BW57" s="367" t="s">
        <v>499</v>
      </c>
      <c r="BX57" s="367" t="s">
        <v>499</v>
      </c>
      <c r="BY57" s="367" t="s">
        <v>499</v>
      </c>
      <c r="BZ57" s="367" t="s">
        <v>499</v>
      </c>
      <c r="CA57" s="368" t="s">
        <v>499</v>
      </c>
      <c r="CB57" s="367" t="s">
        <v>499</v>
      </c>
      <c r="CC57" s="367" t="s">
        <v>499</v>
      </c>
      <c r="CD57" s="367" t="s">
        <v>499</v>
      </c>
      <c r="CE57" s="367" t="s">
        <v>499</v>
      </c>
      <c r="CF57" s="368" t="s">
        <v>499</v>
      </c>
      <c r="CG57" s="367" t="s">
        <v>499</v>
      </c>
      <c r="CH57" s="367" t="s">
        <v>499</v>
      </c>
      <c r="CI57" s="367" t="s">
        <v>499</v>
      </c>
      <c r="CJ57" s="367" t="s">
        <v>499</v>
      </c>
      <c r="CK57" s="368" t="s">
        <v>499</v>
      </c>
    </row>
    <row r="58" spans="1:89" s="315" customFormat="1" x14ac:dyDescent="0.2">
      <c r="A58" s="358" t="s">
        <v>465</v>
      </c>
      <c r="B58" s="359" t="s">
        <v>502</v>
      </c>
      <c r="C58" s="360"/>
      <c r="D58" s="361">
        <v>0</v>
      </c>
      <c r="E58" s="362">
        <v>0</v>
      </c>
      <c r="F58" s="362">
        <v>0</v>
      </c>
      <c r="G58" s="362">
        <v>0</v>
      </c>
      <c r="H58" s="363">
        <v>0</v>
      </c>
      <c r="I58" s="362"/>
      <c r="J58" s="362"/>
      <c r="K58" s="362"/>
      <c r="L58" s="362"/>
      <c r="M58" s="363"/>
      <c r="N58" s="362">
        <v>0</v>
      </c>
      <c r="O58" s="362">
        <v>0</v>
      </c>
      <c r="P58" s="362">
        <v>0</v>
      </c>
      <c r="Q58" s="362">
        <v>0</v>
      </c>
      <c r="R58" s="363">
        <v>0</v>
      </c>
      <c r="S58" s="362"/>
      <c r="T58" s="362"/>
      <c r="U58" s="362"/>
      <c r="V58" s="362"/>
      <c r="W58" s="363"/>
      <c r="X58" s="362">
        <v>0</v>
      </c>
      <c r="Y58" s="362">
        <v>0</v>
      </c>
      <c r="Z58" s="362">
        <v>0</v>
      </c>
      <c r="AA58" s="362">
        <v>0</v>
      </c>
      <c r="AB58" s="363">
        <v>0</v>
      </c>
      <c r="AC58" s="364">
        <v>0</v>
      </c>
      <c r="AD58" s="364">
        <v>0</v>
      </c>
      <c r="AE58" s="364">
        <v>0</v>
      </c>
      <c r="AF58" s="364">
        <v>0</v>
      </c>
      <c r="AG58" s="365">
        <v>0</v>
      </c>
      <c r="AH58" s="364">
        <v>0</v>
      </c>
      <c r="AI58" s="364">
        <v>0</v>
      </c>
      <c r="AJ58" s="364">
        <v>0</v>
      </c>
      <c r="AK58" s="364">
        <v>0</v>
      </c>
      <c r="AL58" s="365">
        <v>0</v>
      </c>
      <c r="AM58" s="364">
        <v>0</v>
      </c>
      <c r="AN58" s="364">
        <v>0</v>
      </c>
      <c r="AO58" s="364">
        <v>0</v>
      </c>
      <c r="AP58" s="364">
        <v>0</v>
      </c>
      <c r="AQ58" s="365">
        <v>0</v>
      </c>
      <c r="AR58" s="362"/>
      <c r="AS58" s="362"/>
      <c r="AT58" s="362"/>
      <c r="AU58" s="362"/>
      <c r="AV58" s="363"/>
      <c r="AW58" s="362">
        <v>0</v>
      </c>
      <c r="AX58" s="362">
        <v>0</v>
      </c>
      <c r="AY58" s="362">
        <v>0</v>
      </c>
      <c r="AZ58" s="362">
        <v>0</v>
      </c>
      <c r="BA58" s="363">
        <v>0</v>
      </c>
      <c r="BB58" s="366">
        <v>0</v>
      </c>
      <c r="BC58" s="367">
        <v>0</v>
      </c>
      <c r="BD58" s="367">
        <v>0</v>
      </c>
      <c r="BE58" s="367">
        <v>0</v>
      </c>
      <c r="BF58" s="368">
        <v>0</v>
      </c>
      <c r="BG58" s="367">
        <v>0</v>
      </c>
      <c r="BH58" s="367">
        <v>0</v>
      </c>
      <c r="BI58" s="367">
        <v>0</v>
      </c>
      <c r="BJ58" s="367">
        <v>0</v>
      </c>
      <c r="BK58" s="368">
        <v>0</v>
      </c>
      <c r="BL58" s="367">
        <v>0</v>
      </c>
      <c r="BM58" s="367">
        <v>0</v>
      </c>
      <c r="BN58" s="367">
        <v>0</v>
      </c>
      <c r="BO58" s="367">
        <v>0</v>
      </c>
      <c r="BP58" s="368">
        <v>0</v>
      </c>
      <c r="BQ58" s="366">
        <v>0</v>
      </c>
      <c r="BR58" s="367">
        <v>0</v>
      </c>
      <c r="BS58" s="367">
        <v>0</v>
      </c>
      <c r="BT58" s="367">
        <v>0</v>
      </c>
      <c r="BU58" s="368">
        <v>0</v>
      </c>
      <c r="BV58" s="369" t="s">
        <v>404</v>
      </c>
      <c r="BW58" s="367" t="s">
        <v>499</v>
      </c>
      <c r="BX58" s="367" t="s">
        <v>499</v>
      </c>
      <c r="BY58" s="367" t="s">
        <v>499</v>
      </c>
      <c r="BZ58" s="367" t="s">
        <v>499</v>
      </c>
      <c r="CA58" s="368" t="s">
        <v>499</v>
      </c>
      <c r="CB58" s="367" t="s">
        <v>499</v>
      </c>
      <c r="CC58" s="367" t="s">
        <v>499</v>
      </c>
      <c r="CD58" s="367" t="s">
        <v>499</v>
      </c>
      <c r="CE58" s="367" t="s">
        <v>499</v>
      </c>
      <c r="CF58" s="368" t="s">
        <v>499</v>
      </c>
      <c r="CG58" s="367" t="s">
        <v>499</v>
      </c>
      <c r="CH58" s="367" t="s">
        <v>499</v>
      </c>
      <c r="CI58" s="367" t="s">
        <v>499</v>
      </c>
      <c r="CJ58" s="367" t="s">
        <v>499</v>
      </c>
      <c r="CK58" s="368" t="s">
        <v>499</v>
      </c>
    </row>
    <row r="59" spans="1:89" s="315" customFormat="1" x14ac:dyDescent="0.2">
      <c r="A59" s="358" t="s">
        <v>466</v>
      </c>
      <c r="B59" s="359" t="s">
        <v>502</v>
      </c>
      <c r="C59" s="360"/>
      <c r="D59" s="361">
        <v>0</v>
      </c>
      <c r="E59" s="362">
        <v>0</v>
      </c>
      <c r="F59" s="362">
        <v>0</v>
      </c>
      <c r="G59" s="362">
        <v>0</v>
      </c>
      <c r="H59" s="363">
        <v>0</v>
      </c>
      <c r="I59" s="362"/>
      <c r="J59" s="362"/>
      <c r="K59" s="362"/>
      <c r="L59" s="362"/>
      <c r="M59" s="363"/>
      <c r="N59" s="362">
        <v>0</v>
      </c>
      <c r="O59" s="362">
        <v>0</v>
      </c>
      <c r="P59" s="362">
        <v>0</v>
      </c>
      <c r="Q59" s="362">
        <v>0</v>
      </c>
      <c r="R59" s="363">
        <v>0</v>
      </c>
      <c r="S59" s="362"/>
      <c r="T59" s="362"/>
      <c r="U59" s="362"/>
      <c r="V59" s="362"/>
      <c r="W59" s="363"/>
      <c r="X59" s="362">
        <v>0</v>
      </c>
      <c r="Y59" s="362">
        <v>0</v>
      </c>
      <c r="Z59" s="362">
        <v>0</v>
      </c>
      <c r="AA59" s="362">
        <v>0</v>
      </c>
      <c r="AB59" s="363">
        <v>0</v>
      </c>
      <c r="AC59" s="364">
        <v>0</v>
      </c>
      <c r="AD59" s="364">
        <v>0</v>
      </c>
      <c r="AE59" s="364">
        <v>0</v>
      </c>
      <c r="AF59" s="364">
        <v>0</v>
      </c>
      <c r="AG59" s="365">
        <v>0</v>
      </c>
      <c r="AH59" s="364">
        <v>0</v>
      </c>
      <c r="AI59" s="364">
        <v>0</v>
      </c>
      <c r="AJ59" s="364">
        <v>0</v>
      </c>
      <c r="AK59" s="364">
        <v>0</v>
      </c>
      <c r="AL59" s="365">
        <v>0</v>
      </c>
      <c r="AM59" s="364">
        <v>0</v>
      </c>
      <c r="AN59" s="364">
        <v>0</v>
      </c>
      <c r="AO59" s="364">
        <v>0</v>
      </c>
      <c r="AP59" s="364">
        <v>0</v>
      </c>
      <c r="AQ59" s="365">
        <v>0</v>
      </c>
      <c r="AR59" s="362"/>
      <c r="AS59" s="362"/>
      <c r="AT59" s="362"/>
      <c r="AU59" s="362"/>
      <c r="AV59" s="363"/>
      <c r="AW59" s="362">
        <v>0</v>
      </c>
      <c r="AX59" s="362">
        <v>0</v>
      </c>
      <c r="AY59" s="362">
        <v>0</v>
      </c>
      <c r="AZ59" s="362">
        <v>0</v>
      </c>
      <c r="BA59" s="363">
        <v>0</v>
      </c>
      <c r="BB59" s="366">
        <v>0</v>
      </c>
      <c r="BC59" s="367">
        <v>0</v>
      </c>
      <c r="BD59" s="367">
        <v>0</v>
      </c>
      <c r="BE59" s="367">
        <v>0</v>
      </c>
      <c r="BF59" s="368">
        <v>0</v>
      </c>
      <c r="BG59" s="367">
        <v>0</v>
      </c>
      <c r="BH59" s="367">
        <v>0</v>
      </c>
      <c r="BI59" s="367">
        <v>0</v>
      </c>
      <c r="BJ59" s="367">
        <v>0</v>
      </c>
      <c r="BK59" s="368">
        <v>0</v>
      </c>
      <c r="BL59" s="367">
        <v>0</v>
      </c>
      <c r="BM59" s="367">
        <v>0</v>
      </c>
      <c r="BN59" s="367">
        <v>0</v>
      </c>
      <c r="BO59" s="367">
        <v>0</v>
      </c>
      <c r="BP59" s="368">
        <v>0</v>
      </c>
      <c r="BQ59" s="366">
        <v>0</v>
      </c>
      <c r="BR59" s="367">
        <v>0</v>
      </c>
      <c r="BS59" s="367">
        <v>0</v>
      </c>
      <c r="BT59" s="367">
        <v>0</v>
      </c>
      <c r="BU59" s="368">
        <v>0</v>
      </c>
      <c r="BV59" s="369" t="s">
        <v>404</v>
      </c>
      <c r="BW59" s="367" t="s">
        <v>499</v>
      </c>
      <c r="BX59" s="367" t="s">
        <v>499</v>
      </c>
      <c r="BY59" s="367" t="s">
        <v>499</v>
      </c>
      <c r="BZ59" s="367" t="s">
        <v>499</v>
      </c>
      <c r="CA59" s="368" t="s">
        <v>499</v>
      </c>
      <c r="CB59" s="367" t="s">
        <v>499</v>
      </c>
      <c r="CC59" s="367" t="s">
        <v>499</v>
      </c>
      <c r="CD59" s="367" t="s">
        <v>499</v>
      </c>
      <c r="CE59" s="367" t="s">
        <v>499</v>
      </c>
      <c r="CF59" s="368" t="s">
        <v>499</v>
      </c>
      <c r="CG59" s="367" t="s">
        <v>499</v>
      </c>
      <c r="CH59" s="367" t="s">
        <v>499</v>
      </c>
      <c r="CI59" s="367" t="s">
        <v>499</v>
      </c>
      <c r="CJ59" s="367" t="s">
        <v>499</v>
      </c>
      <c r="CK59" s="368" t="s">
        <v>499</v>
      </c>
    </row>
    <row r="60" spans="1:89" s="315" customFormat="1" x14ac:dyDescent="0.2">
      <c r="A60" s="358" t="s">
        <v>467</v>
      </c>
      <c r="B60" s="359" t="s">
        <v>545</v>
      </c>
      <c r="C60" s="360"/>
      <c r="D60" s="361"/>
      <c r="E60" s="362"/>
      <c r="F60" s="362"/>
      <c r="G60" s="362"/>
      <c r="H60" s="363"/>
      <c r="I60" s="362"/>
      <c r="J60" s="362"/>
      <c r="K60" s="362"/>
      <c r="L60" s="362"/>
      <c r="M60" s="363"/>
      <c r="N60" s="362"/>
      <c r="O60" s="362"/>
      <c r="P60" s="362"/>
      <c r="Q60" s="362"/>
      <c r="R60" s="363"/>
      <c r="S60" s="362"/>
      <c r="T60" s="362"/>
      <c r="U60" s="362"/>
      <c r="V60" s="362"/>
      <c r="W60" s="363"/>
      <c r="X60" s="362"/>
      <c r="Y60" s="362"/>
      <c r="Z60" s="362"/>
      <c r="AA60" s="362"/>
      <c r="AB60" s="363"/>
      <c r="AC60" s="364">
        <v>0.85</v>
      </c>
      <c r="AD60" s="364">
        <v>0.85</v>
      </c>
      <c r="AE60" s="364">
        <v>0.85</v>
      </c>
      <c r="AF60" s="364">
        <v>0.85</v>
      </c>
      <c r="AG60" s="365">
        <v>0.85</v>
      </c>
      <c r="AH60" s="364">
        <v>0</v>
      </c>
      <c r="AI60" s="364">
        <v>0</v>
      </c>
      <c r="AJ60" s="364">
        <v>0</v>
      </c>
      <c r="AK60" s="364">
        <v>0</v>
      </c>
      <c r="AL60" s="365">
        <v>0</v>
      </c>
      <c r="AM60" s="364">
        <v>0</v>
      </c>
      <c r="AN60" s="364">
        <v>0</v>
      </c>
      <c r="AO60" s="364">
        <v>0</v>
      </c>
      <c r="AP60" s="364">
        <v>0</v>
      </c>
      <c r="AQ60" s="365">
        <v>0</v>
      </c>
      <c r="AR60" s="362"/>
      <c r="AS60" s="362"/>
      <c r="AT60" s="362"/>
      <c r="AU60" s="362"/>
      <c r="AV60" s="363"/>
      <c r="AW60" s="362" t="s">
        <v>532</v>
      </c>
      <c r="AX60" s="362" t="s">
        <v>532</v>
      </c>
      <c r="AY60" s="362" t="s">
        <v>532</v>
      </c>
      <c r="AZ60" s="362" t="s">
        <v>532</v>
      </c>
      <c r="BA60" s="363" t="s">
        <v>532</v>
      </c>
      <c r="BB60" s="361" t="s">
        <v>546</v>
      </c>
      <c r="BC60" s="362" t="s">
        <v>546</v>
      </c>
      <c r="BD60" s="362" t="s">
        <v>546</v>
      </c>
      <c r="BE60" s="362" t="s">
        <v>546</v>
      </c>
      <c r="BF60" s="363" t="s">
        <v>546</v>
      </c>
      <c r="BG60" s="362">
        <v>0</v>
      </c>
      <c r="BH60" s="362">
        <v>0</v>
      </c>
      <c r="BI60" s="362">
        <v>0</v>
      </c>
      <c r="BJ60" s="362">
        <v>0</v>
      </c>
      <c r="BK60" s="363">
        <v>0</v>
      </c>
      <c r="BL60" s="362">
        <v>250</v>
      </c>
      <c r="BM60" s="362">
        <v>250</v>
      </c>
      <c r="BN60" s="362">
        <v>250</v>
      </c>
      <c r="BO60" s="362">
        <v>250</v>
      </c>
      <c r="BP60" s="363">
        <v>250</v>
      </c>
      <c r="BQ60" s="361">
        <v>0</v>
      </c>
      <c r="BR60" s="362">
        <v>0</v>
      </c>
      <c r="BS60" s="362">
        <v>0</v>
      </c>
      <c r="BT60" s="362">
        <v>0</v>
      </c>
      <c r="BU60" s="363">
        <v>0</v>
      </c>
      <c r="BV60" s="369"/>
      <c r="BW60" s="367" t="s">
        <v>499</v>
      </c>
      <c r="BX60" s="367" t="s">
        <v>499</v>
      </c>
      <c r="BY60" s="367" t="s">
        <v>499</v>
      </c>
      <c r="BZ60" s="367" t="s">
        <v>499</v>
      </c>
      <c r="CA60" s="368" t="s">
        <v>499</v>
      </c>
      <c r="CB60" s="367" t="s">
        <v>499</v>
      </c>
      <c r="CC60" s="367" t="s">
        <v>499</v>
      </c>
      <c r="CD60" s="367" t="s">
        <v>499</v>
      </c>
      <c r="CE60" s="367" t="s">
        <v>499</v>
      </c>
      <c r="CF60" s="368" t="s">
        <v>499</v>
      </c>
      <c r="CG60" s="367" t="s">
        <v>499</v>
      </c>
      <c r="CH60" s="367" t="s">
        <v>499</v>
      </c>
      <c r="CI60" s="367" t="s">
        <v>499</v>
      </c>
      <c r="CJ60" s="367" t="s">
        <v>499</v>
      </c>
      <c r="CK60" s="368" t="s">
        <v>499</v>
      </c>
    </row>
    <row r="61" spans="1:89" s="315" customFormat="1" x14ac:dyDescent="0.2">
      <c r="A61" s="358" t="s">
        <v>468</v>
      </c>
      <c r="B61" s="359" t="s">
        <v>547</v>
      </c>
      <c r="C61" s="360"/>
      <c r="D61" s="361"/>
      <c r="E61" s="362"/>
      <c r="F61" s="362"/>
      <c r="G61" s="362"/>
      <c r="H61" s="363"/>
      <c r="I61" s="362"/>
      <c r="J61" s="362"/>
      <c r="K61" s="362"/>
      <c r="L61" s="362"/>
      <c r="M61" s="363"/>
      <c r="N61" s="362"/>
      <c r="O61" s="362"/>
      <c r="P61" s="362"/>
      <c r="Q61" s="362"/>
      <c r="R61" s="363"/>
      <c r="S61" s="362"/>
      <c r="T61" s="362"/>
      <c r="U61" s="362"/>
      <c r="V61" s="362"/>
      <c r="W61" s="363"/>
      <c r="X61" s="362"/>
      <c r="Y61" s="362"/>
      <c r="Z61" s="362"/>
      <c r="AA61" s="362"/>
      <c r="AB61" s="363"/>
      <c r="AC61" s="364">
        <v>0.85499999999999998</v>
      </c>
      <c r="AD61" s="364">
        <v>0.85499999999999998</v>
      </c>
      <c r="AE61" s="364">
        <v>0.85499999999999998</v>
      </c>
      <c r="AF61" s="364">
        <v>0.85499999999999998</v>
      </c>
      <c r="AG61" s="365">
        <v>0.85499999999999998</v>
      </c>
      <c r="AH61" s="364">
        <v>0</v>
      </c>
      <c r="AI61" s="364">
        <v>0</v>
      </c>
      <c r="AJ61" s="364">
        <v>0</v>
      </c>
      <c r="AK61" s="364">
        <v>0</v>
      </c>
      <c r="AL61" s="365">
        <v>0</v>
      </c>
      <c r="AM61" s="364">
        <v>0</v>
      </c>
      <c r="AN61" s="364">
        <v>0</v>
      </c>
      <c r="AO61" s="364">
        <v>0</v>
      </c>
      <c r="AP61" s="364">
        <v>0</v>
      </c>
      <c r="AQ61" s="365">
        <v>0</v>
      </c>
      <c r="AR61" s="362"/>
      <c r="AS61" s="362"/>
      <c r="AT61" s="362"/>
      <c r="AU61" s="362"/>
      <c r="AV61" s="363"/>
      <c r="AW61" s="362" t="s">
        <v>532</v>
      </c>
      <c r="AX61" s="362" t="s">
        <v>532</v>
      </c>
      <c r="AY61" s="362" t="s">
        <v>532</v>
      </c>
      <c r="AZ61" s="362" t="s">
        <v>532</v>
      </c>
      <c r="BA61" s="363" t="s">
        <v>532</v>
      </c>
      <c r="BB61" s="361" t="s">
        <v>548</v>
      </c>
      <c r="BC61" s="362" t="s">
        <v>548</v>
      </c>
      <c r="BD61" s="362" t="s">
        <v>548</v>
      </c>
      <c r="BE61" s="362" t="s">
        <v>548</v>
      </c>
      <c r="BF61" s="363" t="s">
        <v>548</v>
      </c>
      <c r="BG61" s="362">
        <v>0</v>
      </c>
      <c r="BH61" s="362">
        <v>0</v>
      </c>
      <c r="BI61" s="362">
        <v>0</v>
      </c>
      <c r="BJ61" s="362">
        <v>0</v>
      </c>
      <c r="BK61" s="363">
        <v>0</v>
      </c>
      <c r="BL61" s="362" t="s">
        <v>549</v>
      </c>
      <c r="BM61" s="362" t="s">
        <v>549</v>
      </c>
      <c r="BN61" s="362" t="s">
        <v>549</v>
      </c>
      <c r="BO61" s="362" t="s">
        <v>549</v>
      </c>
      <c r="BP61" s="363" t="s">
        <v>549</v>
      </c>
      <c r="BQ61" s="361">
        <v>0</v>
      </c>
      <c r="BR61" s="362">
        <v>0</v>
      </c>
      <c r="BS61" s="362">
        <v>0</v>
      </c>
      <c r="BT61" s="362">
        <v>0</v>
      </c>
      <c r="BU61" s="363">
        <v>0</v>
      </c>
      <c r="BV61" s="369"/>
      <c r="BW61" s="367" t="s">
        <v>499</v>
      </c>
      <c r="BX61" s="367" t="s">
        <v>499</v>
      </c>
      <c r="BY61" s="367" t="s">
        <v>499</v>
      </c>
      <c r="BZ61" s="367" t="s">
        <v>499</v>
      </c>
      <c r="CA61" s="368" t="s">
        <v>499</v>
      </c>
      <c r="CB61" s="367" t="s">
        <v>499</v>
      </c>
      <c r="CC61" s="367" t="s">
        <v>499</v>
      </c>
      <c r="CD61" s="367" t="s">
        <v>499</v>
      </c>
      <c r="CE61" s="367" t="s">
        <v>499</v>
      </c>
      <c r="CF61" s="368" t="s">
        <v>499</v>
      </c>
      <c r="CG61" s="367" t="s">
        <v>499</v>
      </c>
      <c r="CH61" s="367" t="s">
        <v>499</v>
      </c>
      <c r="CI61" s="367" t="s">
        <v>499</v>
      </c>
      <c r="CJ61" s="367" t="s">
        <v>499</v>
      </c>
      <c r="CK61" s="368" t="s">
        <v>499</v>
      </c>
    </row>
    <row r="62" spans="1:89" s="315" customFormat="1" x14ac:dyDescent="0.2">
      <c r="A62" s="316" t="s">
        <v>469</v>
      </c>
      <c r="B62" s="317" t="s">
        <v>550</v>
      </c>
      <c r="C62" s="318" t="s">
        <v>470</v>
      </c>
      <c r="D62" s="319">
        <v>10</v>
      </c>
      <c r="E62" s="320">
        <v>10</v>
      </c>
      <c r="F62" s="320">
        <v>10</v>
      </c>
      <c r="G62" s="320">
        <v>10</v>
      </c>
      <c r="H62" s="321">
        <v>10</v>
      </c>
      <c r="I62" s="320"/>
      <c r="J62" s="320"/>
      <c r="K62" s="320"/>
      <c r="L62" s="320"/>
      <c r="M62" s="321"/>
      <c r="N62" s="320">
        <v>100</v>
      </c>
      <c r="O62" s="320">
        <v>100</v>
      </c>
      <c r="P62" s="320">
        <v>100</v>
      </c>
      <c r="Q62" s="320">
        <v>100</v>
      </c>
      <c r="R62" s="321">
        <v>100</v>
      </c>
      <c r="S62" s="320"/>
      <c r="T62" s="320"/>
      <c r="U62" s="320"/>
      <c r="V62" s="320"/>
      <c r="W62" s="321"/>
      <c r="X62" s="320">
        <v>100</v>
      </c>
      <c r="Y62" s="320">
        <v>100</v>
      </c>
      <c r="Z62" s="320">
        <v>100</v>
      </c>
      <c r="AA62" s="320">
        <v>100</v>
      </c>
      <c r="AB62" s="321">
        <v>100</v>
      </c>
      <c r="AC62" s="322">
        <v>0.98</v>
      </c>
      <c r="AD62" s="322">
        <v>0.98</v>
      </c>
      <c r="AE62" s="322">
        <v>0.98</v>
      </c>
      <c r="AF62" s="322">
        <v>0.98</v>
      </c>
      <c r="AG62" s="323">
        <v>0.98</v>
      </c>
      <c r="AH62" s="322">
        <v>0</v>
      </c>
      <c r="AI62" s="322">
        <v>0</v>
      </c>
      <c r="AJ62" s="322">
        <v>0</v>
      </c>
      <c r="AK62" s="322">
        <v>0</v>
      </c>
      <c r="AL62" s="323">
        <v>0</v>
      </c>
      <c r="AM62" s="322">
        <v>0</v>
      </c>
      <c r="AN62" s="322">
        <v>0</v>
      </c>
      <c r="AO62" s="322">
        <v>0</v>
      </c>
      <c r="AP62" s="322">
        <v>0</v>
      </c>
      <c r="AQ62" s="323">
        <v>0</v>
      </c>
      <c r="AR62" s="320"/>
      <c r="AS62" s="320"/>
      <c r="AT62" s="320"/>
      <c r="AU62" s="320"/>
      <c r="AV62" s="321"/>
      <c r="AW62" s="320">
        <v>20</v>
      </c>
      <c r="AX62" s="320">
        <v>20</v>
      </c>
      <c r="AY62" s="320">
        <v>20</v>
      </c>
      <c r="AZ62" s="320">
        <v>20</v>
      </c>
      <c r="BA62" s="321">
        <v>20</v>
      </c>
      <c r="BB62" s="330">
        <v>2500</v>
      </c>
      <c r="BC62" s="328">
        <v>2500</v>
      </c>
      <c r="BD62" s="328">
        <v>2500</v>
      </c>
      <c r="BE62" s="328">
        <v>2500</v>
      </c>
      <c r="BF62" s="329">
        <v>2500</v>
      </c>
      <c r="BG62" s="324">
        <v>3000</v>
      </c>
      <c r="BH62" s="324">
        <v>3000</v>
      </c>
      <c r="BI62" s="324">
        <v>3000</v>
      </c>
      <c r="BJ62" s="324">
        <v>3000</v>
      </c>
      <c r="BK62" s="325">
        <v>3000</v>
      </c>
      <c r="BL62" s="324">
        <v>150</v>
      </c>
      <c r="BM62" s="324">
        <v>150</v>
      </c>
      <c r="BN62" s="324">
        <v>150</v>
      </c>
      <c r="BO62" s="324">
        <v>150</v>
      </c>
      <c r="BP62" s="325">
        <v>150</v>
      </c>
      <c r="BQ62" s="326">
        <v>0</v>
      </c>
      <c r="BR62" s="324">
        <v>0</v>
      </c>
      <c r="BS62" s="324">
        <v>0</v>
      </c>
      <c r="BT62" s="324">
        <v>0</v>
      </c>
      <c r="BU62" s="325">
        <v>0</v>
      </c>
      <c r="BV62" s="327"/>
      <c r="BW62" s="324">
        <v>250</v>
      </c>
      <c r="BX62" s="324">
        <v>250</v>
      </c>
      <c r="BY62" s="324">
        <v>250</v>
      </c>
      <c r="BZ62" s="324">
        <v>250</v>
      </c>
      <c r="CA62" s="325">
        <v>250</v>
      </c>
      <c r="CB62" s="324">
        <v>300</v>
      </c>
      <c r="CC62" s="324">
        <v>300</v>
      </c>
      <c r="CD62" s="324">
        <v>300</v>
      </c>
      <c r="CE62" s="324">
        <v>300</v>
      </c>
      <c r="CF62" s="325">
        <v>300</v>
      </c>
      <c r="CG62" s="324">
        <v>15</v>
      </c>
      <c r="CH62" s="324">
        <v>15</v>
      </c>
      <c r="CI62" s="324">
        <v>15</v>
      </c>
      <c r="CJ62" s="324">
        <v>15</v>
      </c>
      <c r="CK62" s="325">
        <v>15</v>
      </c>
    </row>
    <row r="63" spans="1:89" s="315" customFormat="1" x14ac:dyDescent="0.2">
      <c r="A63" s="370" t="s">
        <v>471</v>
      </c>
      <c r="B63" s="371" t="s">
        <v>502</v>
      </c>
      <c r="C63" s="372"/>
      <c r="D63" s="373">
        <v>0</v>
      </c>
      <c r="E63" s="374">
        <v>0</v>
      </c>
      <c r="F63" s="374">
        <v>0</v>
      </c>
      <c r="G63" s="374">
        <v>0</v>
      </c>
      <c r="H63" s="375">
        <v>0</v>
      </c>
      <c r="I63" s="374"/>
      <c r="J63" s="374"/>
      <c r="K63" s="374"/>
      <c r="L63" s="374"/>
      <c r="M63" s="375"/>
      <c r="N63" s="374">
        <v>0</v>
      </c>
      <c r="O63" s="374">
        <v>0</v>
      </c>
      <c r="P63" s="374">
        <v>0</v>
      </c>
      <c r="Q63" s="374">
        <v>0</v>
      </c>
      <c r="R63" s="375">
        <v>0</v>
      </c>
      <c r="S63" s="374"/>
      <c r="T63" s="374"/>
      <c r="U63" s="374"/>
      <c r="V63" s="374"/>
      <c r="W63" s="375"/>
      <c r="X63" s="374">
        <v>0</v>
      </c>
      <c r="Y63" s="374">
        <v>0</v>
      </c>
      <c r="Z63" s="374">
        <v>0</v>
      </c>
      <c r="AA63" s="374">
        <v>0</v>
      </c>
      <c r="AB63" s="375">
        <v>0</v>
      </c>
      <c r="AC63" s="376">
        <v>0</v>
      </c>
      <c r="AD63" s="376">
        <v>0</v>
      </c>
      <c r="AE63" s="376">
        <v>0</v>
      </c>
      <c r="AF63" s="376">
        <v>0</v>
      </c>
      <c r="AG63" s="377">
        <v>0</v>
      </c>
      <c r="AH63" s="376">
        <v>0</v>
      </c>
      <c r="AI63" s="376">
        <v>0</v>
      </c>
      <c r="AJ63" s="376">
        <v>0</v>
      </c>
      <c r="AK63" s="376">
        <v>0</v>
      </c>
      <c r="AL63" s="377">
        <v>0</v>
      </c>
      <c r="AM63" s="376">
        <v>0</v>
      </c>
      <c r="AN63" s="376">
        <v>0</v>
      </c>
      <c r="AO63" s="376">
        <v>0</v>
      </c>
      <c r="AP63" s="376">
        <v>0</v>
      </c>
      <c r="AQ63" s="377">
        <v>0</v>
      </c>
      <c r="AR63" s="374"/>
      <c r="AS63" s="374"/>
      <c r="AT63" s="374"/>
      <c r="AU63" s="374"/>
      <c r="AV63" s="375"/>
      <c r="AW63" s="374">
        <v>0</v>
      </c>
      <c r="AX63" s="374">
        <v>0</v>
      </c>
      <c r="AY63" s="374">
        <v>0</v>
      </c>
      <c r="AZ63" s="374">
        <v>0</v>
      </c>
      <c r="BA63" s="375">
        <v>0</v>
      </c>
      <c r="BB63" s="373">
        <v>0</v>
      </c>
      <c r="BC63" s="374">
        <v>0</v>
      </c>
      <c r="BD63" s="374">
        <v>0</v>
      </c>
      <c r="BE63" s="374">
        <v>0</v>
      </c>
      <c r="BF63" s="375">
        <v>0</v>
      </c>
      <c r="BG63" s="374">
        <v>0</v>
      </c>
      <c r="BH63" s="374">
        <v>0</v>
      </c>
      <c r="BI63" s="374">
        <v>0</v>
      </c>
      <c r="BJ63" s="374">
        <v>0</v>
      </c>
      <c r="BK63" s="375">
        <v>0</v>
      </c>
      <c r="BL63" s="374">
        <v>0</v>
      </c>
      <c r="BM63" s="374">
        <v>0</v>
      </c>
      <c r="BN63" s="374">
        <v>0</v>
      </c>
      <c r="BO63" s="374">
        <v>0</v>
      </c>
      <c r="BP63" s="375">
        <v>0</v>
      </c>
      <c r="BQ63" s="373">
        <v>0</v>
      </c>
      <c r="BR63" s="374">
        <v>0</v>
      </c>
      <c r="BS63" s="374">
        <v>0</v>
      </c>
      <c r="BT63" s="374">
        <v>0</v>
      </c>
      <c r="BU63" s="375">
        <v>0</v>
      </c>
      <c r="BV63" s="378" t="s">
        <v>404</v>
      </c>
      <c r="BW63" s="379" t="s">
        <v>499</v>
      </c>
      <c r="BX63" s="379" t="s">
        <v>499</v>
      </c>
      <c r="BY63" s="379" t="s">
        <v>499</v>
      </c>
      <c r="BZ63" s="379" t="s">
        <v>499</v>
      </c>
      <c r="CA63" s="380" t="s">
        <v>499</v>
      </c>
      <c r="CB63" s="379" t="s">
        <v>499</v>
      </c>
      <c r="CC63" s="379" t="s">
        <v>499</v>
      </c>
      <c r="CD63" s="379" t="s">
        <v>499</v>
      </c>
      <c r="CE63" s="379" t="s">
        <v>499</v>
      </c>
      <c r="CF63" s="380" t="s">
        <v>499</v>
      </c>
      <c r="CG63" s="379" t="s">
        <v>499</v>
      </c>
      <c r="CH63" s="379" t="s">
        <v>499</v>
      </c>
      <c r="CI63" s="379" t="s">
        <v>499</v>
      </c>
      <c r="CJ63" s="379" t="s">
        <v>499</v>
      </c>
      <c r="CK63" s="380" t="s">
        <v>499</v>
      </c>
    </row>
    <row r="66" spans="1:74" x14ac:dyDescent="0.2">
      <c r="BB66" s="381" t="e">
        <f ca="1">LEFT(INDIRECT("'"&amp;$A62&amp;"'!"&amp;BB$3&amp;"21"),3)</f>
        <v>#REF!</v>
      </c>
    </row>
    <row r="79" spans="1:74" s="286" customFormat="1" x14ac:dyDescent="0.2">
      <c r="A79" s="285"/>
      <c r="B79" s="285"/>
      <c r="C79" s="285"/>
      <c r="BV79" s="285"/>
    </row>
    <row r="80" spans="1:74" s="286" customFormat="1" x14ac:dyDescent="0.2">
      <c r="A80" s="285"/>
      <c r="B80" s="285"/>
      <c r="C80" s="285"/>
      <c r="BV80" s="285"/>
    </row>
    <row r="81" spans="1:74" s="286" customFormat="1" x14ac:dyDescent="0.2">
      <c r="A81" s="285"/>
      <c r="B81" s="285"/>
      <c r="C81" s="285"/>
      <c r="BV81" s="285"/>
    </row>
    <row r="82" spans="1:74" s="286" customFormat="1" x14ac:dyDescent="0.2">
      <c r="A82" s="285"/>
      <c r="B82" s="285"/>
      <c r="C82" s="285"/>
      <c r="BV82" s="285"/>
    </row>
    <row r="83" spans="1:74" s="286" customFormat="1" x14ac:dyDescent="0.2">
      <c r="A83" s="285"/>
      <c r="B83" s="285"/>
      <c r="C83" s="285"/>
      <c r="BV83" s="285"/>
    </row>
    <row r="84" spans="1:74" s="286" customFormat="1" x14ac:dyDescent="0.2">
      <c r="A84" s="285"/>
      <c r="B84" s="285"/>
      <c r="C84" s="285"/>
      <c r="BV84" s="285"/>
    </row>
    <row r="85" spans="1:74" s="286" customFormat="1" x14ac:dyDescent="0.2">
      <c r="A85" s="285"/>
      <c r="B85" s="285"/>
      <c r="C85" s="285"/>
      <c r="BV85" s="285"/>
    </row>
    <row r="86" spans="1:74" s="286" customFormat="1" x14ac:dyDescent="0.2">
      <c r="A86" s="285"/>
      <c r="B86" s="285"/>
      <c r="C86" s="285"/>
      <c r="BV86" s="285"/>
    </row>
    <row r="87" spans="1:74" s="286" customFormat="1" x14ac:dyDescent="0.2">
      <c r="A87" s="285"/>
      <c r="B87" s="285"/>
      <c r="C87" s="285"/>
      <c r="BV87" s="285"/>
    </row>
    <row r="88" spans="1:74" s="286" customFormat="1" x14ac:dyDescent="0.2">
      <c r="A88" s="285"/>
      <c r="B88" s="285"/>
      <c r="C88" s="285"/>
      <c r="BV88" s="285"/>
    </row>
    <row r="89" spans="1:74" s="286" customFormat="1" x14ac:dyDescent="0.2">
      <c r="A89" s="285"/>
      <c r="B89" s="285"/>
      <c r="C89" s="285"/>
      <c r="BV89" s="285"/>
    </row>
    <row r="90" spans="1:74" s="286" customFormat="1" x14ac:dyDescent="0.2">
      <c r="A90" s="285"/>
      <c r="B90" s="285"/>
      <c r="C90" s="285"/>
      <c r="BV90" s="285"/>
    </row>
    <row r="91" spans="1:74" s="286" customFormat="1" x14ac:dyDescent="0.2">
      <c r="A91" s="285"/>
      <c r="B91" s="285"/>
      <c r="C91" s="285"/>
      <c r="BV91" s="285"/>
    </row>
    <row r="92" spans="1:74" s="286" customFormat="1" x14ac:dyDescent="0.2">
      <c r="A92" s="285"/>
      <c r="B92" s="285"/>
      <c r="C92" s="285"/>
      <c r="BV92" s="285"/>
    </row>
    <row r="93" spans="1:74" s="286" customFormat="1" x14ac:dyDescent="0.2">
      <c r="A93" s="285"/>
      <c r="B93" s="285"/>
      <c r="C93" s="285"/>
      <c r="BV93" s="285"/>
    </row>
    <row r="94" spans="1:74" s="286" customFormat="1" x14ac:dyDescent="0.2">
      <c r="A94" s="285"/>
      <c r="B94" s="285"/>
      <c r="C94" s="285"/>
      <c r="BV94" s="285"/>
    </row>
    <row r="95" spans="1:74" s="286" customFormat="1" x14ac:dyDescent="0.2">
      <c r="A95" s="285"/>
      <c r="B95" s="285"/>
      <c r="C95" s="285"/>
      <c r="BV95" s="285"/>
    </row>
    <row r="96" spans="1:74" s="286" customFormat="1" x14ac:dyDescent="0.2">
      <c r="A96" s="285"/>
      <c r="B96" s="285"/>
      <c r="C96" s="285"/>
      <c r="BV96" s="285"/>
    </row>
    <row r="97" spans="1:74" s="286" customFormat="1" x14ac:dyDescent="0.2">
      <c r="A97" s="285"/>
      <c r="B97" s="285"/>
      <c r="C97" s="285"/>
      <c r="BV97" s="285"/>
    </row>
    <row r="98" spans="1:74" s="286" customFormat="1" x14ac:dyDescent="0.2">
      <c r="A98" s="285"/>
      <c r="B98" s="285"/>
      <c r="C98" s="285"/>
      <c r="BV98" s="285"/>
    </row>
    <row r="99" spans="1:74" s="286" customFormat="1" x14ac:dyDescent="0.2">
      <c r="A99" s="285"/>
      <c r="B99" s="285"/>
      <c r="C99" s="285"/>
      <c r="BV99" s="285"/>
    </row>
    <row r="100" spans="1:74" s="286" customFormat="1" x14ac:dyDescent="0.2">
      <c r="A100" s="285"/>
      <c r="B100" s="285"/>
      <c r="C100" s="285"/>
      <c r="BV100" s="285"/>
    </row>
    <row r="101" spans="1:74" s="286" customFormat="1" x14ac:dyDescent="0.2">
      <c r="A101" s="285"/>
      <c r="B101" s="285"/>
      <c r="C101" s="285"/>
      <c r="BV101" s="285"/>
    </row>
    <row r="102" spans="1:74" s="286" customFormat="1" x14ac:dyDescent="0.2">
      <c r="A102" s="285"/>
      <c r="B102" s="285"/>
      <c r="C102" s="285"/>
      <c r="BV102" s="285"/>
    </row>
    <row r="103" spans="1:74" s="286" customFormat="1" x14ac:dyDescent="0.2">
      <c r="A103" s="285"/>
      <c r="B103" s="285"/>
      <c r="C103" s="285"/>
      <c r="BV103" s="285"/>
    </row>
    <row r="104" spans="1:74" s="286" customFormat="1" x14ac:dyDescent="0.2">
      <c r="A104" s="285"/>
      <c r="B104" s="285"/>
      <c r="C104" s="285"/>
      <c r="BV104" s="285"/>
    </row>
    <row r="105" spans="1:74" s="286" customFormat="1" x14ac:dyDescent="0.2">
      <c r="A105" s="285"/>
      <c r="B105" s="285"/>
      <c r="C105" s="285"/>
      <c r="BV105" s="285"/>
    </row>
    <row r="106" spans="1:74" s="286" customFormat="1" x14ac:dyDescent="0.2">
      <c r="A106" s="285"/>
      <c r="B106" s="285"/>
      <c r="C106" s="285"/>
      <c r="BV106" s="285"/>
    </row>
    <row r="107" spans="1:74" s="286" customFormat="1" x14ac:dyDescent="0.2">
      <c r="A107" s="285"/>
      <c r="B107" s="285"/>
      <c r="C107" s="285"/>
      <c r="BV107" s="285"/>
    </row>
    <row r="108" spans="1:74" s="286" customFormat="1" x14ac:dyDescent="0.2">
      <c r="A108" s="285"/>
      <c r="B108" s="285"/>
      <c r="C108" s="285"/>
      <c r="BV108" s="285"/>
    </row>
    <row r="109" spans="1:74" s="286" customFormat="1" x14ac:dyDescent="0.2">
      <c r="A109" s="285"/>
      <c r="B109" s="285"/>
      <c r="C109" s="285"/>
      <c r="BV109" s="285"/>
    </row>
    <row r="110" spans="1:74" s="286" customFormat="1" x14ac:dyDescent="0.2">
      <c r="A110" s="285"/>
      <c r="B110" s="285"/>
      <c r="C110" s="285"/>
      <c r="BV110" s="285"/>
    </row>
    <row r="111" spans="1:74" s="286" customFormat="1" x14ac:dyDescent="0.2">
      <c r="A111" s="285"/>
      <c r="B111" s="285"/>
      <c r="C111" s="285"/>
      <c r="BV111" s="285"/>
    </row>
    <row r="112" spans="1:74" s="286" customFormat="1" x14ac:dyDescent="0.2">
      <c r="A112" s="285"/>
      <c r="B112" s="285"/>
      <c r="C112" s="285"/>
      <c r="BV112" s="285"/>
    </row>
    <row r="113" spans="1:74" s="286" customFormat="1" x14ac:dyDescent="0.2">
      <c r="A113" s="285"/>
      <c r="B113" s="285"/>
      <c r="C113" s="285"/>
      <c r="BV113" s="285"/>
    </row>
    <row r="114" spans="1:74" s="286" customFormat="1" x14ac:dyDescent="0.2">
      <c r="A114" s="285"/>
      <c r="B114" s="285"/>
      <c r="C114" s="285"/>
      <c r="BV114" s="285"/>
    </row>
    <row r="115" spans="1:74" s="286" customFormat="1" x14ac:dyDescent="0.2">
      <c r="A115" s="285"/>
      <c r="B115" s="285"/>
      <c r="C115" s="285"/>
      <c r="BV115" s="285"/>
    </row>
    <row r="116" spans="1:74" s="286" customFormat="1" x14ac:dyDescent="0.2">
      <c r="A116" s="285"/>
      <c r="B116" s="285"/>
      <c r="C116" s="285"/>
      <c r="BV116" s="285"/>
    </row>
    <row r="117" spans="1:74" s="286" customFormat="1" x14ac:dyDescent="0.2">
      <c r="A117" s="285"/>
      <c r="B117" s="285"/>
      <c r="C117" s="285"/>
      <c r="BV117" s="285"/>
    </row>
    <row r="118" spans="1:74" s="286" customFormat="1" x14ac:dyDescent="0.2">
      <c r="A118" s="285"/>
      <c r="B118" s="285"/>
      <c r="C118" s="285"/>
      <c r="BV118" s="285"/>
    </row>
    <row r="119" spans="1:74" s="286" customFormat="1" x14ac:dyDescent="0.2">
      <c r="A119" s="285"/>
      <c r="B119" s="285"/>
      <c r="C119" s="285"/>
      <c r="BV119" s="285"/>
    </row>
    <row r="120" spans="1:74" s="286" customFormat="1" x14ac:dyDescent="0.2">
      <c r="A120" s="285"/>
      <c r="B120" s="285"/>
      <c r="C120" s="285"/>
      <c r="BV120" s="285"/>
    </row>
    <row r="121" spans="1:74" s="286" customFormat="1" x14ac:dyDescent="0.2">
      <c r="A121" s="285"/>
      <c r="B121" s="285"/>
      <c r="C121" s="285"/>
      <c r="BV121" s="285"/>
    </row>
    <row r="122" spans="1:74" s="286" customFormat="1" x14ac:dyDescent="0.2">
      <c r="A122" s="285"/>
      <c r="B122" s="285"/>
      <c r="C122" s="285"/>
      <c r="BV122" s="285"/>
    </row>
    <row r="123" spans="1:74" s="286" customFormat="1" x14ac:dyDescent="0.2">
      <c r="A123" s="285"/>
      <c r="B123" s="285"/>
      <c r="C123" s="285"/>
      <c r="BV123" s="285"/>
    </row>
    <row r="124" spans="1:74" s="286" customFormat="1" x14ac:dyDescent="0.2">
      <c r="A124" s="285"/>
      <c r="B124" s="285"/>
      <c r="C124" s="285"/>
      <c r="BV124" s="285"/>
    </row>
    <row r="125" spans="1:74" s="286" customFormat="1" x14ac:dyDescent="0.2">
      <c r="A125" s="285"/>
      <c r="B125" s="285"/>
      <c r="C125" s="285"/>
      <c r="BV125" s="285"/>
    </row>
    <row r="126" spans="1:74" s="286" customFormat="1" x14ac:dyDescent="0.2">
      <c r="A126" s="285"/>
      <c r="B126" s="285"/>
      <c r="C126" s="285"/>
      <c r="BV126" s="285"/>
    </row>
    <row r="127" spans="1:74" s="286" customFormat="1" x14ac:dyDescent="0.2">
      <c r="A127" s="285"/>
      <c r="B127" s="285"/>
      <c r="C127" s="285"/>
      <c r="BV127" s="285"/>
    </row>
    <row r="128" spans="1:74" s="286" customFormat="1" x14ac:dyDescent="0.2">
      <c r="A128" s="285"/>
      <c r="B128" s="285"/>
      <c r="C128" s="285"/>
      <c r="BV128" s="285"/>
    </row>
    <row r="129" spans="1:74" s="286" customFormat="1" x14ac:dyDescent="0.2">
      <c r="A129" s="285"/>
      <c r="B129" s="285"/>
      <c r="C129" s="285"/>
      <c r="BV129" s="285"/>
    </row>
    <row r="130" spans="1:74" s="286" customFormat="1" x14ac:dyDescent="0.2">
      <c r="A130" s="285"/>
      <c r="B130" s="285"/>
      <c r="C130" s="285"/>
      <c r="BV130" s="285"/>
    </row>
    <row r="131" spans="1:74" s="286" customFormat="1" x14ac:dyDescent="0.2">
      <c r="A131" s="285"/>
      <c r="B131" s="285"/>
      <c r="C131" s="285"/>
      <c r="BV131" s="285"/>
    </row>
    <row r="132" spans="1:74" s="286" customFormat="1" x14ac:dyDescent="0.2">
      <c r="A132" s="285"/>
      <c r="B132" s="285"/>
      <c r="C132" s="285"/>
      <c r="BV132" s="285"/>
    </row>
    <row r="133" spans="1:74" s="286" customFormat="1" x14ac:dyDescent="0.2">
      <c r="A133" s="285"/>
      <c r="B133" s="285"/>
      <c r="C133" s="285"/>
      <c r="BV133" s="285"/>
    </row>
    <row r="134" spans="1:74" s="286" customFormat="1" x14ac:dyDescent="0.2">
      <c r="A134" s="285"/>
      <c r="B134" s="285"/>
      <c r="C134" s="285"/>
      <c r="BV134" s="285"/>
    </row>
    <row r="135" spans="1:74" s="286" customFormat="1" x14ac:dyDescent="0.2">
      <c r="A135" s="285"/>
      <c r="B135" s="285"/>
      <c r="C135" s="285"/>
      <c r="BV135" s="285"/>
    </row>
    <row r="136" spans="1:74" s="286" customFormat="1" x14ac:dyDescent="0.2">
      <c r="A136" s="285"/>
      <c r="B136" s="285"/>
      <c r="C136" s="285"/>
      <c r="BV136" s="285"/>
    </row>
    <row r="137" spans="1:74" s="286" customFormat="1" x14ac:dyDescent="0.2">
      <c r="A137" s="285"/>
      <c r="B137" s="285"/>
      <c r="C137" s="285"/>
      <c r="BV137" s="285"/>
    </row>
    <row r="138" spans="1:74" s="286" customFormat="1" x14ac:dyDescent="0.2">
      <c r="A138" s="285"/>
      <c r="B138" s="285"/>
      <c r="C138" s="285"/>
      <c r="BV138" s="285"/>
    </row>
    <row r="139" spans="1:74" s="286" customFormat="1" x14ac:dyDescent="0.2">
      <c r="A139" s="285"/>
      <c r="B139" s="285"/>
      <c r="C139" s="285"/>
      <c r="BV139" s="285"/>
    </row>
    <row r="140" spans="1:74" s="286" customFormat="1" x14ac:dyDescent="0.2">
      <c r="A140" s="285"/>
      <c r="B140" s="285"/>
      <c r="C140" s="285"/>
      <c r="BV140" s="285"/>
    </row>
    <row r="141" spans="1:74" s="286" customFormat="1" x14ac:dyDescent="0.2">
      <c r="A141" s="285"/>
      <c r="B141" s="285"/>
      <c r="C141" s="285"/>
      <c r="BV141" s="285"/>
    </row>
    <row r="142" spans="1:74" s="286" customFormat="1" x14ac:dyDescent="0.2">
      <c r="A142" s="285"/>
      <c r="B142" s="285"/>
      <c r="C142" s="285"/>
      <c r="BV142" s="285"/>
    </row>
    <row r="143" spans="1:74" s="286" customFormat="1" x14ac:dyDescent="0.2">
      <c r="A143" s="285"/>
      <c r="B143" s="285"/>
      <c r="C143" s="285"/>
      <c r="BV143" s="285"/>
    </row>
    <row r="144" spans="1:74" s="286" customFormat="1" x14ac:dyDescent="0.2">
      <c r="A144" s="285"/>
      <c r="B144" s="285"/>
      <c r="C144" s="285"/>
      <c r="BV144" s="285"/>
    </row>
    <row r="145" spans="1:74" s="286" customFormat="1" x14ac:dyDescent="0.2">
      <c r="A145" s="285"/>
      <c r="B145" s="285"/>
      <c r="C145" s="285"/>
      <c r="BV145" s="285"/>
    </row>
    <row r="146" spans="1:74" s="286" customFormat="1" x14ac:dyDescent="0.2">
      <c r="A146" s="285"/>
      <c r="B146" s="285"/>
      <c r="C146" s="285"/>
      <c r="BV146" s="285"/>
    </row>
    <row r="147" spans="1:74" s="286" customFormat="1" x14ac:dyDescent="0.2">
      <c r="A147" s="285"/>
      <c r="B147" s="285"/>
      <c r="C147" s="285"/>
      <c r="BV147" s="285"/>
    </row>
    <row r="148" spans="1:74" s="286" customFormat="1" x14ac:dyDescent="0.2">
      <c r="A148" s="285"/>
      <c r="B148" s="285"/>
      <c r="C148" s="285"/>
      <c r="BV148" s="285"/>
    </row>
    <row r="149" spans="1:74" s="286" customFormat="1" x14ac:dyDescent="0.2">
      <c r="A149" s="285"/>
      <c r="B149" s="285"/>
      <c r="C149" s="285"/>
      <c r="BV149" s="285"/>
    </row>
    <row r="150" spans="1:74" s="286" customFormat="1" x14ac:dyDescent="0.2">
      <c r="A150" s="285"/>
      <c r="B150" s="285"/>
      <c r="C150" s="285"/>
      <c r="BV150" s="285"/>
    </row>
    <row r="151" spans="1:74" s="286" customFormat="1" x14ac:dyDescent="0.2">
      <c r="A151" s="285"/>
      <c r="B151" s="285"/>
      <c r="C151" s="285"/>
      <c r="BV151" s="285"/>
    </row>
    <row r="152" spans="1:74" s="286" customFormat="1" x14ac:dyDescent="0.2">
      <c r="A152" s="285"/>
      <c r="B152" s="285"/>
      <c r="C152" s="285"/>
      <c r="BV152" s="285"/>
    </row>
    <row r="153" spans="1:74" s="286" customFormat="1" x14ac:dyDescent="0.2">
      <c r="A153" s="285"/>
      <c r="B153" s="285"/>
      <c r="C153" s="285"/>
      <c r="BV153" s="285"/>
    </row>
    <row r="154" spans="1:74" s="286" customFormat="1" x14ac:dyDescent="0.2">
      <c r="A154" s="285"/>
      <c r="B154" s="285"/>
      <c r="C154" s="285"/>
      <c r="BV154" s="285"/>
    </row>
    <row r="155" spans="1:74" s="286" customFormat="1" x14ac:dyDescent="0.2">
      <c r="A155" s="285"/>
      <c r="B155" s="285"/>
      <c r="C155" s="285"/>
      <c r="BV155" s="285"/>
    </row>
    <row r="156" spans="1:74" s="286" customFormat="1" x14ac:dyDescent="0.2">
      <c r="A156" s="285"/>
      <c r="B156" s="285"/>
      <c r="C156" s="285"/>
      <c r="BV156" s="285"/>
    </row>
    <row r="157" spans="1:74" s="286" customFormat="1" x14ac:dyDescent="0.2">
      <c r="A157" s="285"/>
      <c r="B157" s="285"/>
      <c r="C157" s="285"/>
      <c r="BV157" s="285"/>
    </row>
    <row r="158" spans="1:74" s="286" customFormat="1" x14ac:dyDescent="0.2">
      <c r="A158" s="285"/>
      <c r="B158" s="285"/>
      <c r="C158" s="285"/>
      <c r="BV158" s="285"/>
    </row>
    <row r="159" spans="1:74" s="286" customFormat="1" x14ac:dyDescent="0.2">
      <c r="A159" s="285"/>
      <c r="B159" s="285"/>
      <c r="C159" s="285"/>
      <c r="BV159" s="285"/>
    </row>
    <row r="160" spans="1:74" s="286" customFormat="1" x14ac:dyDescent="0.2">
      <c r="A160" s="285"/>
      <c r="B160" s="285"/>
      <c r="C160" s="285"/>
      <c r="BV160" s="285"/>
    </row>
    <row r="161" spans="1:74" s="286" customFormat="1" x14ac:dyDescent="0.2">
      <c r="A161" s="285"/>
      <c r="B161" s="285"/>
      <c r="C161" s="285"/>
      <c r="BV161" s="285"/>
    </row>
    <row r="162" spans="1:74" s="286" customFormat="1" x14ac:dyDescent="0.2">
      <c r="A162" s="285"/>
      <c r="B162" s="285"/>
      <c r="C162" s="285"/>
      <c r="BV162" s="285"/>
    </row>
    <row r="163" spans="1:74" s="286" customFormat="1" x14ac:dyDescent="0.2">
      <c r="A163" s="285"/>
      <c r="B163" s="285"/>
      <c r="C163" s="285"/>
      <c r="BV163" s="285"/>
    </row>
    <row r="164" spans="1:74" s="286" customFormat="1" x14ac:dyDescent="0.2">
      <c r="A164" s="285"/>
      <c r="B164" s="285"/>
      <c r="C164" s="285"/>
      <c r="BV164" s="285"/>
    </row>
    <row r="165" spans="1:74" s="286" customFormat="1" x14ac:dyDescent="0.2">
      <c r="A165" s="285"/>
      <c r="B165" s="285"/>
      <c r="C165" s="285"/>
      <c r="BV165" s="285"/>
    </row>
    <row r="166" spans="1:74" s="286" customFormat="1" x14ac:dyDescent="0.2">
      <c r="A166" s="285"/>
      <c r="B166" s="285"/>
      <c r="C166" s="285"/>
      <c r="BV166" s="285"/>
    </row>
    <row r="167" spans="1:74" s="286" customFormat="1" x14ac:dyDescent="0.2">
      <c r="A167" s="285"/>
      <c r="B167" s="285"/>
      <c r="C167" s="285"/>
      <c r="BV167" s="285"/>
    </row>
    <row r="168" spans="1:74" s="286" customFormat="1" x14ac:dyDescent="0.2">
      <c r="A168" s="285"/>
      <c r="B168" s="285"/>
      <c r="C168" s="285"/>
      <c r="BV168" s="285"/>
    </row>
    <row r="169" spans="1:74" s="286" customFormat="1" x14ac:dyDescent="0.2">
      <c r="A169" s="285"/>
      <c r="B169" s="285"/>
      <c r="C169" s="285"/>
      <c r="BV169" s="285"/>
    </row>
    <row r="170" spans="1:74" s="286" customFormat="1" x14ac:dyDescent="0.2">
      <c r="A170" s="285"/>
      <c r="B170" s="285"/>
      <c r="C170" s="285"/>
      <c r="BV170" s="285"/>
    </row>
    <row r="171" spans="1:74" s="286" customFormat="1" x14ac:dyDescent="0.2">
      <c r="A171" s="285"/>
      <c r="B171" s="285"/>
      <c r="C171" s="285"/>
      <c r="BV171" s="285"/>
    </row>
    <row r="172" spans="1:74" s="286" customFormat="1" x14ac:dyDescent="0.2">
      <c r="A172" s="285"/>
      <c r="B172" s="285"/>
      <c r="C172" s="285"/>
      <c r="BV172" s="285"/>
    </row>
    <row r="173" spans="1:74" s="286" customFormat="1" x14ac:dyDescent="0.2">
      <c r="A173" s="285"/>
      <c r="B173" s="285"/>
      <c r="C173" s="285"/>
      <c r="BV173" s="285"/>
    </row>
    <row r="174" spans="1:74" s="286" customFormat="1" x14ac:dyDescent="0.2">
      <c r="A174" s="285"/>
      <c r="B174" s="285"/>
      <c r="C174" s="285"/>
      <c r="BV174" s="285"/>
    </row>
    <row r="175" spans="1:74" s="286" customFormat="1" x14ac:dyDescent="0.2">
      <c r="A175" s="285"/>
      <c r="B175" s="285"/>
      <c r="C175" s="285"/>
      <c r="BV175" s="285"/>
    </row>
    <row r="176" spans="1:74" s="286" customFormat="1" x14ac:dyDescent="0.2">
      <c r="A176" s="285"/>
      <c r="B176" s="285"/>
      <c r="C176" s="285"/>
      <c r="BV176" s="285"/>
    </row>
    <row r="177" spans="1:74" s="286" customFormat="1" x14ac:dyDescent="0.2">
      <c r="A177" s="285"/>
      <c r="B177" s="285"/>
      <c r="C177" s="285"/>
      <c r="BV177" s="285"/>
    </row>
    <row r="178" spans="1:74" s="286" customFormat="1" x14ac:dyDescent="0.2">
      <c r="A178" s="285"/>
      <c r="B178" s="285"/>
      <c r="C178" s="285"/>
      <c r="BV178" s="285"/>
    </row>
    <row r="179" spans="1:74" s="286" customFormat="1" x14ac:dyDescent="0.2">
      <c r="A179" s="285"/>
      <c r="B179" s="285"/>
      <c r="C179" s="285"/>
      <c r="BV179" s="285"/>
    </row>
    <row r="180" spans="1:74" s="286" customFormat="1" x14ac:dyDescent="0.2">
      <c r="A180" s="285"/>
      <c r="B180" s="285"/>
      <c r="C180" s="285"/>
      <c r="BV180" s="285"/>
    </row>
    <row r="181" spans="1:74" s="286" customFormat="1" x14ac:dyDescent="0.2">
      <c r="A181" s="285"/>
      <c r="B181" s="285"/>
      <c r="C181" s="285"/>
      <c r="BV181" s="285"/>
    </row>
    <row r="182" spans="1:74" s="286" customFormat="1" x14ac:dyDescent="0.2">
      <c r="A182" s="285"/>
      <c r="B182" s="285"/>
      <c r="C182" s="285"/>
      <c r="BV182" s="285"/>
    </row>
    <row r="183" spans="1:74" s="286" customFormat="1" x14ac:dyDescent="0.2">
      <c r="A183" s="285"/>
      <c r="B183" s="285"/>
      <c r="C183" s="285"/>
      <c r="BV183" s="285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sheetPr codeName="Sheet6"/>
  <dimension ref="A1:AD121"/>
  <sheetViews>
    <sheetView zoomScale="80" zoomScaleNormal="80" workbookViewId="0">
      <selection activeCell="AA32" sqref="AA32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558" t="s">
        <v>638</v>
      </c>
      <c r="B1" s="560" t="s">
        <v>639</v>
      </c>
      <c r="C1" s="561"/>
      <c r="D1" s="561"/>
      <c r="E1" s="561"/>
      <c r="F1" s="562"/>
      <c r="G1" s="560" t="s">
        <v>640</v>
      </c>
      <c r="H1" s="561"/>
      <c r="I1" s="561"/>
      <c r="J1" s="561"/>
      <c r="K1" s="562"/>
      <c r="L1" s="5"/>
      <c r="M1" s="5"/>
      <c r="N1" s="5"/>
      <c r="O1" s="5"/>
      <c r="P1" s="5"/>
      <c r="Q1" s="5"/>
      <c r="R1" s="5"/>
    </row>
    <row r="2" spans="1:18" ht="13.5" thickBot="1" x14ac:dyDescent="0.25">
      <c r="A2" s="559"/>
      <c r="B2" s="466" t="s">
        <v>284</v>
      </c>
      <c r="C2" s="467" t="s">
        <v>641</v>
      </c>
      <c r="D2" s="467" t="s">
        <v>642</v>
      </c>
      <c r="E2" s="467" t="s">
        <v>643</v>
      </c>
      <c r="F2" s="468" t="s">
        <v>644</v>
      </c>
      <c r="G2" s="466" t="s">
        <v>284</v>
      </c>
      <c r="H2" s="467" t="s">
        <v>641</v>
      </c>
      <c r="I2" s="467" t="s">
        <v>642</v>
      </c>
      <c r="J2" s="467" t="s">
        <v>643</v>
      </c>
      <c r="K2" s="468" t="s">
        <v>644</v>
      </c>
      <c r="L2" s="5"/>
      <c r="M2" s="469"/>
      <c r="N2" s="5"/>
      <c r="O2" s="5"/>
      <c r="P2" s="5"/>
      <c r="Q2" s="5"/>
      <c r="R2" s="5"/>
    </row>
    <row r="3" spans="1:18" x14ac:dyDescent="0.2">
      <c r="A3" s="470" t="s">
        <v>645</v>
      </c>
      <c r="B3" s="471">
        <f>SUM(C3:F3)</f>
        <v>113.577</v>
      </c>
      <c r="C3" s="472">
        <v>94.888999999999996</v>
      </c>
      <c r="D3" s="473">
        <v>2.831</v>
      </c>
      <c r="E3" s="473"/>
      <c r="F3" s="474">
        <v>15.856999999999999</v>
      </c>
      <c r="G3" s="471">
        <f>B3/3.6</f>
        <v>31.549166666666665</v>
      </c>
      <c r="H3" s="475">
        <f>C3/3.6</f>
        <v>26.358055555555552</v>
      </c>
      <c r="I3" s="475">
        <f>D3/3.6</f>
        <v>0.7863888888888888</v>
      </c>
      <c r="J3" s="475">
        <f>E3/3.6</f>
        <v>0</v>
      </c>
      <c r="K3" s="476">
        <f>F3/3.6</f>
        <v>4.4047222222222215</v>
      </c>
      <c r="L3" s="5"/>
      <c r="M3" s="477"/>
      <c r="N3" s="478"/>
      <c r="O3" s="5"/>
      <c r="P3" s="5"/>
      <c r="Q3" s="5"/>
      <c r="R3" s="5"/>
    </row>
    <row r="4" spans="1:18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ht="15" x14ac:dyDescent="0.25">
      <c r="A7" s="555" t="s">
        <v>641</v>
      </c>
      <c r="B7" s="555"/>
      <c r="C7" s="555"/>
      <c r="D7" s="55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ht="15" x14ac:dyDescent="0.25">
      <c r="A8" s="479" t="s">
        <v>646</v>
      </c>
      <c r="B8" s="479">
        <v>2015</v>
      </c>
      <c r="C8" s="479">
        <v>2020</v>
      </c>
      <c r="D8" s="479">
        <v>2030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2">
      <c r="A9" s="5" t="s">
        <v>647</v>
      </c>
      <c r="B9" s="5"/>
      <c r="C9" s="5">
        <v>31.9</v>
      </c>
      <c r="D9" s="5">
        <v>36.299999999999997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">
      <c r="A10" s="5" t="s">
        <v>648</v>
      </c>
      <c r="B10" s="5"/>
      <c r="C10" s="410">
        <v>0.4</v>
      </c>
      <c r="D10" s="410">
        <v>0.7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">
      <c r="A11" s="5" t="s">
        <v>649</v>
      </c>
      <c r="B11" s="5"/>
      <c r="C11" s="5">
        <f>C9*(1-C10)</f>
        <v>19.139999999999997</v>
      </c>
      <c r="D11" s="5">
        <f>D9*(1-D10)</f>
        <v>10.89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">
      <c r="A12" s="5" t="s">
        <v>650</v>
      </c>
      <c r="B12" s="5"/>
      <c r="C12" s="410">
        <v>0.5</v>
      </c>
      <c r="D12" s="410">
        <f>C12</f>
        <v>0.5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">
      <c r="A13" s="5" t="s">
        <v>651</v>
      </c>
      <c r="B13" s="5"/>
      <c r="C13" s="410">
        <v>0.4</v>
      </c>
      <c r="D13" s="410">
        <f>C13</f>
        <v>0.4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">
      <c r="A14" s="5" t="s">
        <v>652</v>
      </c>
      <c r="B14" s="5"/>
      <c r="C14" s="480">
        <f>(C11/C12)*C13</f>
        <v>15.311999999999998</v>
      </c>
      <c r="D14" s="480">
        <f>(D11/D12)*D13</f>
        <v>8.7120000000000015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">
      <c r="A15" s="5" t="s">
        <v>653</v>
      </c>
      <c r="B15" s="5"/>
      <c r="C15" s="5">
        <f>C14*3600</f>
        <v>55123.19999999999</v>
      </c>
      <c r="D15" s="5">
        <f>D14*3600</f>
        <v>31363.200000000004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">
      <c r="A16" s="5" t="s">
        <v>654</v>
      </c>
      <c r="B16" s="480">
        <f>C3</f>
        <v>94.888999999999996</v>
      </c>
      <c r="C16" s="480">
        <f>C15/1000</f>
        <v>55.12319999999999</v>
      </c>
      <c r="D16" s="496">
        <f>D15/1000</f>
        <v>31.363200000000003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30" x14ac:dyDescent="0.2">
      <c r="A17" s="5"/>
      <c r="B17" s="480"/>
      <c r="C17" s="480"/>
      <c r="D17" s="480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30" ht="15" x14ac:dyDescent="0.25">
      <c r="A18" s="555" t="s">
        <v>655</v>
      </c>
      <c r="B18" s="555"/>
      <c r="C18" s="555"/>
      <c r="D18" s="55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30" ht="15" x14ac:dyDescent="0.25">
      <c r="A19" s="479" t="s">
        <v>646</v>
      </c>
      <c r="B19" s="479"/>
      <c r="C19" s="479">
        <v>2020</v>
      </c>
      <c r="D19" s="479">
        <v>2030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30" x14ac:dyDescent="0.2">
      <c r="A20" s="5" t="s">
        <v>656</v>
      </c>
      <c r="B20" s="5"/>
      <c r="C20" s="5">
        <f>C9*C10</f>
        <v>12.76</v>
      </c>
      <c r="D20" s="5">
        <f>D9*D10</f>
        <v>25.409999999999997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30" ht="15" x14ac:dyDescent="0.25">
      <c r="A21" s="5" t="s">
        <v>657</v>
      </c>
      <c r="B21" s="5"/>
      <c r="C21" s="481">
        <v>0.127</v>
      </c>
      <c r="D21" s="482">
        <v>0.1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30" x14ac:dyDescent="0.2">
      <c r="A22" s="5" t="s">
        <v>658</v>
      </c>
      <c r="B22" s="5"/>
      <c r="C22" s="1">
        <f>C21*(C20/(1-C21))</f>
        <v>1.8562657502863689</v>
      </c>
      <c r="D22" s="1">
        <f>D21*(D20/(1-D21))</f>
        <v>2.8233333333333328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30" x14ac:dyDescent="0.2">
      <c r="A23" s="5" t="s">
        <v>659</v>
      </c>
      <c r="B23" s="5"/>
      <c r="C23" s="465">
        <v>3</v>
      </c>
      <c r="D23" s="5">
        <v>3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30" x14ac:dyDescent="0.2">
      <c r="A24" s="5" t="s">
        <v>660</v>
      </c>
      <c r="B24" s="5"/>
      <c r="C24" s="1">
        <f>C23*C22</f>
        <v>5.5687972508591068</v>
      </c>
      <c r="D24" s="1">
        <f>D23*D22</f>
        <v>8.4699999999999989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30" x14ac:dyDescent="0.2">
      <c r="A25" s="5" t="s">
        <v>661</v>
      </c>
      <c r="B25" s="5"/>
      <c r="C25" s="465">
        <f>C24*3600</f>
        <v>20047.670103092783</v>
      </c>
      <c r="D25" s="465">
        <f>D24*3600</f>
        <v>30491.999999999996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30" x14ac:dyDescent="0.2">
      <c r="A26" s="5" t="s">
        <v>662</v>
      </c>
      <c r="B26" s="5"/>
      <c r="C26" s="480">
        <f>C25/1000</f>
        <v>20.047670103092784</v>
      </c>
      <c r="D26" s="496">
        <f>D25/1000</f>
        <v>30.491999999999997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30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30" ht="15" x14ac:dyDescent="0.25">
      <c r="A28" s="555" t="s">
        <v>663</v>
      </c>
      <c r="B28" s="555"/>
      <c r="C28" s="555"/>
      <c r="D28" s="55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30" ht="30" x14ac:dyDescent="0.25">
      <c r="A29" s="479" t="s">
        <v>646</v>
      </c>
      <c r="B29" s="479">
        <v>2015</v>
      </c>
      <c r="C29" s="479">
        <v>2020</v>
      </c>
      <c r="D29" s="479">
        <v>2030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T29" s="460"/>
      <c r="U29" s="461"/>
      <c r="V29" s="462" t="s">
        <v>624</v>
      </c>
      <c r="W29" s="462" t="s">
        <v>625</v>
      </c>
      <c r="X29" s="462" t="s">
        <v>626</v>
      </c>
      <c r="Y29" s="462" t="s">
        <v>627</v>
      </c>
    </row>
    <row r="30" spans="1:30" x14ac:dyDescent="0.2">
      <c r="A30" s="5" t="s">
        <v>664</v>
      </c>
      <c r="B30" s="5">
        <v>18</v>
      </c>
      <c r="C30" s="5">
        <f>B30+60</f>
        <v>78</v>
      </c>
      <c r="D30" s="5">
        <f>C30+18.5</f>
        <v>96.5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T30" s="460"/>
      <c r="U30" s="460" t="s">
        <v>628</v>
      </c>
      <c r="V30" s="460" t="s">
        <v>629</v>
      </c>
      <c r="W30" s="460" t="s">
        <v>630</v>
      </c>
      <c r="X30" s="460" t="s">
        <v>631</v>
      </c>
      <c r="Y30" s="460" t="s">
        <v>632</v>
      </c>
    </row>
    <row r="31" spans="1:30" ht="15" x14ac:dyDescent="0.25">
      <c r="A31" s="5" t="s">
        <v>665</v>
      </c>
      <c r="B31" s="410">
        <v>0.25</v>
      </c>
      <c r="C31" s="410">
        <f>B31</f>
        <v>0.25</v>
      </c>
      <c r="D31" s="410">
        <f>C31</f>
        <v>0.25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T31" s="461" t="s">
        <v>633</v>
      </c>
      <c r="U31" s="460">
        <v>311.65399600000001</v>
      </c>
      <c r="V31" s="460">
        <v>8845.3479520000001</v>
      </c>
      <c r="W31" s="460">
        <v>22461.807872000001</v>
      </c>
      <c r="X31" s="460">
        <v>28682.778717000001</v>
      </c>
      <c r="Y31" s="460">
        <v>8653.6989190000004</v>
      </c>
    </row>
    <row r="32" spans="1:30" ht="15" x14ac:dyDescent="0.25">
      <c r="A32" s="5" t="s">
        <v>666</v>
      </c>
      <c r="B32" s="465">
        <f>B30/B31</f>
        <v>72</v>
      </c>
      <c r="C32" s="465">
        <f>C30/C31</f>
        <v>312</v>
      </c>
      <c r="D32" s="465">
        <f>D30/D31</f>
        <v>386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T32" s="461" t="s">
        <v>634</v>
      </c>
      <c r="U32" s="463">
        <v>2.9555506715861044E-3</v>
      </c>
      <c r="V32" s="494">
        <v>8.3884289678565108E-2</v>
      </c>
      <c r="W32" s="494">
        <v>0.21301511353355998</v>
      </c>
      <c r="X32" s="494">
        <v>0.2720112913295839</v>
      </c>
      <c r="Y32" s="494">
        <v>8.2066798372623442E-2</v>
      </c>
      <c r="AA32" s="495">
        <f>SUM(V32:Y32)</f>
        <v>0.65097749291433249</v>
      </c>
      <c r="AD32" t="s">
        <v>695</v>
      </c>
    </row>
    <row r="33" spans="1:30" ht="15" x14ac:dyDescent="0.25">
      <c r="A33" s="5" t="s">
        <v>667</v>
      </c>
      <c r="B33" s="410">
        <v>0.8</v>
      </c>
      <c r="C33" s="410">
        <f>B33</f>
        <v>0.8</v>
      </c>
      <c r="D33" s="410">
        <f>C33</f>
        <v>0.8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T33" s="461" t="s">
        <v>99</v>
      </c>
      <c r="U33" s="464"/>
      <c r="V33" s="464">
        <v>8</v>
      </c>
      <c r="W33" s="464">
        <v>6</v>
      </c>
      <c r="X33" s="464">
        <v>3.7</v>
      </c>
      <c r="Y33" s="464">
        <v>1.9</v>
      </c>
      <c r="AD33" s="410">
        <v>0.65</v>
      </c>
    </row>
    <row r="34" spans="1:30" ht="15" x14ac:dyDescent="0.25">
      <c r="A34" s="5" t="s">
        <v>668</v>
      </c>
      <c r="B34" s="410">
        <v>0.7</v>
      </c>
      <c r="C34" s="410">
        <f>B34</f>
        <v>0.7</v>
      </c>
      <c r="D34" s="410">
        <f>C34</f>
        <v>0.7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T34" s="461" t="s">
        <v>635</v>
      </c>
      <c r="U34" s="460"/>
      <c r="V34" s="460">
        <v>1387</v>
      </c>
      <c r="W34" s="460">
        <v>2642</v>
      </c>
      <c r="X34" s="460">
        <v>2080</v>
      </c>
      <c r="Y34" s="460">
        <v>322</v>
      </c>
    </row>
    <row r="35" spans="1:30" ht="15" x14ac:dyDescent="0.25">
      <c r="A35" s="5" t="s">
        <v>669</v>
      </c>
      <c r="B35" s="465">
        <f>(B32*8760*B33*B34)</f>
        <v>353203.19999999995</v>
      </c>
      <c r="C35" s="465">
        <f>(C32*8760*C33*C34)</f>
        <v>1530547.2</v>
      </c>
      <c r="D35" s="465">
        <f>(D32*8760*D33*D34)</f>
        <v>1893561.5999999999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T35" s="461" t="s">
        <v>636</v>
      </c>
      <c r="U35" s="460"/>
      <c r="V35" s="493">
        <f t="shared" ref="V35:X35" si="0">V34*110%</f>
        <v>1525.7</v>
      </c>
      <c r="W35" s="493">
        <f>W34*110%</f>
        <v>2906.2000000000003</v>
      </c>
      <c r="X35" s="493">
        <f t="shared" si="0"/>
        <v>2288</v>
      </c>
      <c r="Y35" s="493">
        <f>Y34*110%</f>
        <v>354.20000000000005</v>
      </c>
    </row>
    <row r="36" spans="1:30" x14ac:dyDescent="0.2">
      <c r="A36" s="5" t="s">
        <v>640</v>
      </c>
      <c r="B36" s="480">
        <f>B35/10^6</f>
        <v>0.35320319999999994</v>
      </c>
      <c r="C36" s="480">
        <f>C35/10^6</f>
        <v>1.5305472</v>
      </c>
      <c r="D36" s="480">
        <f>D35/10^6</f>
        <v>1.8935616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T36" s="465"/>
      <c r="U36" s="465"/>
      <c r="V36" s="465"/>
      <c r="W36" s="465"/>
      <c r="X36" s="465"/>
      <c r="Y36" s="465"/>
    </row>
    <row r="37" spans="1:30" x14ac:dyDescent="0.2">
      <c r="A37" s="5" t="s">
        <v>670</v>
      </c>
      <c r="B37" s="465">
        <f>B36*3600</f>
        <v>1271.5315199999998</v>
      </c>
      <c r="C37" s="465">
        <f>C36*3600</f>
        <v>5509.9699199999995</v>
      </c>
      <c r="D37" s="465">
        <f>D36*3600</f>
        <v>6816.8217599999998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T37" s="465" t="s">
        <v>637</v>
      </c>
      <c r="U37" s="465"/>
      <c r="V37" s="465"/>
      <c r="W37" s="465"/>
      <c r="X37" s="465"/>
      <c r="Y37" s="465"/>
    </row>
    <row r="38" spans="1:30" x14ac:dyDescent="0.2">
      <c r="A38" s="5" t="s">
        <v>639</v>
      </c>
      <c r="B38" s="1">
        <f>B37/1000</f>
        <v>1.2715315199999997</v>
      </c>
      <c r="C38" s="1">
        <f>C37/1000</f>
        <v>5.5099699199999996</v>
      </c>
      <c r="D38" s="497">
        <f>D37/1000</f>
        <v>6.8168217599999998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30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T39" t="s">
        <v>682</v>
      </c>
      <c r="Z39">
        <v>2018</v>
      </c>
    </row>
    <row r="40" spans="1:30" ht="15" x14ac:dyDescent="0.25">
      <c r="A40" s="555" t="s">
        <v>644</v>
      </c>
      <c r="B40" s="555"/>
      <c r="C40" s="555"/>
      <c r="D40" s="55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t="s">
        <v>8</v>
      </c>
      <c r="T40" t="s">
        <v>683</v>
      </c>
      <c r="V40">
        <v>101.7</v>
      </c>
      <c r="W40" s="5" t="s">
        <v>16</v>
      </c>
      <c r="Y40" t="s">
        <v>686</v>
      </c>
      <c r="Z40">
        <v>4.6900000000000004</v>
      </c>
      <c r="AA40" t="s">
        <v>16</v>
      </c>
    </row>
    <row r="41" spans="1:30" ht="15" x14ac:dyDescent="0.25">
      <c r="A41" s="479" t="s">
        <v>646</v>
      </c>
      <c r="B41" s="479">
        <v>2015</v>
      </c>
      <c r="C41" s="5"/>
      <c r="D41" s="479">
        <v>2030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 t="s">
        <v>685</v>
      </c>
      <c r="T41" s="5" t="s">
        <v>684</v>
      </c>
      <c r="U41" s="5"/>
      <c r="V41">
        <v>26.74</v>
      </c>
      <c r="W41" s="5" t="s">
        <v>16</v>
      </c>
      <c r="Y41" t="s">
        <v>687</v>
      </c>
      <c r="Z41">
        <v>37.79</v>
      </c>
      <c r="AA41" t="s">
        <v>16</v>
      </c>
    </row>
    <row r="42" spans="1:30" ht="15" x14ac:dyDescent="0.25">
      <c r="A42" s="5" t="s">
        <v>671</v>
      </c>
      <c r="B42" s="1">
        <f>F3</f>
        <v>15.856999999999999</v>
      </c>
      <c r="C42" s="5"/>
      <c r="D42" s="498">
        <f>B42</f>
        <v>15.856999999999999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V42">
        <f>SUM(V40:V41)</f>
        <v>128.44</v>
      </c>
      <c r="W42" t="s">
        <v>16</v>
      </c>
      <c r="Y42" t="s">
        <v>688</v>
      </c>
      <c r="Z42">
        <v>59.22</v>
      </c>
      <c r="AA42" t="s">
        <v>16</v>
      </c>
    </row>
    <row r="43" spans="1:30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30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30" ht="15" x14ac:dyDescent="0.25">
      <c r="A45" s="555" t="s">
        <v>672</v>
      </c>
      <c r="B45" s="555"/>
      <c r="C45" s="555"/>
      <c r="D45" s="55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30" ht="15" x14ac:dyDescent="0.25">
      <c r="A46" s="479" t="s">
        <v>646</v>
      </c>
      <c r="B46" s="479">
        <v>2018</v>
      </c>
      <c r="C46" s="479">
        <v>2020</v>
      </c>
      <c r="D46" s="479">
        <v>2030</v>
      </c>
      <c r="E46" s="5"/>
      <c r="F46" s="479" t="s">
        <v>673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30" x14ac:dyDescent="0.2">
      <c r="A47" s="5" t="s">
        <v>674</v>
      </c>
      <c r="B47" s="5">
        <v>400</v>
      </c>
      <c r="C47" s="5">
        <v>700</v>
      </c>
      <c r="D47" s="5">
        <v>1400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Y47" s="5" t="s">
        <v>690</v>
      </c>
    </row>
    <row r="48" spans="1:30" ht="30" customHeight="1" x14ac:dyDescent="0.25">
      <c r="A48" s="483" t="s">
        <v>675</v>
      </c>
      <c r="B48" s="484">
        <v>0.5</v>
      </c>
      <c r="C48" s="484">
        <f>B48</f>
        <v>0.5</v>
      </c>
      <c r="D48" s="484">
        <f>C48</f>
        <v>0.5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Y48" t="s">
        <v>689</v>
      </c>
      <c r="Z48" s="556" t="s">
        <v>627</v>
      </c>
      <c r="AA48" s="557"/>
      <c r="AB48" s="557"/>
    </row>
    <row r="49" spans="1:28" x14ac:dyDescent="0.2">
      <c r="A49" s="5" t="s">
        <v>676</v>
      </c>
      <c r="B49" s="5">
        <f>B48*B47</f>
        <v>200</v>
      </c>
      <c r="C49" s="5">
        <f t="shared" ref="C49:D49" si="1">C48*C47</f>
        <v>350</v>
      </c>
      <c r="D49" s="5">
        <f t="shared" si="1"/>
        <v>700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 t="s">
        <v>686</v>
      </c>
      <c r="Z49" s="5">
        <v>0.35792764326805798</v>
      </c>
    </row>
    <row r="50" spans="1:28" x14ac:dyDescent="0.2">
      <c r="A50" s="5" t="s">
        <v>677</v>
      </c>
      <c r="B50" s="410">
        <v>1</v>
      </c>
      <c r="C50" s="410">
        <f>B50</f>
        <v>1</v>
      </c>
      <c r="D50" s="410">
        <f>C50</f>
        <v>1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 t="s">
        <v>687</v>
      </c>
      <c r="Z50" s="5">
        <v>0.5922178577259587</v>
      </c>
    </row>
    <row r="51" spans="1:28" x14ac:dyDescent="0.2">
      <c r="A51" s="5" t="s">
        <v>678</v>
      </c>
      <c r="B51" s="5">
        <f>B49*B50*8760</f>
        <v>1752000</v>
      </c>
      <c r="C51" s="5">
        <f>C49*C50*8760</f>
        <v>3066000</v>
      </c>
      <c r="D51" s="5">
        <f>D49*D50*8760</f>
        <v>6132000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 t="s">
        <v>688</v>
      </c>
      <c r="Z51" s="5">
        <v>5.2470383697893502E-2</v>
      </c>
    </row>
    <row r="52" spans="1:28" x14ac:dyDescent="0.2">
      <c r="A52" s="5" t="s">
        <v>679</v>
      </c>
      <c r="B52" s="480">
        <f>B51/10^6</f>
        <v>1.752</v>
      </c>
      <c r="C52" s="480">
        <f>C51/10^6</f>
        <v>3.0659999999999998</v>
      </c>
      <c r="D52" s="480">
        <f>D51/10^6</f>
        <v>6.1319999999999997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499" t="s">
        <v>694</v>
      </c>
      <c r="Z52">
        <f>V41*AD33*Y32</f>
        <v>1.4264030225145681</v>
      </c>
      <c r="AB52" s="5">
        <f>V41*(AD33/Y32)</f>
        <v>211.79088674913027</v>
      </c>
    </row>
    <row r="53" spans="1:28" ht="15" x14ac:dyDescent="0.25">
      <c r="A53" s="5" t="s">
        <v>680</v>
      </c>
      <c r="B53" s="465">
        <f>B52*3600</f>
        <v>6307.2</v>
      </c>
      <c r="C53" s="465">
        <f>C52*3600</f>
        <v>11037.599999999999</v>
      </c>
      <c r="D53" s="465">
        <f>D52*3600</f>
        <v>22075.199999999997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t="s">
        <v>691</v>
      </c>
      <c r="Z53" s="556" t="s">
        <v>626</v>
      </c>
      <c r="AA53" s="557"/>
      <c r="AB53" s="557"/>
    </row>
    <row r="54" spans="1:28" x14ac:dyDescent="0.2">
      <c r="A54" s="5" t="s">
        <v>681</v>
      </c>
      <c r="B54" s="1">
        <f>B53/1000</f>
        <v>6.3071999999999999</v>
      </c>
      <c r="C54" s="1">
        <f>C53/1000</f>
        <v>11.037599999999999</v>
      </c>
      <c r="D54" s="497">
        <f>D53/1000</f>
        <v>22.075199999999999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 t="s">
        <v>686</v>
      </c>
      <c r="Z54">
        <v>0.31966635214720912</v>
      </c>
      <c r="AA54" s="5"/>
    </row>
    <row r="55" spans="1:28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 t="s">
        <v>687</v>
      </c>
      <c r="Z55">
        <v>0.60404221809878245</v>
      </c>
      <c r="AA55" s="5"/>
    </row>
    <row r="56" spans="1:28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 t="s">
        <v>688</v>
      </c>
      <c r="Z56" s="5">
        <v>7.6291429754008364E-2</v>
      </c>
      <c r="AA56" s="5"/>
    </row>
    <row r="57" spans="1:28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Y57" s="499" t="s">
        <v>694</v>
      </c>
      <c r="AA57" s="5"/>
    </row>
    <row r="58" spans="1:28" ht="15" x14ac:dyDescent="0.25">
      <c r="A58" s="485" t="str">
        <f>A54</f>
        <v>Excess Heat Production (PJ)</v>
      </c>
      <c r="B58" s="485">
        <v>2020</v>
      </c>
      <c r="C58" s="485">
        <v>2030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8" ht="60" customHeight="1" x14ac:dyDescent="0.25">
      <c r="A59" s="486" t="str">
        <f>A7</f>
        <v>Power Plants</v>
      </c>
      <c r="B59" s="487">
        <f>C16</f>
        <v>55.12319999999999</v>
      </c>
      <c r="C59" s="487">
        <f>D16</f>
        <v>31.363200000000003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Y59" t="s">
        <v>692</v>
      </c>
      <c r="Z59" s="556" t="s">
        <v>693</v>
      </c>
      <c r="AA59" s="557"/>
      <c r="AB59" s="557"/>
    </row>
    <row r="60" spans="1:28" x14ac:dyDescent="0.2">
      <c r="A60" s="486" t="str">
        <f>A18</f>
        <v>Excess Renewable Electricity via Heat Pump</v>
      </c>
      <c r="B60" s="488">
        <f>C26</f>
        <v>20.047670103092784</v>
      </c>
      <c r="C60" s="488">
        <f>D26</f>
        <v>30.491999999999997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Y60" s="5" t="s">
        <v>686</v>
      </c>
      <c r="Z60">
        <v>0.20014125552486003</v>
      </c>
    </row>
    <row r="61" spans="1:28" x14ac:dyDescent="0.2">
      <c r="A61" s="486" t="str">
        <f>A28</f>
        <v>Waste Incinteration</v>
      </c>
      <c r="B61" s="487">
        <f>C38</f>
        <v>5.5099699199999996</v>
      </c>
      <c r="C61" s="487">
        <f>D38</f>
        <v>6.8168217599999998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Y61" s="5" t="s">
        <v>687</v>
      </c>
      <c r="Z61">
        <v>0.54761388560430635</v>
      </c>
    </row>
    <row r="62" spans="1:28" x14ac:dyDescent="0.2">
      <c r="A62" s="486" t="str">
        <f>A40</f>
        <v>Industrial Excess Heat</v>
      </c>
      <c r="B62" s="487">
        <f>B42</f>
        <v>15.856999999999999</v>
      </c>
      <c r="C62" s="487">
        <f>D42</f>
        <v>15.856999999999999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Y62" s="5" t="s">
        <v>688</v>
      </c>
      <c r="Z62" s="5">
        <v>0.25224485887083364</v>
      </c>
    </row>
    <row r="63" spans="1:28" ht="13.5" thickBot="1" x14ac:dyDescent="0.25">
      <c r="A63" s="489" t="str">
        <f>A45</f>
        <v>Data Centres</v>
      </c>
      <c r="B63" s="490">
        <f>C54</f>
        <v>11.037599999999999</v>
      </c>
      <c r="C63" s="490">
        <f>D54</f>
        <v>22.075199999999999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Y63" s="499" t="s">
        <v>694</v>
      </c>
    </row>
    <row r="64" spans="1:28" ht="15.75" thickTop="1" x14ac:dyDescent="0.25">
      <c r="A64" s="491" t="s">
        <v>284</v>
      </c>
      <c r="B64" s="492">
        <f>SUM(B59:B63)</f>
        <v>107.57544002309277</v>
      </c>
      <c r="C64" s="492">
        <f>SUM(C59:C63)</f>
        <v>106.60422175999999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x14ac:dyDescent="0.2">
      <c r="S82" s="5"/>
      <c r="T82" s="5"/>
      <c r="U82" s="5"/>
      <c r="V82" s="5"/>
    </row>
    <row r="83" spans="1:22" x14ac:dyDescent="0.2">
      <c r="S83" s="5"/>
      <c r="T83" s="5"/>
      <c r="U83" s="5"/>
      <c r="V83" s="5"/>
    </row>
    <row r="84" spans="1:22" x14ac:dyDescent="0.2">
      <c r="S84" s="5"/>
      <c r="T84" s="5"/>
      <c r="U84" s="5"/>
      <c r="V84" s="5"/>
    </row>
    <row r="85" spans="1:22" x14ac:dyDescent="0.2">
      <c r="S85" s="5"/>
      <c r="T85" s="5"/>
      <c r="U85" s="5"/>
      <c r="V85" s="5"/>
    </row>
    <row r="86" spans="1:22" x14ac:dyDescent="0.2">
      <c r="S86" s="5"/>
      <c r="T86" s="5"/>
      <c r="U86" s="5"/>
      <c r="V86" s="5"/>
    </row>
    <row r="87" spans="1:22" x14ac:dyDescent="0.2">
      <c r="S87" s="5"/>
      <c r="T87" s="5"/>
      <c r="U87" s="5"/>
      <c r="V87" s="5"/>
    </row>
    <row r="88" spans="1:22" x14ac:dyDescent="0.2">
      <c r="S88" s="5"/>
      <c r="T88" s="5"/>
      <c r="U88" s="5"/>
      <c r="V88" s="5"/>
    </row>
    <row r="89" spans="1:22" x14ac:dyDescent="0.2">
      <c r="S89" s="5"/>
      <c r="T89" s="5"/>
      <c r="U89" s="5"/>
      <c r="V89" s="5"/>
    </row>
    <row r="90" spans="1:22" x14ac:dyDescent="0.2">
      <c r="S90" s="5"/>
      <c r="T90" s="5"/>
      <c r="U90" s="5"/>
      <c r="V90" s="5"/>
    </row>
    <row r="91" spans="1:22" x14ac:dyDescent="0.2">
      <c r="S91" s="5"/>
      <c r="T91" s="5"/>
      <c r="U91" s="5"/>
      <c r="V91" s="5"/>
    </row>
    <row r="92" spans="1:22" x14ac:dyDescent="0.2">
      <c r="S92" s="5"/>
      <c r="T92" s="5"/>
      <c r="U92" s="5"/>
      <c r="V92" s="5"/>
    </row>
    <row r="93" spans="1:22" x14ac:dyDescent="0.2">
      <c r="S93" s="5"/>
      <c r="T93" s="5"/>
      <c r="U93" s="5"/>
      <c r="V93" s="5"/>
    </row>
    <row r="94" spans="1:22" x14ac:dyDescent="0.2">
      <c r="S94" s="5"/>
      <c r="T94" s="5"/>
      <c r="U94" s="5"/>
      <c r="V94" s="5"/>
    </row>
    <row r="95" spans="1:22" x14ac:dyDescent="0.2">
      <c r="S95" s="5"/>
      <c r="T95" s="5"/>
      <c r="U95" s="5"/>
      <c r="V95" s="5"/>
    </row>
    <row r="96" spans="1:22" x14ac:dyDescent="0.2">
      <c r="S96" s="5"/>
      <c r="T96" s="5"/>
      <c r="U96" s="5"/>
      <c r="V96" s="5"/>
    </row>
    <row r="97" spans="19:22" x14ac:dyDescent="0.2">
      <c r="S97" s="5"/>
      <c r="T97" s="5"/>
      <c r="U97" s="5"/>
      <c r="V97" s="5"/>
    </row>
    <row r="98" spans="19:22" x14ac:dyDescent="0.2">
      <c r="S98" s="5"/>
      <c r="T98" s="5"/>
      <c r="U98" s="5"/>
      <c r="V98" s="5"/>
    </row>
    <row r="99" spans="19:22" x14ac:dyDescent="0.2">
      <c r="S99" s="5"/>
      <c r="T99" s="5"/>
      <c r="U99" s="5"/>
      <c r="V99" s="5"/>
    </row>
    <row r="100" spans="19:22" x14ac:dyDescent="0.2">
      <c r="S100" s="5"/>
      <c r="T100" s="5"/>
      <c r="U100" s="5"/>
      <c r="V100" s="5"/>
    </row>
    <row r="101" spans="19:22" x14ac:dyDescent="0.2">
      <c r="S101" s="5"/>
      <c r="T101" s="5"/>
      <c r="U101" s="5"/>
      <c r="V101" s="5"/>
    </row>
    <row r="102" spans="19:22" x14ac:dyDescent="0.2">
      <c r="S102" s="5"/>
      <c r="T102" s="5"/>
      <c r="U102" s="5"/>
      <c r="V102" s="5"/>
    </row>
    <row r="103" spans="19:22" x14ac:dyDescent="0.2">
      <c r="S103" s="5"/>
      <c r="T103" s="5"/>
      <c r="U103" s="5"/>
      <c r="V103" s="5"/>
    </row>
    <row r="104" spans="19:22" x14ac:dyDescent="0.2">
      <c r="S104" s="5"/>
      <c r="T104" s="5"/>
      <c r="U104" s="5"/>
      <c r="V104" s="5"/>
    </row>
    <row r="105" spans="19:22" x14ac:dyDescent="0.2">
      <c r="S105" s="5"/>
      <c r="T105" s="5"/>
      <c r="U105" s="5"/>
      <c r="V105" s="5"/>
    </row>
    <row r="106" spans="19:22" x14ac:dyDescent="0.2">
      <c r="S106" s="5"/>
      <c r="T106" s="5"/>
      <c r="U106" s="5"/>
      <c r="V106" s="5"/>
    </row>
    <row r="107" spans="19:22" x14ac:dyDescent="0.2">
      <c r="S107" s="5"/>
      <c r="T107" s="5"/>
      <c r="U107" s="5"/>
      <c r="V107" s="5"/>
    </row>
    <row r="108" spans="19:22" x14ac:dyDescent="0.2">
      <c r="S108" s="5"/>
      <c r="T108" s="5"/>
      <c r="U108" s="5"/>
      <c r="V108" s="5"/>
    </row>
    <row r="109" spans="19:22" x14ac:dyDescent="0.2">
      <c r="S109" s="5"/>
      <c r="T109" s="5"/>
      <c r="U109" s="5"/>
      <c r="V109" s="5"/>
    </row>
    <row r="110" spans="19:22" x14ac:dyDescent="0.2">
      <c r="S110" s="5"/>
      <c r="T110" s="5"/>
      <c r="U110" s="5"/>
      <c r="V110" s="5"/>
    </row>
    <row r="111" spans="19:22" x14ac:dyDescent="0.2">
      <c r="S111" s="5"/>
      <c r="T111" s="5"/>
      <c r="U111" s="5"/>
      <c r="V111" s="5"/>
    </row>
    <row r="112" spans="19:22" x14ac:dyDescent="0.2">
      <c r="S112" s="5"/>
      <c r="T112" s="5"/>
      <c r="U112" s="5"/>
      <c r="V112" s="5"/>
    </row>
    <row r="113" spans="19:22" x14ac:dyDescent="0.2">
      <c r="S113" s="5"/>
      <c r="T113" s="5"/>
      <c r="U113" s="5"/>
      <c r="V113" s="5"/>
    </row>
    <row r="114" spans="19:22" x14ac:dyDescent="0.2">
      <c r="S114" s="5"/>
      <c r="T114" s="5"/>
      <c r="U114" s="5"/>
      <c r="V114" s="5"/>
    </row>
    <row r="115" spans="19:22" x14ac:dyDescent="0.2">
      <c r="S115" s="5"/>
      <c r="T115" s="5"/>
      <c r="U115" s="5"/>
      <c r="V115" s="5"/>
    </row>
    <row r="116" spans="19:22" x14ac:dyDescent="0.2">
      <c r="S116" s="5"/>
      <c r="T116" s="5"/>
      <c r="U116" s="5"/>
      <c r="V116" s="5"/>
    </row>
    <row r="117" spans="19:22" x14ac:dyDescent="0.2">
      <c r="S117" s="5"/>
      <c r="T117" s="5"/>
      <c r="U117" s="5"/>
      <c r="V117" s="5"/>
    </row>
    <row r="118" spans="19:22" x14ac:dyDescent="0.2">
      <c r="S118" s="5"/>
      <c r="T118" s="5"/>
      <c r="U118" s="5"/>
      <c r="V118" s="5"/>
    </row>
    <row r="119" spans="19:22" x14ac:dyDescent="0.2">
      <c r="S119" s="5"/>
      <c r="T119" s="5"/>
      <c r="U119" s="5"/>
      <c r="V119" s="5"/>
    </row>
    <row r="120" spans="19:22" x14ac:dyDescent="0.2">
      <c r="S120" s="5"/>
      <c r="T120" s="5"/>
      <c r="U120" s="5"/>
      <c r="V120" s="5"/>
    </row>
    <row r="121" spans="19:22" x14ac:dyDescent="0.2">
      <c r="S121" s="5"/>
      <c r="T121" s="5"/>
      <c r="U121" s="5"/>
      <c r="V121" s="5"/>
    </row>
  </sheetData>
  <mergeCells count="11">
    <mergeCell ref="A28:D28"/>
    <mergeCell ref="A1:A2"/>
    <mergeCell ref="B1:F1"/>
    <mergeCell ref="G1:K1"/>
    <mergeCell ref="A7:D7"/>
    <mergeCell ref="A18:D18"/>
    <mergeCell ref="A40:D40"/>
    <mergeCell ref="A45:D45"/>
    <mergeCell ref="Z59:AB59"/>
    <mergeCell ref="Z53:AB53"/>
    <mergeCell ref="Z48:AB48"/>
  </mergeCells>
  <phoneticPr fontId="56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Cover_old</vt:lpstr>
      <vt:lpstr>Intro</vt:lpstr>
      <vt:lpstr>RSD_Building</vt:lpstr>
      <vt:lpstr>RSD_Heating</vt:lpstr>
      <vt:lpstr>RSD_Cook+App</vt:lpstr>
      <vt:lpstr>RSD_Light+Pumps+Fans</vt:lpstr>
      <vt:lpstr>JRC_Data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2021-11-10T21:08:57Z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89409708976745</vt:r8>
  </property>
</Properties>
</file>