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31D8C5CE-366D-40AE-8F99-9C2422D783A8}" xr6:coauthVersionLast="45" xr6:coauthVersionMax="46" xr10:uidLastSave="{00000000-0000-0000-0000-000000000000}"/>
  <bookViews>
    <workbookView xWindow="-120" yWindow="-16320" windowWidth="29040" windowHeight="15840" activeTab="9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  <sheet name="DistrictHeating" sheetId="61" r:id="rId10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52" i="61" l="1"/>
  <c r="Z52" i="61"/>
  <c r="V59" i="61"/>
  <c r="V60" i="61"/>
  <c r="V61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W106" i="55" l="1"/>
  <c r="X106" i="55"/>
  <c r="Y106" i="55"/>
  <c r="V106" i="55"/>
  <c r="W105" i="55"/>
  <c r="X105" i="55"/>
  <c r="Y105" i="55"/>
  <c r="V105" i="55"/>
  <c r="V57" i="55"/>
  <c r="C83" i="55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Y108" i="55"/>
  <c r="X108" i="55"/>
  <c r="W108" i="55"/>
  <c r="V108" i="55"/>
  <c r="S108" i="55"/>
  <c r="R108" i="55"/>
  <c r="Q108" i="55"/>
  <c r="P108" i="55"/>
  <c r="Z107" i="55"/>
  <c r="Y107" i="55"/>
  <c r="X107" i="55"/>
  <c r="W107" i="55"/>
  <c r="V107" i="55"/>
  <c r="S107" i="55"/>
  <c r="R107" i="55"/>
  <c r="Q107" i="55"/>
  <c r="P107" i="55"/>
  <c r="S106" i="55"/>
  <c r="R106" i="55"/>
  <c r="Q106" i="55"/>
  <c r="P106" i="55"/>
  <c r="W58" i="55"/>
  <c r="X58" i="55"/>
  <c r="Y58" i="55"/>
  <c r="V58" i="55"/>
  <c r="W57" i="55"/>
  <c r="X57" i="55"/>
  <c r="Y57" i="55"/>
  <c r="V47" i="55"/>
  <c r="AF59" i="55" l="1"/>
  <c r="S58" i="55"/>
  <c r="R58" i="55"/>
  <c r="Q58" i="55"/>
  <c r="P58" i="55"/>
  <c r="Z60" i="55"/>
  <c r="Z59" i="55"/>
  <c r="W60" i="55"/>
  <c r="X60" i="55"/>
  <c r="Y60" i="55"/>
  <c r="V60" i="55"/>
  <c r="W59" i="55"/>
  <c r="X59" i="55"/>
  <c r="Y59" i="55"/>
  <c r="V59" i="55"/>
  <c r="W123" i="55" l="1"/>
  <c r="X123" i="55"/>
  <c r="Y123" i="55"/>
  <c r="V123" i="55"/>
  <c r="W28" i="55"/>
  <c r="X28" i="55"/>
  <c r="Y28" i="55"/>
  <c r="V28" i="55"/>
  <c r="W75" i="55"/>
  <c r="X75" i="55"/>
  <c r="Y75" i="55"/>
  <c r="V75" i="55"/>
  <c r="V110" i="55" l="1"/>
  <c r="W125" i="55" l="1"/>
  <c r="X125" i="55"/>
  <c r="Y125" i="55"/>
  <c r="W126" i="55"/>
  <c r="X126" i="55"/>
  <c r="Y126" i="55"/>
  <c r="V126" i="55"/>
  <c r="V125" i="55"/>
  <c r="W101" i="55" l="1"/>
  <c r="X101" i="55"/>
  <c r="Y101" i="55"/>
  <c r="V101" i="55"/>
  <c r="Z102" i="55"/>
  <c r="Z101" i="55"/>
  <c r="W54" i="55"/>
  <c r="X54" i="55"/>
  <c r="Y54" i="55"/>
  <c r="V54" i="55"/>
  <c r="V50" i="55"/>
  <c r="Z54" i="55"/>
  <c r="Z53" i="55"/>
  <c r="W53" i="55"/>
  <c r="X53" i="55"/>
  <c r="Y53" i="55"/>
  <c r="V53" i="55"/>
  <c r="Z12" i="55"/>
  <c r="Z11" i="55"/>
  <c r="W11" i="55"/>
  <c r="X11" i="55"/>
  <c r="Y11" i="55"/>
  <c r="V12" i="55"/>
  <c r="V11" i="55"/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V25" i="55"/>
  <c r="AM106" i="55"/>
  <c r="AM105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X97" i="55"/>
  <c r="Y97" i="55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Y49" i="55"/>
  <c r="V49" i="55"/>
  <c r="Z47" i="55"/>
  <c r="Z48" i="55"/>
  <c r="Y20" i="55"/>
  <c r="W20" i="55"/>
  <c r="X20" i="55" s="1"/>
  <c r="W93" i="55" l="1"/>
  <c r="V93" i="55"/>
  <c r="X93" i="55"/>
  <c r="Y93" i="55"/>
  <c r="V45" i="55"/>
  <c r="Y45" i="55"/>
  <c r="X45" i="55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AM107" i="55"/>
  <c r="AL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V94" i="55"/>
  <c r="V102" i="55"/>
  <c r="Y102" i="55"/>
  <c r="Y94" i="55"/>
  <c r="X94" i="55"/>
  <c r="X102" i="55"/>
  <c r="Y46" i="55"/>
  <c r="W46" i="55"/>
  <c r="W94" i="55"/>
  <c r="W102" i="55"/>
  <c r="V46" i="55"/>
  <c r="V147" i="55"/>
  <c r="U148" i="55"/>
  <c r="W131" i="55" l="1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<sst xmlns="http://schemas.openxmlformats.org/spreadsheetml/2006/main" count="3617" uniqueCount="1120">
  <si>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</si>
  <si>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</si>
  <si>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</si>
  <si>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</si>
  <si>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</si>
  <si>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</si>
  <si>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</si>
  <si>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</si>
  <si>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</si>
  <si>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</si>
  <si>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</si>
  <si>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</si>
  <si>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</si>
  <si>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</si>
  <si>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</si>
  <si>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</si>
  <si>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</si>
  <si>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</si>
  <si>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</si>
  <si>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</si>
  <si>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</si>
  <si>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</si>
  <si>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</si>
  <si>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</si>
  <si>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</si>
  <si>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</si>
  <si>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</si>
  <si>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</si>
  <si>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</si>
  <si>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</si>
  <si>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</si>
  <si>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</si>
  <si>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</si>
  <si>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</si>
  <si>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</si>
  <si>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</si>
  <si>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</si>
  <si>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</si>
  <si>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</si>
  <si>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</si>
  <si>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</si>
  <si>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</si>
  <si>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</si>
  <si>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</si>
  <si>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</si>
  <si>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</si>
  <si>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</si>
  <si>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</si>
  <si>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</si>
  <si>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</si>
  <si>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</si>
  <si>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</si>
  <si>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</si>
  <si>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</si>
  <si>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</si>
  <si>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</si>
  <si>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</si>
  <si>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</si>
  <si>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</si>
  <si>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</si>
  <si>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</si>
  <si>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</si>
  <si>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</si>
  <si>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</si>
  <si>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</si>
  <si>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</si>
  <si>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</si>
  <si>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</si>
  <si>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</si>
  <si>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</si>
  <si>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</si>
  <si>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</si>
  <si>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</si>
  <si>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</si>
  <si>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</si>
  <si>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</si>
  <si>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</si>
  <si>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</si>
  <si>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</si>
  <si>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</si>
  <si>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</si>
  <si>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</si>
  <si>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</si>
  <si>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</si>
  <si>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</si>
  <si>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</si>
  <si>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</si>
  <si>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</si>
  <si>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</si>
  <si>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</si>
  <si>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</si>
  <si>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</si>
  <si>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</si>
  <si>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</si>
  <si>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</si>
  <si>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</si>
  <si>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</si>
  <si>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</si>
  <si>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</si>
  <si>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</si>
  <si>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</si>
  <si>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</si>
  <si>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</si>
  <si>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</si>
  <si>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</si>
  <si>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</si>
  <si>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</si>
  <si>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</si>
  <si>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</si>
  <si>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</si>
  <si>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</si>
  <si>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</si>
  <si>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</si>
  <si>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</si>
  <si>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</si>
  <si>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</si>
  <si>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</si>
  <si>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</si>
  <si>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</si>
  <si>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</si>
  <si>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</si>
  <si>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</si>
  <si>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</si>
  <si>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</si>
  <si>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</si>
  <si>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</si>
  <si>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</si>
  <si>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</si>
  <si>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</si>
  <si>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</si>
  <si>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</si>
  <si>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</si>
  <si>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</si>
  <si>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</si>
  <si>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</si>
  <si>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</si>
  <si>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</si>
  <si>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</si>
  <si>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</si>
  <si>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</si>
  <si>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</si>
  <si>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</si>
  <si>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</si>
  <si>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</si>
  <si>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</si>
  <si>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</si>
  <si>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</si>
  <si>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</si>
  <si>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</si>
  <si>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</si>
  <si>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</si>
  <si>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</si>
  <si>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</si>
  <si>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</si>
  <si>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</si>
  <si>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</si>
  <si>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</si>
  <si>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</si>
  <si>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</si>
  <si>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</si>
  <si>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</si>
  <si>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</si>
  <si>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</si>
  <si>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</si>
  <si>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</si>
  <si>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</si>
  <si>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</si>
  <si>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</si>
  <si>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</si>
  <si>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</si>
  <si>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</si>
  <si>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</si>
  <si>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</si>
  <si>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</si>
  <si>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</si>
  <si>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</si>
  <si>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</si>
  <si>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</si>
  <si>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</si>
  <si>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</si>
  <si>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</si>
  <si>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</si>
  <si>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</si>
  <si>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</si>
  <si>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</si>
  <si>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</si>
  <si>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</si>
  <si>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</si>
  <si>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</si>
  <si>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</si>
  <si>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</si>
  <si>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</si>
  <si>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</si>
  <si>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</si>
  <si>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</si>
  <si>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</si>
  <si>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</si>
  <si>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</si>
  <si>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</si>
  <si>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</si>
  <si>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</si>
  <si>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</si>
  <si>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</si>
  <si>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</si>
  <si>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</si>
  <si>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</si>
  <si>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</si>
  <si>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</si>
  <si>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</si>
  <si>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</si>
  <si>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</si>
  <si>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</si>
  <si>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</si>
  <si>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</si>
  <si>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</si>
  <si>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</si>
  <si>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</si>
  <si>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</si>
  <si>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</si>
  <si>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</si>
  <si>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</si>
  <si>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</si>
  <si>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</si>
  <si>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</si>
  <si>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</si>
  <si>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</si>
  <si>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</si>
  <si>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</si>
  <si>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</si>
  <si>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</si>
  <si>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</si>
  <si>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</si>
  <si>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</si>
  <si>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</si>
  <si>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</si>
  <si>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</si>
  <si>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</si>
  <si>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</si>
  <si>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</si>
  <si>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</si>
  <si>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</si>
  <si>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</si>
  <si>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</si>
  <si>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</si>
  <si>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</si>
  <si>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</si>
  <si>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</si>
  <si>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</si>
  <si>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</si>
  <si>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</si>
  <si>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</si>
  <si>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</si>
  <si>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</si>
  <si>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</si>
  <si>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</si>
  <si>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</si>
  <si>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</si>
  <si>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</si>
  <si>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</si>
  <si>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</si>
  <si>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</si>
  <si>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</si>
  <si>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</si>
  <si>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</si>
  <si>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</si>
  <si>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</si>
  <si>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</si>
  <si>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</si>
  <si>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</si>
  <si>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</si>
  <si>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</si>
  <si>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</si>
  <si>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</si>
  <si>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</si>
  <si>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</si>
  <si>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</si>
  <si>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</si>
  <si>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</si>
  <si>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</si>
  <si>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</si>
  <si>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</si>
  <si>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</si>
  <si>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</si>
  <si>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</si>
  <si>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</si>
  <si>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</si>
  <si>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</si>
  <si>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</si>
  <si>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</si>
  <si>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</si>
  <si>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</si>
  <si>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</si>
  <si>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</si>
  <si>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</si>
  <si>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</si>
  <si>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</si>
  <si>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</si>
  <si>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</si>
  <si>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</si>
  <si>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</si>
  <si>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</si>
  <si>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</si>
  <si>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</si>
  <si>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</si>
  <si>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</si>
  <si>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</si>
  <si>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</si>
  <si>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</si>
  <si>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</si>
  <si>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</si>
  <si>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</si>
  <si>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</si>
  <si>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</si>
  <si>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</si>
  <si>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</si>
  <si>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</si>
  <si>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</si>
  <si>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</si>
  <si>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</si>
  <si>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</si>
  <si>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</si>
  <si>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</si>
  <si>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</si>
  <si>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</si>
  <si>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</si>
  <si>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</si>
  <si>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</si>
  <si>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</si>
  <si>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</si>
  <si>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</si>
  <si>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</si>
  <si>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</si>
  <si>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</si>
  <si>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</si>
  <si>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</si>
  <si>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</si>
  <si>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</si>
  <si>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</si>
  <si>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</si>
  <si>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</si>
  <si>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</si>
  <si>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</si>
  <si>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</si>
  <si>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</si>
  <si>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</si>
  <si>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</si>
  <si>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</si>
  <si>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</si>
  <si>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</si>
  <si>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</si>
  <si>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</si>
  <si>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</si>
  <si>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</si>
  <si>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</si>
  <si>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</si>
  <si>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</si>
  <si>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</si>
  <si>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</si>
  <si>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</si>
  <si>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</si>
  <si>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</si>
  <si>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</si>
  <si>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</si>
  <si>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</si>
  <si>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</si>
  <si>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</si>
  <si>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</si>
  <si>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</si>
  <si>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</si>
  <si>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</si>
  <si>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</si>
  <si>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</si>
  <si>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</si>
  <si>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</si>
  <si>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</si>
  <si>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</si>
  <si>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</si>
  <si>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</si>
  <si>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</si>
  <si>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</si>
  <si>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</si>
  <si>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</si>
  <si>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</si>
  <si>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</si>
  <si>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</si>
  <si>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</si>
  <si>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</si>
  <si>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</si>
  <si>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</si>
  <si>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</si>
  <si>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</si>
  <si>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</si>
  <si>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</si>
  <si>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</si>
  <si>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</si>
  <si>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</si>
  <si>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</si>
  <si>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</si>
  <si>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</si>
  <si>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</si>
  <si>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</si>
  <si>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</si>
  <si>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</si>
  <si>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</si>
  <si>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</si>
  <si>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</si>
  <si>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</si>
  <si>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</si>
  <si>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</si>
  <si>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</si>
  <si>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</si>
  <si>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</si>
  <si>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</si>
  <si>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</si>
  <si>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</si>
  <si>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</si>
  <si>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</si>
  <si>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</si>
  <si>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</si>
  <si>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</si>
  <si>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</si>
  <si>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</si>
  <si>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</si>
  <si>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</si>
  <si>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</si>
  <si>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</si>
  <si>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</si>
  <si>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</si>
  <si>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</si>
  <si>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</si>
  <si>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</si>
  <si>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</si>
  <si>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</si>
  <si>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</si>
  <si>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</si>
  <si>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</si>
  <si>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</si>
  <si>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</si>
  <si>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</si>
  <si>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</si>
  <si>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</si>
  <si>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</si>
  <si>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</si>
  <si>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</si>
  <si>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</si>
  <si>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</si>
  <si>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</si>
  <si>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</si>
  <si>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</si>
  <si>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</si>
  <si>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</si>
  <si>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</si>
  <si>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</si>
  <si>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</si>
  <si>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</si>
  <si>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</si>
  <si>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</si>
  <si>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</si>
  <si>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</si>
  <si>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</si>
  <si>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</si>
  <si>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</si>
  <si>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</si>
  <si>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</si>
  <si>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</si>
  <si>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</si>
  <si>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</si>
  <si>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</si>
  <si>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</si>
  <si>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</si>
  <si>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</si>
  <si>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</si>
  <si>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</si>
  <si>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</si>
  <si>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</si>
  <si>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</si>
  <si>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</si>
  <si>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</si>
  <si>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</si>
  <si>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</si>
  <si>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</si>
  <si>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</si>
  <si>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</si>
  <si>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</si>
  <si>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</si>
  <si>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</si>
  <si>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</si>
  <si>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</si>
  <si>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</si>
  <si>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</si>
  <si>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</si>
  <si>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</si>
  <si>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</si>
  <si>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</si>
  <si>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</si>
  <si>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</si>
  <si>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</si>
  <si>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</si>
  <si>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</si>
  <si>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</si>
  <si>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</si>
  <si>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</si>
  <si>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</si>
  <si>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</si>
  <si>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</si>
  <si>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</si>
  <si>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</si>
  <si>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</si>
  <si>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</si>
  <si>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</si>
  <si>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</si>
  <si>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</si>
  <si>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</si>
  <si>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</si>
  <si>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</si>
  <si>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</si>
  <si>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</si>
  <si>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</si>
  <si>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</si>
  <si>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</si>
  <si>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</si>
  <si>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</si>
  <si>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</si>
  <si>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</si>
  <si>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</si>
  <si>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</si>
  <si>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</si>
  <si>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</si>
  <si>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</si>
  <si>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</si>
  <si>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</si>
  <si>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</si>
  <si>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</si>
  <si>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</si>
  <si>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</si>
  <si>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</si>
  <si>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</si>
  <si>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</si>
  <si>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</si>
  <si>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</si>
  <si>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</si>
  <si>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</si>
  <si>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</si>
  <si>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</si>
  <si>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</si>
  <si>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</si>
  <si>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</si>
  <si>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</si>
  <si>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</si>
  <si>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</si>
  <si>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</si>
  <si>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</si>
  <si>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</si>
  <si>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</si>
  <si>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</si>
  <si>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</si>
  <si>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</si>
  <si>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</si>
  <si>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</si>
  <si>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</si>
  <si>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</si>
  <si>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</si>
  <si>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</si>
  <si>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</si>
  <si>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</si>
  <si>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</si>
  <si>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</si>
  <si>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</si>
  <si>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</si>
  <si>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</si>
  <si>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</si>
  <si>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</si>
  <si>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</si>
  <si>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</si>
  <si>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</si>
  <si>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</si>
  <si>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</si>
  <si>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</si>
  <si>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</si>
  <si>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</si>
  <si>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</si>
  <si>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</si>
  <si>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</si>
  <si>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</si>
  <si>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</si>
  <si>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</si>
  <si>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</si>
  <si>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</si>
  <si>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</si>
  <si>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</si>
  <si>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</si>
  <si>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</si>
  <si>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</si>
  <si>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</si>
  <si>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</si>
  <si>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</si>
  <si>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</si>
  <si>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</si>
  <si>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</si>
  <si>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</si>
  <si>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</si>
  <si>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</si>
  <si>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</si>
  <si>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</si>
  <si>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</si>
  <si>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</si>
  <si>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</si>
  <si>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</si>
  <si>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</si>
  <si>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</si>
  <si>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</si>
  <si>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</si>
  <si>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</si>
  <si>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</si>
  <si>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</si>
  <si>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</si>
  <si>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</si>
  <si>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</si>
  <si>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</si>
  <si>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</si>
  <si>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</si>
  <si>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</si>
  <si>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</si>
  <si>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</si>
  <si>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</si>
  <si>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</si>
  <si>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</si>
  <si>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</si>
  <si>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</si>
  <si>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</si>
  <si>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</si>
  <si>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</si>
  <si>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</si>
  <si>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</si>
  <si>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</si>
  <si>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</si>
  <si>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</si>
  <si>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</si>
  <si>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</si>
  <si>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</si>
  <si>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</si>
  <si>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</si>
  <si>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</si>
  <si>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</si>
  <si>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</si>
  <si>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</si>
  <si>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</si>
  <si>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</si>
  <si>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</si>
  <si>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</si>
  <si>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</si>
  <si>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</si>
  <si>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</si>
  <si>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</si>
  <si>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</si>
  <si>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</si>
  <si>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</si>
  <si>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</si>
  <si>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</si>
  <si>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</si>
  <si>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</si>
  <si>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</si>
  <si>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</si>
  <si>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</si>
  <si>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</si>
  <si>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</si>
  <si>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</si>
  <si>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</si>
  <si>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</si>
  <si>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</si>
  <si>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</si>
  <si>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</si>
  <si>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</si>
  <si>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</si>
  <si>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</si>
  <si>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</si>
  <si>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</si>
  <si>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</si>
  <si>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</si>
  <si>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</si>
  <si>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</si>
  <si>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</si>
  <si>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</si>
  <si>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</si>
  <si>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</si>
  <si>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</si>
  <si>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</si>
  <si>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</si>
  <si>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</si>
  <si>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</si>
  <si>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</si>
  <si>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</si>
  <si>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</si>
  <si>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</si>
  <si>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</si>
  <si>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</si>
  <si>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</si>
  <si>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</si>
  <si>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</si>
  <si>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</si>
  <si>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</si>
  <si>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</si>
  <si>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</si>
  <si>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</si>
  <si>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</si>
  <si>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</si>
  <si>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</si>
  <si>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</si>
  <si>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</si>
  <si>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</si>
  <si>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</si>
  <si>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</si>
  <si>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</si>
  <si>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</si>
  <si>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</si>
  <si>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</si>
  <si>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</si>
  <si>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</si>
  <si>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</si>
  <si>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</si>
  <si>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</si>
  <si>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</si>
  <si>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</si>
  <si>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</si>
  <si>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</si>
  <si>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</si>
  <si>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</si>
  <si>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</si>
  <si>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</si>
  <si>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</si>
  <si>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</si>
  <si>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</si>
  <si>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</si>
  <si>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</si>
  <si>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</si>
  <si>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</si>
  <si>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</si>
  <si>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</si>
  <si>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</si>
  <si>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</si>
  <si>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</si>
  <si>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</si>
  <si>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</si>
  <si>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</si>
  <si>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</si>
  <si>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</si>
  <si>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</si>
  <si>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</si>
  <si>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</si>
  <si>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</si>
  <si>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</si>
  <si>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</si>
  <si>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</si>
  <si>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</si>
  <si>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</si>
  <si>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</si>
  <si>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</si>
  <si>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</si>
  <si>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</si>
  <si>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</si>
  <si>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</si>
  <si>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</si>
  <si>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</si>
  <si>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</si>
  <si>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</si>
  <si>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</si>
  <si>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</si>
  <si>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</si>
  <si>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</si>
  <si>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</si>
  <si>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</si>
  <si>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</si>
  <si>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</si>
  <si>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</si>
  <si>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</si>
  <si>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</si>
  <si>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</si>
  <si>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</si>
  <si>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</si>
  <si>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</si>
  <si>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</si>
  <si>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</si>
  <si>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</si>
  <si>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</si>
  <si>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</si>
  <si>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</si>
  <si>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</si>
  <si>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</si>
  <si>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</si>
  <si>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</si>
  <si>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</si>
  <si>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</si>
  <si>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</si>
  <si>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</si>
  <si>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</si>
  <si>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</si>
  <si>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</si>
  <si>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</si>
  <si>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</si>
  <si>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</si>
  <si>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</si>
  <si>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</si>
  <si>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</si>
  <si>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</si>
  <si>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</si>
  <si>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</si>
  <si>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</si>
  <si>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</si>
  <si>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</si>
  <si>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</si>
  <si>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</si>
  <si>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</si>
  <si>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</si>
  <si>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</si>
  <si>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</si>
  <si>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</si>
  <si>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</si>
  <si>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</si>
  <si>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</si>
  <si>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</si>
  <si>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</si>
  <si>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</si>
  <si>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</si>
  <si>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</si>
  <si>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</si>
  <si>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</si>
  <si>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</si>
  <si>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</si>
  <si>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</si>
  <si>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</si>
  <si>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</si>
  <si>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</si>
  <si>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</si>
  <si>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</si>
  <si>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</si>
  <si>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</si>
  <si>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</si>
  <si>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</si>
  <si>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</si>
  <si>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</si>
  <si>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</si>
  <si>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</si>
  <si>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</si>
  <si>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</si>
  <si>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</si>
  <si>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</si>
  <si>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</si>
  <si>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</si>
  <si>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</si>
  <si>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</si>
  <si>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</si>
  <si>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</si>
  <si>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</si>
  <si>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</si>
  <si>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</si>
  <si>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</si>
  <si>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</si>
  <si>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</si>
  <si>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</si>
  <si>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</si>
  <si>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</si>
  <si>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</si>
  <si>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</si>
  <si>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</si>
  <si>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</si>
  <si>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</si>
  <si>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</si>
  <si>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</si>
  <si>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</si>
  <si>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</si>
  <si>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</si>
  <si>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</si>
  <si>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</si>
  <si>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</si>
  <si>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</si>
  <si>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</si>
  <si>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</si>
  <si>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</si>
  <si>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</si>
  <si>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</si>
  <si>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</si>
  <si>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</si>
  <si>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</si>
  <si>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</si>
  <si>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</si>
  <si>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</si>
  <si>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</si>
  <si>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</si>
  <si>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</si>
  <si>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</si>
  <si>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</si>
  <si>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</si>
  <si>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</si>
  <si>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</si>
  <si>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</si>
  <si>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</si>
  <si>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</si>
  <si>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</si>
  <si>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</si>
  <si>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</si>
  <si>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</si>
  <si>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</si>
  <si>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</si>
  <si>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</si>
  <si>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</si>
  <si>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</si>
  <si>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</si>
  <si>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</si>
  <si>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</si>
  <si>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</si>
  <si>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</si>
  <si>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</si>
  <si>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</si>
  <si>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</si>
  <si>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</si>
  <si>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</si>
  <si>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</si>
  <si>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</si>
  <si>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</si>
  <si>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</si>
  <si>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</si>
  <si>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</si>
  <si>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</si>
  <si>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</si>
  <si>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</si>
  <si>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</si>
  <si>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</si>
  <si>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</si>
  <si>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</si>
  <si>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</si>
  <si>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</si>
  <si>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</si>
  <si>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</si>
  <si>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</si>
  <si>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</si>
  <si>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</si>
  <si>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</si>
  <si>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</si>
  <si>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</si>
  <si>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</si>
  <si>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</si>
  <si>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</si>
  <si>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</si>
  <si>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</si>
  <si>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</si>
  <si>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</si>
  <si>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</si>
  <si>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</si>
  <si>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</si>
  <si>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</si>
  <si>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</si>
  <si>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</si>
  <si>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</si>
  <si>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</si>
  <si>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</si>
  <si>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</si>
  <si>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</si>
  <si>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</si>
  <si>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</si>
  <si>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</si>
  <si>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</si>
  <si>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</si>
  <si>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</si>
  <si>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</si>
  <si>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</si>
  <si>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</si>
  <si>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</si>
  <si>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</si>
  <si>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</si>
  <si>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</si>
  <si>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</si>
  <si>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</si>
  <si>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</si>
  <si>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</si>
  <si>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</si>
  <si>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</si>
  <si>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</si>
  <si>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</si>
  <si>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</si>
  <si>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</si>
  <si>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</si>
  <si>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</si>
  <si>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</si>
  <si>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</si>
  <si>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</si>
  <si>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</si>
  <si>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</si>
  <si>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</si>
  <si>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</si>
  <si>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</si>
  <si>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</si>
  <si>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</si>
  <si>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</si>
  <si>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</si>
  <si>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</si>
  <si>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</si>
  <si>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</si>
  <si>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</si>
  <si>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</si>
  <si>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</si>
  <si>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</si>
  <si>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</si>
  <si>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</si>
  <si>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</si>
  <si>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</si>
  <si>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</si>
  <si>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</si>
  <si>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</si>
  <si>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</si>
  <si>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</si>
  <si>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</si>
  <si>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</si>
  <si>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</si>
  <si>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</si>
  <si>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</si>
  <si>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</si>
  <si>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</si>
  <si>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</si>
  <si>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</si>
  <si>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</si>
  <si>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</si>
  <si>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</si>
  <si>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</si>
  <si>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</si>
  <si>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</si>
  <si>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</si>
  <si>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</si>
  <si>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</si>
  <si>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</si>
  <si>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</si>
  <si>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</si>
  <si>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</si>
  <si>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</si>
  <si>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</si>
  <si>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</si>
  <si>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</si>
  <si>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</si>
  <si>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</si>
  <si>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Lights</t>
  </si>
  <si>
    <t>P&amp;F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</si>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</sst>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8">
    <xf numFmtId="0" fontId="0" fillId="0" borderId="0"/>
    <xf numFmtId="0" fontId="22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27" fillId="0" borderId="0"/>
    <xf numFmtId="0" fontId="4" fillId="0" borderId="0"/>
    <xf numFmtId="0" fontId="30" fillId="0" borderId="0"/>
    <xf numFmtId="0" fontId="5" fillId="0" borderId="0"/>
    <xf numFmtId="0" fontId="5" fillId="0" borderId="0"/>
    <xf numFmtId="0" fontId="36" fillId="18" borderId="0" applyNumberFormat="0" applyBorder="0" applyAlignment="0" applyProtection="0"/>
    <xf numFmtId="168" fontId="5" fillId="0" borderId="0" applyFont="0" applyFill="0" applyBorder="0" applyAlignment="0" applyProtection="0"/>
    <xf numFmtId="0" fontId="27" fillId="0" borderId="0"/>
    <xf numFmtId="0" fontId="40" fillId="24" borderId="0" applyNumberFormat="0" applyBorder="0" applyAlignment="0" applyProtection="0"/>
    <xf numFmtId="9" fontId="55" fillId="0" borderId="0" applyFont="0" applyFill="0" applyBorder="0" applyAlignment="0" applyProtection="0"/>
    <xf numFmtId="0" fontId="5" fillId="0" borderId="0"/>
    <xf numFmtId="0" fontId="5" fillId="0" borderId="0"/>
  </cellStyleXfs>
  <cellXfs count="609">
    <xf numFmtId="0" fontId="0" fillId="0" borderId="0" xfId="0"/>
    <xf numFmtId="2" fontId="0" fillId="0" borderId="0" xfId="0" applyNumberFormat="1"/>
    <xf numFmtId="0" fontId="21" fillId="4" borderId="0" xfId="0" applyFont="1" applyFill="1" applyAlignment="1">
      <alignment vertical="center"/>
    </xf>
    <xf numFmtId="0" fontId="21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5" fillId="4" borderId="0" xfId="0" applyFont="1" applyFill="1" applyAlignment="1">
      <alignment vertical="center"/>
    </xf>
    <xf numFmtId="0" fontId="6" fillId="0" borderId="0" xfId="3" applyFont="1"/>
    <xf numFmtId="0" fontId="5" fillId="0" borderId="0" xfId="3"/>
    <xf numFmtId="0" fontId="25" fillId="0" borderId="0" xfId="3" applyFont="1" applyAlignment="1">
      <alignment horizontal="center"/>
    </xf>
    <xf numFmtId="0" fontId="25" fillId="0" borderId="0" xfId="3" applyFont="1" applyAlignment="1">
      <alignment horizontal="center" wrapText="1"/>
    </xf>
    <xf numFmtId="0" fontId="26" fillId="0" borderId="0" xfId="3" applyFont="1" applyAlignment="1">
      <alignment horizontal="right"/>
    </xf>
    <xf numFmtId="0" fontId="25" fillId="0" borderId="0" xfId="3" applyFont="1"/>
    <xf numFmtId="0" fontId="7" fillId="0" borderId="0" xfId="3" applyFont="1"/>
    <xf numFmtId="0" fontId="5" fillId="0" borderId="0" xfId="4"/>
    <xf numFmtId="0" fontId="4" fillId="0" borderId="0" xfId="5"/>
    <xf numFmtId="0" fontId="28" fillId="0" borderId="0" xfId="6" applyFont="1"/>
    <xf numFmtId="1" fontId="29" fillId="0" borderId="0" xfId="3" applyNumberFormat="1" applyFont="1" applyAlignment="1">
      <alignment horizontal="center"/>
    </xf>
    <xf numFmtId="1" fontId="29" fillId="0" borderId="0" xfId="3" applyNumberFormat="1" applyFont="1" applyAlignment="1">
      <alignment horizontal="center" vertical="center"/>
    </xf>
    <xf numFmtId="1" fontId="29" fillId="0" borderId="0" xfId="4" applyNumberFormat="1" applyFont="1" applyAlignment="1">
      <alignment horizontal="center"/>
    </xf>
    <xf numFmtId="0" fontId="4" fillId="6" borderId="0" xfId="7" applyFill="1"/>
    <xf numFmtId="0" fontId="28" fillId="6" borderId="0" xfId="8" applyFont="1" applyFill="1"/>
    <xf numFmtId="0" fontId="4" fillId="6" borderId="0" xfId="5" applyFill="1"/>
    <xf numFmtId="0" fontId="31" fillId="0" borderId="0" xfId="5" applyFont="1" applyAlignment="1">
      <alignment horizontal="center"/>
    </xf>
    <xf numFmtId="0" fontId="4" fillId="0" borderId="0" xfId="5" applyAlignment="1">
      <alignment horizontal="center" vertical="center"/>
    </xf>
    <xf numFmtId="0" fontId="32" fillId="0" borderId="0" xfId="5" applyFont="1" applyAlignment="1">
      <alignment horizontal="left"/>
    </xf>
    <xf numFmtId="0" fontId="32" fillId="0" borderId="0" xfId="5" applyFont="1" applyAlignment="1">
      <alignment horizontal="right"/>
    </xf>
    <xf numFmtId="0" fontId="32" fillId="0" borderId="0" xfId="5" applyFont="1" applyAlignment="1">
      <alignment horizontal="center"/>
    </xf>
    <xf numFmtId="0" fontId="4" fillId="0" borderId="0" xfId="5" applyAlignment="1">
      <alignment horizontal="right"/>
    </xf>
    <xf numFmtId="0" fontId="5" fillId="0" borderId="0" xfId="5" applyFont="1" applyAlignment="1">
      <alignment horizontal="center"/>
    </xf>
    <xf numFmtId="0" fontId="5" fillId="0" borderId="0" xfId="5" applyFont="1"/>
    <xf numFmtId="0" fontId="6" fillId="2" borderId="3" xfId="9" applyFont="1" applyFill="1" applyBorder="1" applyAlignment="1">
      <alignment vertical="center"/>
    </xf>
    <xf numFmtId="0" fontId="6" fillId="2" borderId="3" xfId="10" applyFont="1" applyFill="1" applyBorder="1" applyAlignment="1">
      <alignment vertical="center"/>
    </xf>
    <xf numFmtId="0" fontId="6" fillId="2" borderId="3" xfId="9" applyFont="1" applyFill="1" applyBorder="1" applyAlignment="1">
      <alignment horizontal="center" vertical="center"/>
    </xf>
    <xf numFmtId="0" fontId="6" fillId="2" borderId="3" xfId="9" applyFont="1" applyFill="1" applyBorder="1" applyAlignment="1">
      <alignment horizontal="center" vertical="center" wrapText="1"/>
    </xf>
    <xf numFmtId="0" fontId="6" fillId="2" borderId="3" xfId="5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5" borderId="4" xfId="10" applyFill="1" applyBorder="1" applyAlignment="1">
      <alignment horizontal="center" wrapText="1"/>
    </xf>
    <xf numFmtId="0" fontId="5" fillId="5" borderId="0" xfId="10" applyFill="1" applyAlignment="1">
      <alignment horizontal="center" wrapText="1"/>
    </xf>
    <xf numFmtId="0" fontId="5" fillId="5" borderId="0" xfId="10" applyFill="1" applyAlignment="1">
      <alignment horizontal="center" vertical="center" wrapText="1"/>
    </xf>
    <xf numFmtId="0" fontId="5" fillId="15" borderId="0" xfId="5" applyFont="1" applyFill="1"/>
    <xf numFmtId="0" fontId="4" fillId="11" borderId="0" xfId="5" applyFill="1" applyAlignment="1">
      <alignment horizontal="center"/>
    </xf>
    <xf numFmtId="1" fontId="5" fillId="15" borderId="0" xfId="5" applyNumberFormat="1" applyFont="1" applyFill="1" applyAlignment="1">
      <alignment horizontal="center"/>
    </xf>
    <xf numFmtId="2" fontId="5" fillId="15" borderId="0" xfId="5" applyNumberFormat="1" applyFont="1" applyFill="1" applyAlignment="1">
      <alignment horizontal="center"/>
    </xf>
    <xf numFmtId="0" fontId="5" fillId="15" borderId="0" xfId="5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165" fontId="5" fillId="15" borderId="0" xfId="5" applyNumberFormat="1" applyFont="1" applyFill="1" applyAlignment="1">
      <alignment horizontal="center"/>
    </xf>
    <xf numFmtId="0" fontId="5" fillId="11" borderId="0" xfId="5" applyFont="1" applyFill="1" applyAlignment="1">
      <alignment horizontal="center"/>
    </xf>
    <xf numFmtId="2" fontId="33" fillId="15" borderId="0" xfId="5" applyNumberFormat="1" applyFont="1" applyFill="1" applyAlignment="1">
      <alignment horizontal="center"/>
    </xf>
    <xf numFmtId="0" fontId="4" fillId="0" borderId="0" xfId="5" applyAlignment="1">
      <alignment horizontal="center"/>
    </xf>
    <xf numFmtId="2" fontId="33" fillId="0" borderId="0" xfId="5" applyNumberFormat="1" applyFont="1" applyAlignment="1">
      <alignment horizontal="center"/>
    </xf>
    <xf numFmtId="0" fontId="5" fillId="17" borderId="0" xfId="3" applyFill="1"/>
    <xf numFmtId="0" fontId="37" fillId="0" borderId="0" xfId="0" applyFont="1" applyAlignment="1">
      <alignment horizontal="center"/>
    </xf>
    <xf numFmtId="0" fontId="37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7" fillId="0" borderId="0" xfId="2" applyNumberFormat="1" applyFont="1" applyFill="1" applyBorder="1" applyAlignment="1">
      <alignment horizontal="center"/>
    </xf>
    <xf numFmtId="166" fontId="5" fillId="17" borderId="0" xfId="3" applyNumberFormat="1" applyFill="1"/>
    <xf numFmtId="166" fontId="5" fillId="0" borderId="0" xfId="3" applyNumberFormat="1"/>
    <xf numFmtId="166" fontId="35" fillId="2" borderId="3" xfId="3" applyNumberFormat="1" applyFont="1" applyFill="1" applyBorder="1" applyAlignment="1">
      <alignment horizontal="left" vertical="center" wrapText="1"/>
    </xf>
    <xf numFmtId="166" fontId="38" fillId="5" borderId="2" xfId="3" quotePrefix="1" applyNumberFormat="1" applyFont="1" applyFill="1" applyBorder="1" applyAlignment="1">
      <alignment horizontal="left" vertical="top" wrapText="1"/>
    </xf>
    <xf numFmtId="0" fontId="39" fillId="19" borderId="22" xfId="0" applyFont="1" applyFill="1" applyBorder="1" applyAlignment="1">
      <alignment horizontal="left" vertical="center"/>
    </xf>
    <xf numFmtId="0" fontId="39" fillId="19" borderId="22" xfId="13" applyFont="1" applyFill="1" applyBorder="1" applyAlignment="1">
      <alignment vertical="center" wrapText="1"/>
    </xf>
    <xf numFmtId="0" fontId="17" fillId="20" borderId="5" xfId="0" applyFont="1" applyFill="1" applyBorder="1" applyAlignment="1">
      <alignment vertical="center" wrapText="1"/>
    </xf>
    <xf numFmtId="3" fontId="39" fillId="19" borderId="23" xfId="0" applyNumberFormat="1" applyFont="1" applyFill="1" applyBorder="1" applyAlignment="1">
      <alignment horizontal="left" vertical="center" wrapText="1"/>
    </xf>
    <xf numFmtId="3" fontId="39" fillId="19" borderId="23" xfId="0" applyNumberFormat="1" applyFont="1" applyFill="1" applyBorder="1" applyAlignment="1">
      <alignment horizontal="left" vertical="center"/>
    </xf>
    <xf numFmtId="2" fontId="17" fillId="21" borderId="9" xfId="0" applyNumberFormat="1" applyFont="1" applyFill="1" applyBorder="1"/>
    <xf numFmtId="2" fontId="17" fillId="21" borderId="3" xfId="0" applyNumberFormat="1" applyFont="1" applyFill="1" applyBorder="1"/>
    <xf numFmtId="0" fontId="17" fillId="21" borderId="16" xfId="0" applyFont="1" applyFill="1" applyBorder="1"/>
    <xf numFmtId="2" fontId="17" fillId="0" borderId="25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/>
    <xf numFmtId="0" fontId="17" fillId="0" borderId="10" xfId="0" applyFont="1" applyBorder="1"/>
    <xf numFmtId="2" fontId="17" fillId="0" borderId="5" xfId="0" applyNumberFormat="1" applyFont="1" applyBorder="1"/>
    <xf numFmtId="0" fontId="17" fillId="0" borderId="5" xfId="0" applyFont="1" applyBorder="1"/>
    <xf numFmtId="0" fontId="17" fillId="0" borderId="14" xfId="0" applyFont="1" applyBorder="1"/>
    <xf numFmtId="2" fontId="17" fillId="21" borderId="0" xfId="0" applyNumberFormat="1" applyFont="1" applyFill="1" applyBorder="1"/>
    <xf numFmtId="0" fontId="17" fillId="21" borderId="0" xfId="0" applyFont="1" applyFill="1" applyBorder="1"/>
    <xf numFmtId="9" fontId="17" fillId="21" borderId="0" xfId="0" applyNumberFormat="1" applyFont="1" applyFill="1" applyBorder="1"/>
    <xf numFmtId="9" fontId="17" fillId="0" borderId="0" xfId="0" applyNumberFormat="1" applyFont="1" applyBorder="1"/>
    <xf numFmtId="2" fontId="17" fillId="22" borderId="0" xfId="0" applyNumberFormat="1" applyFont="1" applyFill="1" applyBorder="1"/>
    <xf numFmtId="0" fontId="17" fillId="22" borderId="0" xfId="0" applyFont="1" applyFill="1" applyBorder="1"/>
    <xf numFmtId="9" fontId="17" fillId="22" borderId="0" xfId="0" applyNumberFormat="1" applyFont="1" applyFill="1" applyBorder="1"/>
    <xf numFmtId="0" fontId="0" fillId="23" borderId="0" xfId="0" applyFill="1"/>
    <xf numFmtId="0" fontId="17" fillId="23" borderId="9" xfId="0" applyFont="1" applyFill="1" applyBorder="1" applyAlignment="1">
      <alignment vertical="center" wrapText="1"/>
    </xf>
    <xf numFmtId="0" fontId="17" fillId="23" borderId="3" xfId="0" applyFont="1" applyFill="1" applyBorder="1" applyAlignment="1">
      <alignment vertical="center" wrapText="1"/>
    </xf>
    <xf numFmtId="0" fontId="17" fillId="23" borderId="16" xfId="0" applyFont="1" applyFill="1" applyBorder="1" applyAlignment="1">
      <alignment vertical="center" wrapText="1"/>
    </xf>
    <xf numFmtId="2" fontId="17" fillId="21" borderId="25" xfId="0" applyNumberFormat="1" applyFont="1" applyFill="1" applyBorder="1"/>
    <xf numFmtId="0" fontId="17" fillId="21" borderId="10" xfId="0" applyFont="1" applyFill="1" applyBorder="1"/>
    <xf numFmtId="9" fontId="17" fillId="21" borderId="25" xfId="0" applyNumberFormat="1" applyFont="1" applyFill="1" applyBorder="1"/>
    <xf numFmtId="9" fontId="17" fillId="21" borderId="10" xfId="0" applyNumberFormat="1" applyFont="1" applyFill="1" applyBorder="1"/>
    <xf numFmtId="9" fontId="17" fillId="0" borderId="25" xfId="0" applyNumberFormat="1" applyFont="1" applyBorder="1"/>
    <xf numFmtId="9" fontId="17" fillId="0" borderId="10" xfId="0" applyNumberFormat="1" applyFont="1" applyBorder="1"/>
    <xf numFmtId="9" fontId="17" fillId="21" borderId="9" xfId="0" applyNumberFormat="1" applyFont="1" applyFill="1" applyBorder="1"/>
    <xf numFmtId="9" fontId="17" fillId="21" borderId="3" xfId="0" applyNumberFormat="1" applyFont="1" applyFill="1" applyBorder="1"/>
    <xf numFmtId="9" fontId="17" fillId="21" borderId="16" xfId="0" applyNumberFormat="1" applyFont="1" applyFill="1" applyBorder="1"/>
    <xf numFmtId="9" fontId="17" fillId="0" borderId="26" xfId="0" applyNumberFormat="1" applyFont="1" applyBorder="1"/>
    <xf numFmtId="9" fontId="17" fillId="0" borderId="5" xfId="0" applyNumberFormat="1" applyFont="1" applyBorder="1"/>
    <xf numFmtId="9" fontId="17" fillId="0" borderId="14" xfId="0" applyNumberFormat="1" applyFont="1" applyBorder="1"/>
    <xf numFmtId="0" fontId="17" fillId="21" borderId="9" xfId="0" applyFont="1" applyFill="1" applyBorder="1"/>
    <xf numFmtId="0" fontId="17" fillId="0" borderId="25" xfId="0" applyFont="1" applyBorder="1"/>
    <xf numFmtId="0" fontId="17" fillId="21" borderId="25" xfId="0" applyFont="1" applyFill="1" applyBorder="1"/>
    <xf numFmtId="0" fontId="17" fillId="0" borderId="26" xfId="0" applyFont="1" applyBorder="1"/>
    <xf numFmtId="2" fontId="17" fillId="21" borderId="16" xfId="0" applyNumberFormat="1" applyFont="1" applyFill="1" applyBorder="1"/>
    <xf numFmtId="2" fontId="17" fillId="0" borderId="10" xfId="0" applyNumberFormat="1" applyFont="1" applyBorder="1"/>
    <xf numFmtId="2" fontId="17" fillId="21" borderId="10" xfId="0" applyNumberFormat="1" applyFont="1" applyFill="1" applyBorder="1"/>
    <xf numFmtId="2" fontId="17" fillId="0" borderId="14" xfId="0" applyNumberFormat="1" applyFont="1" applyBorder="1"/>
    <xf numFmtId="0" fontId="17" fillId="20" borderId="1" xfId="0" applyFont="1" applyFill="1" applyBorder="1" applyAlignment="1">
      <alignment vertical="center" wrapText="1"/>
    </xf>
    <xf numFmtId="0" fontId="17" fillId="23" borderId="6" xfId="0" applyFont="1" applyFill="1" applyBorder="1" applyAlignment="1">
      <alignment vertical="center" wrapText="1"/>
    </xf>
    <xf numFmtId="2" fontId="17" fillId="21" borderId="6" xfId="0" applyNumberFormat="1" applyFont="1" applyFill="1" applyBorder="1"/>
    <xf numFmtId="2" fontId="17" fillId="0" borderId="6" xfId="0" applyNumberFormat="1" applyFont="1" applyBorder="1"/>
    <xf numFmtId="2" fontId="17" fillId="0" borderId="15" xfId="0" applyNumberFormat="1" applyFont="1" applyBorder="1"/>
    <xf numFmtId="0" fontId="17" fillId="21" borderId="6" xfId="0" applyFont="1" applyFill="1" applyBorder="1"/>
    <xf numFmtId="0" fontId="17" fillId="0" borderId="6" xfId="0" applyFont="1" applyBorder="1"/>
    <xf numFmtId="0" fontId="17" fillId="0" borderId="15" xfId="0" applyFont="1" applyBorder="1"/>
    <xf numFmtId="0" fontId="17" fillId="20" borderId="11" xfId="0" applyFont="1" applyFill="1" applyBorder="1" applyAlignment="1">
      <alignment horizontal="left" vertical="center" wrapText="1"/>
    </xf>
    <xf numFmtId="0" fontId="17" fillId="23" borderId="25" xfId="0" applyFont="1" applyFill="1" applyBorder="1" applyAlignment="1">
      <alignment vertical="center" wrapText="1"/>
    </xf>
    <xf numFmtId="0" fontId="11" fillId="23" borderId="7" xfId="0" applyFont="1" applyFill="1" applyBorder="1" applyAlignment="1">
      <alignment vertical="center"/>
    </xf>
    <xf numFmtId="0" fontId="17" fillId="20" borderId="1" xfId="0" applyFont="1" applyFill="1" applyBorder="1" applyAlignment="1">
      <alignment horizontal="left" vertical="center" wrapText="1"/>
    </xf>
    <xf numFmtId="9" fontId="17" fillId="21" borderId="6" xfId="0" applyNumberFormat="1" applyFont="1" applyFill="1" applyBorder="1"/>
    <xf numFmtId="9" fontId="17" fillId="0" borderId="6" xfId="0" applyNumberFormat="1" applyFont="1" applyBorder="1"/>
    <xf numFmtId="9" fontId="17" fillId="0" borderId="11" xfId="0" applyNumberFormat="1" applyFont="1" applyBorder="1"/>
    <xf numFmtId="9" fontId="17" fillId="0" borderId="24" xfId="0" applyNumberFormat="1" applyFont="1" applyBorder="1"/>
    <xf numFmtId="9" fontId="17" fillId="0" borderId="8" xfId="0" applyNumberFormat="1" applyFont="1" applyBorder="1"/>
    <xf numFmtId="0" fontId="17" fillId="0" borderId="11" xfId="0" applyFont="1" applyBorder="1"/>
    <xf numFmtId="0" fontId="17" fillId="0" borderId="8" xfId="0" applyFont="1" applyBorder="1"/>
    <xf numFmtId="2" fontId="17" fillId="0" borderId="11" xfId="0" applyNumberFormat="1" applyFont="1" applyBorder="1"/>
    <xf numFmtId="2" fontId="17" fillId="0" borderId="24" xfId="0" applyNumberFormat="1" applyFont="1" applyBorder="1"/>
    <xf numFmtId="2" fontId="17" fillId="0" borderId="8" xfId="0" applyNumberFormat="1" applyFont="1" applyBorder="1"/>
    <xf numFmtId="2" fontId="17" fillId="0" borderId="1" xfId="0" applyNumberFormat="1" applyFont="1" applyBorder="1"/>
    <xf numFmtId="0" fontId="17" fillId="0" borderId="1" xfId="0" applyFont="1" applyBorder="1"/>
    <xf numFmtId="9" fontId="17" fillId="0" borderId="1" xfId="0" applyNumberFormat="1" applyFont="1" applyBorder="1"/>
    <xf numFmtId="2" fontId="17" fillId="21" borderId="7" xfId="0" applyNumberFormat="1" applyFont="1" applyFill="1" applyBorder="1"/>
    <xf numFmtId="2" fontId="17" fillId="21" borderId="15" xfId="0" applyNumberFormat="1" applyFont="1" applyFill="1" applyBorder="1"/>
    <xf numFmtId="0" fontId="17" fillId="22" borderId="7" xfId="0" applyFont="1" applyFill="1" applyBorder="1"/>
    <xf numFmtId="0" fontId="17" fillId="21" borderId="7" xfId="0" applyFont="1" applyFill="1" applyBorder="1"/>
    <xf numFmtId="0" fontId="17" fillId="21" borderId="3" xfId="0" applyFont="1" applyFill="1" applyBorder="1"/>
    <xf numFmtId="2" fontId="17" fillId="21" borderId="5" xfId="0" applyNumberFormat="1" applyFont="1" applyFill="1" applyBorder="1"/>
    <xf numFmtId="0" fontId="17" fillId="21" borderId="15" xfId="0" applyFont="1" applyFill="1" applyBorder="1"/>
    <xf numFmtId="0" fontId="17" fillId="21" borderId="1" xfId="0" applyFont="1" applyFill="1" applyBorder="1"/>
    <xf numFmtId="2" fontId="17" fillId="21" borderId="1" xfId="0" applyNumberFormat="1" applyFont="1" applyFill="1" applyBorder="1"/>
    <xf numFmtId="2" fontId="17" fillId="21" borderId="26" xfId="0" applyNumberFormat="1" applyFont="1" applyFill="1" applyBorder="1"/>
    <xf numFmtId="2" fontId="17" fillId="21" borderId="14" xfId="0" applyNumberFormat="1" applyFont="1" applyFill="1" applyBorder="1"/>
    <xf numFmtId="2" fontId="17" fillId="21" borderId="11" xfId="0" applyNumberFormat="1" applyFont="1" applyFill="1" applyBorder="1"/>
    <xf numFmtId="2" fontId="17" fillId="21" borderId="24" xfId="0" applyNumberFormat="1" applyFont="1" applyFill="1" applyBorder="1"/>
    <xf numFmtId="2" fontId="17" fillId="21" borderId="8" xfId="0" applyNumberFormat="1" applyFont="1" applyFill="1" applyBorder="1"/>
    <xf numFmtId="0" fontId="17" fillId="21" borderId="11" xfId="0" applyFont="1" applyFill="1" applyBorder="1"/>
    <xf numFmtId="9" fontId="17" fillId="21" borderId="8" xfId="0" applyNumberFormat="1" applyFont="1" applyFill="1" applyBorder="1"/>
    <xf numFmtId="0" fontId="17" fillId="21" borderId="26" xfId="0" applyFont="1" applyFill="1" applyBorder="1"/>
    <xf numFmtId="9" fontId="17" fillId="21" borderId="14" xfId="0" applyNumberFormat="1" applyFont="1" applyFill="1" applyBorder="1"/>
    <xf numFmtId="166" fontId="0" fillId="0" borderId="28" xfId="0" applyNumberFormat="1" applyBorder="1"/>
    <xf numFmtId="166" fontId="12" fillId="0" borderId="28" xfId="3" applyNumberFormat="1" applyFont="1" applyBorder="1"/>
    <xf numFmtId="166" fontId="0" fillId="0" borderId="0" xfId="0" applyNumberFormat="1" applyBorder="1"/>
    <xf numFmtId="166" fontId="12" fillId="0" borderId="0" xfId="3" applyNumberFormat="1" applyFont="1" applyBorder="1"/>
    <xf numFmtId="166" fontId="5" fillId="0" borderId="0" xfId="0" applyNumberFormat="1" applyFont="1" applyBorder="1"/>
    <xf numFmtId="166" fontId="0" fillId="0" borderId="2" xfId="0" applyNumberFormat="1" applyBorder="1"/>
    <xf numFmtId="166" fontId="12" fillId="0" borderId="2" xfId="3" applyNumberFormat="1" applyFont="1" applyBorder="1"/>
    <xf numFmtId="166" fontId="12" fillId="0" borderId="27" xfId="3" applyNumberFormat="1" applyFont="1" applyBorder="1"/>
    <xf numFmtId="166" fontId="0" fillId="0" borderId="27" xfId="0" applyNumberFormat="1" applyBorder="1"/>
    <xf numFmtId="166" fontId="5" fillId="0" borderId="2" xfId="3" applyNumberFormat="1" applyBorder="1"/>
    <xf numFmtId="166" fontId="5" fillId="0" borderId="28" xfId="3" applyNumberFormat="1" applyBorder="1"/>
    <xf numFmtId="0" fontId="0" fillId="0" borderId="2" xfId="0" applyBorder="1"/>
    <xf numFmtId="9" fontId="17" fillId="21" borderId="11" xfId="0" applyNumberFormat="1" applyFont="1" applyFill="1" applyBorder="1"/>
    <xf numFmtId="9" fontId="17" fillId="21" borderId="24" xfId="0" applyNumberFormat="1" applyFont="1" applyFill="1" applyBorder="1"/>
    <xf numFmtId="0" fontId="17" fillId="21" borderId="24" xfId="0" applyFont="1" applyFill="1" applyBorder="1"/>
    <xf numFmtId="0" fontId="17" fillId="21" borderId="8" xfId="0" applyFont="1" applyFill="1" applyBorder="1"/>
    <xf numFmtId="0" fontId="17" fillId="21" borderId="5" xfId="0" applyFont="1" applyFill="1" applyBorder="1"/>
    <xf numFmtId="0" fontId="17" fillId="21" borderId="14" xfId="0" applyFont="1" applyFill="1" applyBorder="1"/>
    <xf numFmtId="0" fontId="17" fillId="0" borderId="24" xfId="0" applyFont="1" applyBorder="1"/>
    <xf numFmtId="0" fontId="41" fillId="0" borderId="29" xfId="0" applyFont="1" applyBorder="1"/>
    <xf numFmtId="0" fontId="41" fillId="0" borderId="30" xfId="0" applyFont="1" applyBorder="1"/>
    <xf numFmtId="0" fontId="41" fillId="0" borderId="31" xfId="0" applyFont="1" applyBorder="1"/>
    <xf numFmtId="0" fontId="41" fillId="0" borderId="32" xfId="0" applyFont="1" applyBorder="1"/>
    <xf numFmtId="0" fontId="41" fillId="0" borderId="33" xfId="0" applyFont="1" applyBorder="1"/>
    <xf numFmtId="0" fontId="17" fillId="20" borderId="11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66" fontId="31" fillId="0" borderId="0" xfId="0" applyNumberFormat="1" applyFont="1"/>
    <xf numFmtId="3" fontId="0" fillId="0" borderId="0" xfId="0" applyNumberFormat="1"/>
    <xf numFmtId="0" fontId="12" fillId="0" borderId="0" xfId="0" applyFont="1" applyAlignment="1">
      <alignment vertical="center"/>
    </xf>
    <xf numFmtId="0" fontId="10" fillId="10" borderId="4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10" fillId="16" borderId="4" xfId="0" applyFont="1" applyFill="1" applyBorder="1" applyAlignment="1">
      <alignment vertical="center"/>
    </xf>
    <xf numFmtId="0" fontId="40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40" fillId="24" borderId="0" xfId="14" applyBorder="1" applyAlignment="1">
      <alignment vertical="center"/>
    </xf>
    <xf numFmtId="1" fontId="17" fillId="21" borderId="16" xfId="0" applyNumberFormat="1" applyFont="1" applyFill="1" applyBorder="1"/>
    <xf numFmtId="0" fontId="5" fillId="0" borderId="0" xfId="0" applyFont="1"/>
    <xf numFmtId="1" fontId="17" fillId="21" borderId="7" xfId="0" applyNumberFormat="1" applyFont="1" applyFill="1" applyBorder="1"/>
    <xf numFmtId="0" fontId="41" fillId="21" borderId="34" xfId="0" applyFont="1" applyFill="1" applyBorder="1"/>
    <xf numFmtId="0" fontId="41" fillId="0" borderId="34" xfId="0" applyFont="1" applyBorder="1"/>
    <xf numFmtId="0" fontId="45" fillId="25" borderId="29" xfId="0" applyFont="1" applyFill="1" applyBorder="1"/>
    <xf numFmtId="0" fontId="45" fillId="25" borderId="30" xfId="0" applyFont="1" applyFill="1" applyBorder="1"/>
    <xf numFmtId="0" fontId="45" fillId="25" borderId="31" xfId="0" applyFont="1" applyFill="1" applyBorder="1"/>
    <xf numFmtId="0" fontId="17" fillId="23" borderId="10" xfId="0" applyFont="1" applyFill="1" applyBorder="1" applyAlignment="1">
      <alignment horizontal="center" vertical="center" wrapText="1"/>
    </xf>
    <xf numFmtId="0" fontId="41" fillId="0" borderId="9" xfId="0" applyFont="1" applyBorder="1"/>
    <xf numFmtId="0" fontId="41" fillId="0" borderId="3" xfId="0" applyFont="1" applyBorder="1"/>
    <xf numFmtId="0" fontId="41" fillId="0" borderId="16" xfId="0" applyFont="1" applyBorder="1"/>
    <xf numFmtId="0" fontId="41" fillId="21" borderId="35" xfId="0" applyFont="1" applyFill="1" applyBorder="1"/>
    <xf numFmtId="0" fontId="41" fillId="21" borderId="36" xfId="0" applyFont="1" applyFill="1" applyBorder="1"/>
    <xf numFmtId="0" fontId="41" fillId="0" borderId="35" xfId="0" applyFont="1" applyBorder="1"/>
    <xf numFmtId="0" fontId="41" fillId="0" borderId="36" xfId="0" applyFont="1" applyBorder="1"/>
    <xf numFmtId="0" fontId="41" fillId="0" borderId="37" xfId="0" applyFont="1" applyBorder="1"/>
    <xf numFmtId="0" fontId="41" fillId="0" borderId="38" xfId="0" applyFont="1" applyBorder="1"/>
    <xf numFmtId="0" fontId="41" fillId="0" borderId="39" xfId="0" applyFont="1" applyBorder="1"/>
    <xf numFmtId="0" fontId="41" fillId="0" borderId="7" xfId="0" applyFont="1" applyBorder="1"/>
    <xf numFmtId="0" fontId="41" fillId="21" borderId="40" xfId="0" applyFont="1" applyFill="1" applyBorder="1"/>
    <xf numFmtId="0" fontId="41" fillId="0" borderId="40" xfId="0" applyFont="1" applyBorder="1"/>
    <xf numFmtId="0" fontId="41" fillId="0" borderId="41" xfId="0" applyFont="1" applyBorder="1"/>
    <xf numFmtId="0" fontId="3" fillId="4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2" fillId="12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46" fillId="0" borderId="0" xfId="0" applyFont="1"/>
    <xf numFmtId="0" fontId="4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9" fillId="0" borderId="43" xfId="0" applyFont="1" applyBorder="1" applyAlignment="1">
      <alignment vertical="center"/>
    </xf>
    <xf numFmtId="0" fontId="49" fillId="0" borderId="44" xfId="0" applyFont="1" applyBorder="1" applyAlignment="1">
      <alignment vertical="center"/>
    </xf>
    <xf numFmtId="0" fontId="49" fillId="0" borderId="45" xfId="0" applyFont="1" applyBorder="1" applyAlignment="1">
      <alignment vertical="center"/>
    </xf>
    <xf numFmtId="0" fontId="48" fillId="8" borderId="17" xfId="0" applyFont="1" applyFill="1" applyBorder="1" applyAlignment="1">
      <alignment vertical="center"/>
    </xf>
    <xf numFmtId="0" fontId="41" fillId="0" borderId="19" xfId="0" applyFont="1" applyBorder="1" applyAlignment="1">
      <alignment vertical="center"/>
    </xf>
    <xf numFmtId="0" fontId="5" fillId="0" borderId="46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17" fontId="46" fillId="0" borderId="47" xfId="0" applyNumberFormat="1" applyFont="1" applyBorder="1"/>
    <xf numFmtId="0" fontId="46" fillId="0" borderId="48" xfId="0" applyFont="1" applyBorder="1"/>
    <xf numFmtId="0" fontId="48" fillId="9" borderId="18" xfId="0" applyFont="1" applyFill="1" applyBorder="1" applyAlignment="1">
      <alignment vertical="center"/>
    </xf>
    <xf numFmtId="0" fontId="41" fillId="0" borderId="20" xfId="0" applyFont="1" applyBorder="1" applyAlignment="1">
      <alignment vertical="center"/>
    </xf>
    <xf numFmtId="0" fontId="5" fillId="0" borderId="49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5" fontId="46" fillId="0" borderId="1" xfId="0" applyNumberFormat="1" applyFont="1" applyBorder="1"/>
    <xf numFmtId="0" fontId="46" fillId="0" borderId="50" xfId="0" applyFont="1" applyBorder="1"/>
    <xf numFmtId="164" fontId="5" fillId="10" borderId="18" xfId="0" applyNumberFormat="1" applyFont="1" applyFill="1" applyBorder="1" applyAlignment="1">
      <alignment vertical="center"/>
    </xf>
    <xf numFmtId="0" fontId="50" fillId="12" borderId="18" xfId="0" applyFont="1" applyFill="1" applyBorder="1" applyAlignment="1">
      <alignment vertical="center"/>
    </xf>
    <xf numFmtId="17" fontId="46" fillId="0" borderId="1" xfId="0" applyNumberFormat="1" applyFont="1" applyBorder="1"/>
    <xf numFmtId="0" fontId="50" fillId="13" borderId="18" xfId="0" applyFont="1" applyFill="1" applyBorder="1" applyAlignment="1">
      <alignment vertical="center"/>
    </xf>
    <xf numFmtId="0" fontId="5" fillId="3" borderId="18" xfId="0" applyFont="1" applyFill="1" applyBorder="1"/>
    <xf numFmtId="0" fontId="46" fillId="14" borderId="12" xfId="0" applyFont="1" applyFill="1" applyBorder="1"/>
    <xf numFmtId="0" fontId="41" fillId="0" borderId="21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5" fillId="0" borderId="52" xfId="0" applyFont="1" applyBorder="1" applyAlignment="1">
      <alignment vertical="center"/>
    </xf>
    <xf numFmtId="17" fontId="46" fillId="0" borderId="52" xfId="0" applyNumberFormat="1" applyFont="1" applyBorder="1"/>
    <xf numFmtId="0" fontId="46" fillId="0" borderId="53" xfId="0" applyFont="1" applyBorder="1"/>
    <xf numFmtId="0" fontId="49" fillId="0" borderId="56" xfId="0" applyFont="1" applyBorder="1" applyAlignment="1">
      <alignment vertical="center"/>
    </xf>
    <xf numFmtId="0" fontId="49" fillId="0" borderId="57" xfId="0" applyFont="1" applyBorder="1" applyAlignment="1">
      <alignment vertical="center"/>
    </xf>
    <xf numFmtId="0" fontId="49" fillId="0" borderId="58" xfId="0" applyFont="1" applyBorder="1" applyAlignment="1">
      <alignment vertical="center"/>
    </xf>
    <xf numFmtId="0" fontId="49" fillId="0" borderId="59" xfId="0" applyFont="1" applyBorder="1" applyAlignment="1">
      <alignment vertical="center"/>
    </xf>
    <xf numFmtId="0" fontId="53" fillId="0" borderId="7" xfId="0" applyFont="1" applyBorder="1"/>
    <xf numFmtId="0" fontId="46" fillId="0" borderId="16" xfId="0" quotePrefix="1" applyFont="1" applyBorder="1"/>
    <xf numFmtId="0" fontId="53" fillId="0" borderId="49" xfId="0" applyFont="1" applyBorder="1"/>
    <xf numFmtId="0" fontId="46" fillId="0" borderId="1" xfId="0" quotePrefix="1" applyFont="1" applyBorder="1"/>
    <xf numFmtId="0" fontId="46" fillId="0" borderId="50" xfId="0" applyFont="1" applyBorder="1" applyAlignment="1">
      <alignment horizontal="right"/>
    </xf>
    <xf numFmtId="0" fontId="53" fillId="0" borderId="6" xfId="0" applyFont="1" applyBorder="1"/>
    <xf numFmtId="0" fontId="46" fillId="0" borderId="10" xfId="0" applyFont="1" applyBorder="1"/>
    <xf numFmtId="0" fontId="46" fillId="0" borderId="1" xfId="0" applyFont="1" applyBorder="1"/>
    <xf numFmtId="0" fontId="46" fillId="0" borderId="1" xfId="0" applyFont="1" applyBorder="1" applyAlignment="1">
      <alignment horizontal="right"/>
    </xf>
    <xf numFmtId="0" fontId="53" fillId="0" borderId="15" xfId="0" applyFont="1" applyBorder="1"/>
    <xf numFmtId="0" fontId="46" fillId="0" borderId="14" xfId="0" applyFont="1" applyBorder="1" applyAlignment="1">
      <alignment horizontal="left"/>
    </xf>
    <xf numFmtId="0" fontId="46" fillId="0" borderId="1" xfId="0" applyFont="1" applyBorder="1" applyAlignment="1">
      <alignment horizontal="left"/>
    </xf>
    <xf numFmtId="17" fontId="46" fillId="0" borderId="1" xfId="0" applyNumberFormat="1" applyFont="1" applyBorder="1" applyAlignment="1">
      <alignment horizontal="right"/>
    </xf>
    <xf numFmtId="0" fontId="22" fillId="0" borderId="1" xfId="1" applyBorder="1" applyAlignment="1">
      <alignment horizontal="left"/>
    </xf>
    <xf numFmtId="0" fontId="53" fillId="0" borderId="51" xfId="0" applyFont="1" applyBorder="1"/>
    <xf numFmtId="0" fontId="22" fillId="0" borderId="52" xfId="1" applyBorder="1" applyAlignment="1">
      <alignment horizontal="left"/>
    </xf>
    <xf numFmtId="17" fontId="46" fillId="0" borderId="52" xfId="0" applyNumberFormat="1" applyFont="1" applyBorder="1" applyAlignment="1">
      <alignment horizontal="right"/>
    </xf>
    <xf numFmtId="0" fontId="49" fillId="0" borderId="7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1" xfId="0" applyFont="1" applyBorder="1" applyAlignment="1">
      <alignment vertical="center"/>
    </xf>
    <xf numFmtId="0" fontId="53" fillId="0" borderId="1" xfId="0" applyFont="1" applyBorder="1"/>
    <xf numFmtId="17" fontId="46" fillId="0" borderId="1" xfId="0" quotePrefix="1" applyNumberFormat="1" applyFont="1" applyBorder="1"/>
    <xf numFmtId="15" fontId="46" fillId="0" borderId="1" xfId="0" applyNumberFormat="1" applyFont="1" applyBorder="1" applyAlignment="1">
      <alignment horizontal="left"/>
    </xf>
    <xf numFmtId="0" fontId="53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17" fontId="46" fillId="0" borderId="0" xfId="0" applyNumberFormat="1" applyFont="1" applyAlignment="1">
      <alignment horizontal="right"/>
    </xf>
    <xf numFmtId="0" fontId="22" fillId="0" borderId="0" xfId="1"/>
    <xf numFmtId="0" fontId="0" fillId="0" borderId="1" xfId="0" applyBorder="1"/>
    <xf numFmtId="0" fontId="17" fillId="0" borderId="0" xfId="0" applyFont="1" applyAlignment="1">
      <alignment wrapText="1"/>
    </xf>
    <xf numFmtId="0" fontId="5" fillId="6" borderId="0" xfId="0" applyFont="1" applyFill="1"/>
    <xf numFmtId="166" fontId="38" fillId="5" borderId="0" xfId="3" quotePrefix="1" applyNumberFormat="1" applyFont="1" applyFill="1" applyBorder="1" applyAlignment="1">
      <alignment horizontal="left" vertical="top" wrapText="1"/>
    </xf>
    <xf numFmtId="166" fontId="5" fillId="0" borderId="0" xfId="3" applyNumberFormat="1" applyBorder="1"/>
    <xf numFmtId="0" fontId="5" fillId="0" borderId="2" xfId="3" applyBorder="1"/>
    <xf numFmtId="0" fontId="0" fillId="0" borderId="27" xfId="0" applyBorder="1"/>
    <xf numFmtId="0" fontId="0" fillId="0" borderId="28" xfId="0" applyBorder="1"/>
    <xf numFmtId="1" fontId="17" fillId="21" borderId="6" xfId="0" applyNumberFormat="1" applyFont="1" applyFill="1" applyBorder="1"/>
    <xf numFmtId="0" fontId="8" fillId="9" borderId="54" xfId="0" applyFont="1" applyFill="1" applyBorder="1" applyAlignment="1">
      <alignment vertical="center"/>
    </xf>
    <xf numFmtId="0" fontId="8" fillId="9" borderId="60" xfId="0" applyFont="1" applyFill="1" applyBorder="1" applyAlignment="1">
      <alignment vertical="center"/>
    </xf>
    <xf numFmtId="0" fontId="8" fillId="9" borderId="59" xfId="0" applyFont="1" applyFill="1" applyBorder="1" applyAlignment="1">
      <alignment vertical="center"/>
    </xf>
    <xf numFmtId="1" fontId="8" fillId="28" borderId="46" xfId="0" applyNumberFormat="1" applyFont="1" applyFill="1" applyBorder="1" applyAlignment="1">
      <alignment horizontal="right" vertical="center"/>
    </xf>
    <xf numFmtId="3" fontId="2" fillId="28" borderId="47" xfId="0" applyNumberFormat="1" applyFont="1" applyFill="1" applyBorder="1" applyAlignment="1">
      <alignment vertical="center"/>
    </xf>
    <xf numFmtId="3" fontId="8" fillId="28" borderId="48" xfId="0" applyNumberFormat="1" applyFont="1" applyFill="1" applyBorder="1" applyAlignment="1">
      <alignment vertical="center"/>
    </xf>
    <xf numFmtId="1" fontId="8" fillId="29" borderId="49" xfId="0" quotePrefix="1" applyNumberFormat="1" applyFont="1" applyFill="1" applyBorder="1" applyAlignment="1">
      <alignment horizontal="right" vertical="top"/>
    </xf>
    <xf numFmtId="3" fontId="2" fillId="29" borderId="1" xfId="0" quotePrefix="1" applyNumberFormat="1" applyFont="1" applyFill="1" applyBorder="1" applyAlignment="1">
      <alignment horizontal="right" vertical="top"/>
    </xf>
    <xf numFmtId="3" fontId="8" fillId="29" borderId="50" xfId="0" quotePrefix="1" applyNumberFormat="1" applyFont="1" applyFill="1" applyBorder="1" applyAlignment="1">
      <alignment horizontal="right" vertical="top"/>
    </xf>
    <xf numFmtId="1" fontId="8" fillId="28" borderId="49" xfId="0" applyNumberFormat="1" applyFont="1" applyFill="1" applyBorder="1" applyAlignment="1">
      <alignment horizontal="right" vertical="center"/>
    </xf>
    <xf numFmtId="3" fontId="2" fillId="28" borderId="1" xfId="0" applyNumberFormat="1" applyFont="1" applyFill="1" applyBorder="1" applyAlignment="1">
      <alignment vertical="center"/>
    </xf>
    <xf numFmtId="3" fontId="8" fillId="28" borderId="50" xfId="0" applyNumberFormat="1" applyFont="1" applyFill="1" applyBorder="1" applyAlignment="1">
      <alignment vertical="center"/>
    </xf>
    <xf numFmtId="1" fontId="8" fillId="28" borderId="61" xfId="0" applyNumberFormat="1" applyFont="1" applyFill="1" applyBorder="1" applyAlignment="1">
      <alignment horizontal="right" vertical="center"/>
    </xf>
    <xf numFmtId="3" fontId="2" fillId="28" borderId="7" xfId="0" applyNumberFormat="1" applyFont="1" applyFill="1" applyBorder="1" applyAlignment="1">
      <alignment vertical="center"/>
    </xf>
    <xf numFmtId="1" fontId="8" fillId="29" borderId="43" xfId="0" quotePrefix="1" applyNumberFormat="1" applyFont="1" applyFill="1" applyBorder="1" applyAlignment="1">
      <alignment horizontal="right" vertical="top"/>
    </xf>
    <xf numFmtId="3" fontId="2" fillId="29" borderId="44" xfId="0" quotePrefix="1" applyNumberFormat="1" applyFont="1" applyFill="1" applyBorder="1" applyAlignment="1">
      <alignment horizontal="right" vertical="top"/>
    </xf>
    <xf numFmtId="3" fontId="39" fillId="30" borderId="45" xfId="0" applyNumberFormat="1" applyFont="1" applyFill="1" applyBorder="1" applyAlignment="1">
      <alignment vertical="center"/>
    </xf>
    <xf numFmtId="171" fontId="39" fillId="30" borderId="62" xfId="0" applyNumberFormat="1" applyFont="1" applyFill="1" applyBorder="1" applyAlignment="1">
      <alignment vertical="center"/>
    </xf>
    <xf numFmtId="1" fontId="8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5" fillId="0" borderId="0" xfId="0" applyFont="1" applyAlignment="1"/>
    <xf numFmtId="170" fontId="17" fillId="21" borderId="7" xfId="0" applyNumberFormat="1" applyFont="1" applyFill="1" applyBorder="1"/>
    <xf numFmtId="170" fontId="17" fillId="0" borderId="6" xfId="0" applyNumberFormat="1" applyFont="1" applyBorder="1"/>
    <xf numFmtId="170" fontId="17" fillId="21" borderId="6" xfId="0" applyNumberFormat="1" applyFont="1" applyFill="1" applyBorder="1"/>
    <xf numFmtId="170" fontId="17" fillId="21" borderId="15" xfId="0" applyNumberFormat="1" applyFont="1" applyFill="1" applyBorder="1"/>
    <xf numFmtId="0" fontId="17" fillId="21" borderId="25" xfId="0" applyNumberFormat="1" applyFont="1" applyFill="1" applyBorder="1"/>
    <xf numFmtId="0" fontId="17" fillId="21" borderId="0" xfId="0" applyNumberFormat="1" applyFont="1" applyFill="1" applyBorder="1"/>
    <xf numFmtId="0" fontId="17" fillId="21" borderId="10" xfId="0" applyNumberFormat="1" applyFont="1" applyFill="1" applyBorder="1"/>
    <xf numFmtId="0" fontId="17" fillId="0" borderId="25" xfId="0" applyNumberFormat="1" applyFont="1" applyBorder="1"/>
    <xf numFmtId="0" fontId="17" fillId="0" borderId="0" xfId="0" applyNumberFormat="1" applyFont="1" applyBorder="1"/>
    <xf numFmtId="0" fontId="17" fillId="0" borderId="10" xfId="0" applyNumberFormat="1" applyFont="1" applyBorder="1"/>
    <xf numFmtId="0" fontId="17" fillId="21" borderId="9" xfId="0" applyNumberFormat="1" applyFont="1" applyFill="1" applyBorder="1"/>
    <xf numFmtId="0" fontId="17" fillId="21" borderId="3" xfId="0" applyNumberFormat="1" applyFont="1" applyFill="1" applyBorder="1"/>
    <xf numFmtId="0" fontId="17" fillId="21" borderId="16" xfId="0" applyNumberFormat="1" applyFont="1" applyFill="1" applyBorder="1"/>
    <xf numFmtId="0" fontId="17" fillId="0" borderId="11" xfId="0" applyNumberFormat="1" applyFont="1" applyBorder="1"/>
    <xf numFmtId="0" fontId="17" fillId="0" borderId="24" xfId="0" applyNumberFormat="1" applyFont="1" applyBorder="1"/>
    <xf numFmtId="0" fontId="17" fillId="0" borderId="8" xfId="0" applyNumberFormat="1" applyFont="1" applyBorder="1"/>
    <xf numFmtId="2" fontId="17" fillId="0" borderId="26" xfId="0" applyNumberFormat="1" applyFont="1" applyBorder="1"/>
    <xf numFmtId="0" fontId="17" fillId="0" borderId="26" xfId="0" applyNumberFormat="1" applyFont="1" applyBorder="1"/>
    <xf numFmtId="0" fontId="17" fillId="0" borderId="5" xfId="0" applyNumberFormat="1" applyFont="1" applyBorder="1"/>
    <xf numFmtId="0" fontId="17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7" fillId="21" borderId="11" xfId="0" applyNumberFormat="1" applyFont="1" applyFill="1" applyBorder="1"/>
    <xf numFmtId="0" fontId="17" fillId="21" borderId="24" xfId="0" applyNumberFormat="1" applyFont="1" applyFill="1" applyBorder="1"/>
    <xf numFmtId="9" fontId="17" fillId="21" borderId="7" xfId="0" applyNumberFormat="1" applyFont="1" applyFill="1" applyBorder="1"/>
    <xf numFmtId="2" fontId="0" fillId="0" borderId="1" xfId="0" applyNumberFormat="1" applyBorder="1"/>
    <xf numFmtId="2" fontId="41" fillId="0" borderId="9" xfId="0" applyNumberFormat="1" applyFont="1" applyBorder="1"/>
    <xf numFmtId="2" fontId="41" fillId="21" borderId="35" xfId="0" applyNumberFormat="1" applyFont="1" applyFill="1" applyBorder="1"/>
    <xf numFmtId="2" fontId="41" fillId="0" borderId="35" xfId="0" applyNumberFormat="1" applyFont="1" applyBorder="1"/>
    <xf numFmtId="172" fontId="33" fillId="21" borderId="40" xfId="0" applyNumberFormat="1" applyFont="1" applyFill="1" applyBorder="1"/>
    <xf numFmtId="2" fontId="33" fillId="21" borderId="35" xfId="0" applyNumberFormat="1" applyFont="1" applyFill="1" applyBorder="1"/>
    <xf numFmtId="2" fontId="33" fillId="0" borderId="37" xfId="0" applyNumberFormat="1" applyFont="1" applyBorder="1"/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horizontal="left" vertical="center"/>
    </xf>
    <xf numFmtId="2" fontId="60" fillId="0" borderId="0" xfId="0" applyNumberFormat="1" applyFont="1" applyAlignment="1">
      <alignment horizontal="center" vertical="center"/>
    </xf>
    <xf numFmtId="0" fontId="61" fillId="31" borderId="9" xfId="0" applyFont="1" applyFill="1" applyBorder="1" applyAlignment="1">
      <alignment vertical="center" wrapText="1"/>
    </xf>
    <xf numFmtId="0" fontId="61" fillId="31" borderId="3" xfId="0" applyFont="1" applyFill="1" applyBorder="1" applyAlignment="1">
      <alignment vertical="center" wrapText="1"/>
    </xf>
    <xf numFmtId="0" fontId="61" fillId="31" borderId="16" xfId="0" applyFont="1" applyFill="1" applyBorder="1" applyAlignment="1">
      <alignment vertical="center" wrapText="1"/>
    </xf>
    <xf numFmtId="0" fontId="61" fillId="31" borderId="7" xfId="0" applyFont="1" applyFill="1" applyBorder="1" applyAlignment="1">
      <alignment vertical="center" wrapText="1"/>
    </xf>
    <xf numFmtId="0" fontId="62" fillId="0" borderId="0" xfId="0" applyFont="1" applyAlignment="1">
      <alignment vertical="center" wrapText="1"/>
    </xf>
    <xf numFmtId="0" fontId="63" fillId="31" borderId="26" xfId="0" applyFont="1" applyFill="1" applyBorder="1" applyAlignment="1">
      <alignment vertical="center"/>
    </xf>
    <xf numFmtId="0" fontId="63" fillId="31" borderId="5" xfId="0" applyFont="1" applyFill="1" applyBorder="1" applyAlignment="1">
      <alignment vertical="center"/>
    </xf>
    <xf numFmtId="0" fontId="63" fillId="31" borderId="14" xfId="0" applyFont="1" applyFill="1" applyBorder="1" applyAlignment="1">
      <alignment vertical="center"/>
    </xf>
    <xf numFmtId="0" fontId="64" fillId="31" borderId="26" xfId="0" applyFont="1" applyFill="1" applyBorder="1" applyAlignment="1">
      <alignment horizontal="center" vertical="center"/>
    </xf>
    <xf numFmtId="0" fontId="64" fillId="31" borderId="5" xfId="0" applyFont="1" applyFill="1" applyBorder="1" applyAlignment="1">
      <alignment horizontal="center" vertical="center"/>
    </xf>
    <xf numFmtId="0" fontId="64" fillId="31" borderId="14" xfId="0" applyFont="1" applyFill="1" applyBorder="1" applyAlignment="1">
      <alignment horizontal="center" vertical="center"/>
    </xf>
    <xf numFmtId="0" fontId="63" fillId="31" borderId="15" xfId="0" applyFont="1" applyFill="1" applyBorder="1" applyAlignment="1">
      <alignment vertical="center"/>
    </xf>
    <xf numFmtId="0" fontId="64" fillId="32" borderId="26" xfId="0" applyFont="1" applyFill="1" applyBorder="1" applyAlignment="1">
      <alignment horizontal="center" vertical="center"/>
    </xf>
    <xf numFmtId="0" fontId="64" fillId="32" borderId="5" xfId="0" applyFont="1" applyFill="1" applyBorder="1" applyAlignment="1">
      <alignment horizontal="center" vertical="center"/>
    </xf>
    <xf numFmtId="0" fontId="64" fillId="32" borderId="14" xfId="0" applyFont="1" applyFill="1" applyBorder="1" applyAlignment="1">
      <alignment horizontal="center" vertical="center"/>
    </xf>
    <xf numFmtId="0" fontId="65" fillId="9" borderId="25" xfId="0" applyFont="1" applyFill="1" applyBorder="1" applyAlignment="1">
      <alignment vertical="center"/>
    </xf>
    <xf numFmtId="0" fontId="65" fillId="9" borderId="0" xfId="0" applyFont="1" applyFill="1" applyAlignment="1">
      <alignment vertical="center"/>
    </xf>
    <xf numFmtId="0" fontId="65" fillId="9" borderId="10" xfId="0" applyFont="1" applyFill="1" applyBorder="1" applyAlignment="1">
      <alignment vertical="center"/>
    </xf>
    <xf numFmtId="0" fontId="65" fillId="9" borderId="25" xfId="0" applyFont="1" applyFill="1" applyBorder="1" applyAlignment="1">
      <alignment horizontal="center" vertical="center"/>
    </xf>
    <xf numFmtId="0" fontId="65" fillId="9" borderId="0" xfId="0" applyFont="1" applyFill="1" applyAlignment="1">
      <alignment horizontal="center" vertical="center"/>
    </xf>
    <xf numFmtId="0" fontId="65" fillId="9" borderId="10" xfId="0" applyFont="1" applyFill="1" applyBorder="1" applyAlignment="1">
      <alignment horizontal="center" vertical="center"/>
    </xf>
    <xf numFmtId="0" fontId="65" fillId="9" borderId="6" xfId="0" applyFont="1" applyFill="1" applyBorder="1" applyAlignment="1">
      <alignment vertical="center"/>
    </xf>
    <xf numFmtId="0" fontId="66" fillId="0" borderId="0" xfId="0" applyFont="1" applyAlignment="1">
      <alignment vertical="center"/>
    </xf>
    <xf numFmtId="0" fontId="66" fillId="0" borderId="25" xfId="0" applyFont="1" applyBorder="1" applyAlignment="1">
      <alignment vertical="center"/>
    </xf>
    <xf numFmtId="1" fontId="66" fillId="0" borderId="0" xfId="0" applyNumberFormat="1" applyFont="1" applyAlignment="1">
      <alignment vertical="center"/>
    </xf>
    <xf numFmtId="1" fontId="66" fillId="0" borderId="10" xfId="0" applyNumberFormat="1" applyFont="1" applyBorder="1" applyAlignment="1">
      <alignment vertical="center"/>
    </xf>
    <xf numFmtId="1" fontId="66" fillId="0" borderId="25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0" fontId="66" fillId="0" borderId="6" xfId="0" applyFont="1" applyBorder="1" applyAlignment="1">
      <alignment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7" fillId="0" borderId="25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3" fontId="69" fillId="0" borderId="0" xfId="0" applyNumberFormat="1" applyFont="1" applyAlignment="1">
      <alignment horizontal="center" vertical="center"/>
    </xf>
    <xf numFmtId="3" fontId="69" fillId="0" borderId="10" xfId="0" applyNumberFormat="1" applyFont="1" applyBorder="1" applyAlignment="1">
      <alignment horizontal="center" vertical="center"/>
    </xf>
    <xf numFmtId="1" fontId="67" fillId="0" borderId="0" xfId="0" applyNumberFormat="1" applyFont="1" applyAlignment="1">
      <alignment horizontal="center" vertical="center"/>
    </xf>
    <xf numFmtId="1" fontId="67" fillId="0" borderId="10" xfId="0" applyNumberFormat="1" applyFont="1" applyBorder="1" applyAlignment="1">
      <alignment horizontal="center" vertical="center"/>
    </xf>
    <xf numFmtId="164" fontId="65" fillId="9" borderId="0" xfId="0" applyNumberFormat="1" applyFont="1" applyFill="1" applyAlignment="1">
      <alignment horizontal="center" vertical="center"/>
    </xf>
    <xf numFmtId="164" fontId="65" fillId="9" borderId="10" xfId="0" applyNumberFormat="1" applyFont="1" applyFill="1" applyBorder="1" applyAlignment="1">
      <alignment horizontal="center" vertical="center"/>
    </xf>
    <xf numFmtId="1" fontId="67" fillId="0" borderId="25" xfId="0" applyNumberFormat="1" applyFont="1" applyBorder="1" applyAlignment="1">
      <alignment horizontal="center" vertical="center"/>
    </xf>
    <xf numFmtId="3" fontId="67" fillId="0" borderId="0" xfId="0" applyNumberFormat="1" applyFont="1"/>
    <xf numFmtId="3" fontId="67" fillId="0" borderId="10" xfId="0" applyNumberFormat="1" applyFont="1" applyBorder="1"/>
    <xf numFmtId="169" fontId="67" fillId="0" borderId="0" xfId="0" applyNumberFormat="1" applyFont="1" applyAlignment="1">
      <alignment horizontal="center" vertical="center"/>
    </xf>
    <xf numFmtId="1" fontId="66" fillId="0" borderId="6" xfId="0" applyNumberFormat="1" applyFont="1" applyBorder="1" applyAlignment="1">
      <alignment vertical="center"/>
    </xf>
    <xf numFmtId="1" fontId="67" fillId="0" borderId="10" xfId="0" applyNumberFormat="1" applyFont="1" applyBorder="1" applyAlignment="1">
      <alignment vertical="center"/>
    </xf>
    <xf numFmtId="9" fontId="67" fillId="0" borderId="0" xfId="15" applyFont="1" applyBorder="1"/>
    <xf numFmtId="9" fontId="67" fillId="0" borderId="10" xfId="15" applyFont="1" applyBorder="1"/>
    <xf numFmtId="9" fontId="67" fillId="0" borderId="25" xfId="15" applyFont="1" applyBorder="1"/>
    <xf numFmtId="2" fontId="66" fillId="0" borderId="0" xfId="0" applyNumberFormat="1" applyFont="1" applyAlignment="1">
      <alignment horizontal="center" vertical="center"/>
    </xf>
    <xf numFmtId="2" fontId="67" fillId="0" borderId="0" xfId="0" applyNumberFormat="1" applyFont="1" applyAlignment="1">
      <alignment horizontal="center" vertical="center"/>
    </xf>
    <xf numFmtId="164" fontId="67" fillId="0" borderId="25" xfId="0" applyNumberFormat="1" applyFont="1" applyBorder="1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3" fontId="60" fillId="0" borderId="0" xfId="0" applyNumberFormat="1" applyFont="1" applyAlignment="1">
      <alignment horizontal="center" vertical="center"/>
    </xf>
    <xf numFmtId="169" fontId="66" fillId="0" borderId="0" xfId="0" applyNumberFormat="1" applyFont="1" applyAlignment="1">
      <alignment horizontal="center" vertical="center"/>
    </xf>
    <xf numFmtId="169" fontId="66" fillId="0" borderId="10" xfId="0" applyNumberFormat="1" applyFont="1" applyBorder="1" applyAlignment="1">
      <alignment horizontal="center" vertical="center"/>
    </xf>
    <xf numFmtId="9" fontId="67" fillId="0" borderId="0" xfId="15" applyFont="1" applyAlignment="1">
      <alignment vertical="center"/>
    </xf>
    <xf numFmtId="9" fontId="67" fillId="0" borderId="0" xfId="15" applyFont="1"/>
    <xf numFmtId="164" fontId="66" fillId="0" borderId="25" xfId="0" applyNumberFormat="1" applyFont="1" applyBorder="1" applyAlignment="1">
      <alignment horizontal="center" vertical="center"/>
    </xf>
    <xf numFmtId="0" fontId="66" fillId="12" borderId="25" xfId="0" applyFont="1" applyFill="1" applyBorder="1" applyAlignment="1">
      <alignment vertical="center"/>
    </xf>
    <xf numFmtId="1" fontId="66" fillId="12" borderId="0" xfId="0" applyNumberFormat="1" applyFont="1" applyFill="1" applyAlignment="1">
      <alignment vertical="center"/>
    </xf>
    <xf numFmtId="1" fontId="66" fillId="12" borderId="10" xfId="0" applyNumberFormat="1" applyFont="1" applyFill="1" applyBorder="1" applyAlignment="1">
      <alignment vertical="center"/>
    </xf>
    <xf numFmtId="1" fontId="66" fillId="12" borderId="25" xfId="0" applyNumberFormat="1" applyFont="1" applyFill="1" applyBorder="1" applyAlignment="1">
      <alignment horizontal="center" vertical="center"/>
    </xf>
    <xf numFmtId="1" fontId="66" fillId="12" borderId="0" xfId="0" applyNumberFormat="1" applyFont="1" applyFill="1" applyAlignment="1">
      <alignment horizontal="center" vertical="center"/>
    </xf>
    <xf numFmtId="1" fontId="66" fillId="12" borderId="10" xfId="0" applyNumberFormat="1" applyFont="1" applyFill="1" applyBorder="1" applyAlignment="1">
      <alignment horizontal="center" vertical="center"/>
    </xf>
    <xf numFmtId="164" fontId="66" fillId="12" borderId="0" xfId="0" applyNumberFormat="1" applyFont="1" applyFill="1" applyAlignment="1">
      <alignment horizontal="center" vertical="center"/>
    </xf>
    <xf numFmtId="164" fontId="66" fillId="12" borderId="10" xfId="0" applyNumberFormat="1" applyFont="1" applyFill="1" applyBorder="1" applyAlignment="1">
      <alignment horizontal="center" vertical="center"/>
    </xf>
    <xf numFmtId="3" fontId="66" fillId="12" borderId="25" xfId="0" applyNumberFormat="1" applyFont="1" applyFill="1" applyBorder="1" applyAlignment="1">
      <alignment horizontal="center" vertical="center"/>
    </xf>
    <xf numFmtId="3" fontId="66" fillId="12" borderId="0" xfId="0" applyNumberFormat="1" applyFont="1" applyFill="1" applyAlignment="1">
      <alignment horizontal="center" vertical="center"/>
    </xf>
    <xf numFmtId="3" fontId="66" fillId="12" borderId="10" xfId="0" applyNumberFormat="1" applyFont="1" applyFill="1" applyBorder="1" applyAlignment="1">
      <alignment horizontal="center" vertical="center"/>
    </xf>
    <xf numFmtId="0" fontId="66" fillId="12" borderId="6" xfId="0" applyFont="1" applyFill="1" applyBorder="1" applyAlignment="1">
      <alignment vertical="center"/>
    </xf>
    <xf numFmtId="0" fontId="66" fillId="12" borderId="26" xfId="0" applyFont="1" applyFill="1" applyBorder="1" applyAlignment="1">
      <alignment vertical="center"/>
    </xf>
    <xf numFmtId="1" fontId="66" fillId="12" borderId="5" xfId="0" applyNumberFormat="1" applyFont="1" applyFill="1" applyBorder="1" applyAlignment="1">
      <alignment vertical="center"/>
    </xf>
    <xf numFmtId="1" fontId="66" fillId="12" borderId="14" xfId="0" applyNumberFormat="1" applyFont="1" applyFill="1" applyBorder="1" applyAlignment="1">
      <alignment vertical="center"/>
    </xf>
    <xf numFmtId="1" fontId="66" fillId="12" borderId="26" xfId="0" applyNumberFormat="1" applyFont="1" applyFill="1" applyBorder="1" applyAlignment="1">
      <alignment horizontal="center" vertical="center"/>
    </xf>
    <xf numFmtId="1" fontId="66" fillId="12" borderId="5" xfId="0" applyNumberFormat="1" applyFont="1" applyFill="1" applyBorder="1" applyAlignment="1">
      <alignment horizontal="center" vertical="center"/>
    </xf>
    <xf numFmtId="1" fontId="66" fillId="12" borderId="14" xfId="0" applyNumberFormat="1" applyFont="1" applyFill="1" applyBorder="1" applyAlignment="1">
      <alignment horizontal="center" vertical="center"/>
    </xf>
    <xf numFmtId="164" fontId="66" fillId="12" borderId="5" xfId="0" applyNumberFormat="1" applyFont="1" applyFill="1" applyBorder="1" applyAlignment="1">
      <alignment horizontal="center" vertical="center"/>
    </xf>
    <xf numFmtId="164" fontId="66" fillId="12" borderId="14" xfId="0" applyNumberFormat="1" applyFont="1" applyFill="1" applyBorder="1" applyAlignment="1">
      <alignment horizontal="center" vertical="center"/>
    </xf>
    <xf numFmtId="0" fontId="66" fillId="12" borderId="15" xfId="0" applyFont="1" applyFill="1" applyBorder="1" applyAlignment="1">
      <alignment vertical="center"/>
    </xf>
    <xf numFmtId="3" fontId="66" fillId="12" borderId="5" xfId="0" applyNumberFormat="1" applyFont="1" applyFill="1" applyBorder="1" applyAlignment="1">
      <alignment horizontal="center" vertical="center"/>
    </xf>
    <xf numFmtId="3" fontId="66" fillId="12" borderId="14" xfId="0" applyNumberFormat="1" applyFont="1" applyFill="1" applyBorder="1" applyAlignment="1">
      <alignment horizontal="center" vertical="center"/>
    </xf>
    <xf numFmtId="2" fontId="57" fillId="0" borderId="0" xfId="0" applyNumberFormat="1" applyFont="1" applyAlignment="1">
      <alignment horizontal="center" vertical="center"/>
    </xf>
    <xf numFmtId="0" fontId="5" fillId="0" borderId="0" xfId="3" applyFill="1"/>
    <xf numFmtId="10" fontId="0" fillId="0" borderId="0" xfId="15" applyNumberFormat="1" applyFont="1"/>
    <xf numFmtId="164" fontId="66" fillId="0" borderId="0" xfId="15" applyNumberFormat="1" applyFont="1" applyBorder="1" applyAlignment="1">
      <alignment horizontal="center" vertical="center"/>
    </xf>
    <xf numFmtId="164" fontId="66" fillId="0" borderId="10" xfId="15" applyNumberFormat="1" applyFont="1" applyBorder="1" applyAlignment="1">
      <alignment horizontal="center" vertical="center"/>
    </xf>
    <xf numFmtId="164" fontId="67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9" fillId="19" borderId="23" xfId="0" applyFont="1" applyFill="1" applyBorder="1" applyAlignment="1">
      <alignment horizontal="left" vertical="center"/>
    </xf>
    <xf numFmtId="0" fontId="17" fillId="23" borderId="1" xfId="0" applyFont="1" applyFill="1" applyBorder="1" applyAlignment="1">
      <alignment vertical="center" wrapText="1"/>
    </xf>
    <xf numFmtId="0" fontId="17" fillId="23" borderId="11" xfId="0" applyFont="1" applyFill="1" applyBorder="1" applyAlignment="1">
      <alignment vertical="center" wrapText="1"/>
    </xf>
    <xf numFmtId="0" fontId="11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7" fillId="33" borderId="25" xfId="0" applyNumberFormat="1" applyFont="1" applyFill="1" applyBorder="1"/>
    <xf numFmtId="2" fontId="17" fillId="34" borderId="25" xfId="0" applyNumberFormat="1" applyFont="1" applyFill="1" applyBorder="1"/>
    <xf numFmtId="0" fontId="17" fillId="23" borderId="9" xfId="0" applyFont="1" applyFill="1" applyBorder="1" applyAlignment="1">
      <alignment horizontal="center" vertical="center" wrapText="1"/>
    </xf>
    <xf numFmtId="0" fontId="17" fillId="23" borderId="6" xfId="0" applyFont="1" applyFill="1" applyBorder="1" applyAlignment="1">
      <alignment horizontal="center" vertical="center" wrapText="1"/>
    </xf>
    <xf numFmtId="0" fontId="11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1" fillId="0" borderId="0" xfId="0" applyFont="1"/>
    <xf numFmtId="1" fontId="41" fillId="0" borderId="54" xfId="0" applyNumberFormat="1" applyFont="1" applyBorder="1"/>
    <xf numFmtId="2" fontId="41" fillId="0" borderId="54" xfId="0" applyNumberFormat="1" applyFont="1" applyBorder="1"/>
    <xf numFmtId="2" fontId="41" fillId="0" borderId="60" xfId="0" applyNumberFormat="1" applyFont="1" applyBorder="1"/>
    <xf numFmtId="2" fontId="41" fillId="0" borderId="59" xfId="0" applyNumberFormat="1" applyFont="1" applyBorder="1"/>
    <xf numFmtId="1" fontId="41" fillId="21" borderId="66" xfId="0" applyNumberFormat="1" applyFont="1" applyFill="1" applyBorder="1"/>
    <xf numFmtId="2" fontId="41" fillId="21" borderId="66" xfId="0" applyNumberFormat="1" applyFont="1" applyFill="1" applyBorder="1"/>
    <xf numFmtId="2" fontId="41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1" fillId="0" borderId="68" xfId="0" applyNumberFormat="1" applyFont="1" applyBorder="1"/>
    <xf numFmtId="2" fontId="41" fillId="0" borderId="68" xfId="0" applyNumberFormat="1" applyFont="1" applyBorder="1"/>
    <xf numFmtId="2" fontId="41" fillId="0" borderId="69" xfId="0" applyNumberFormat="1" applyFont="1" applyBorder="1"/>
    <xf numFmtId="1" fontId="41" fillId="21" borderId="70" xfId="0" applyNumberFormat="1" applyFont="1" applyFill="1" applyBorder="1"/>
    <xf numFmtId="2" fontId="41" fillId="21" borderId="70" xfId="0" applyNumberFormat="1" applyFont="1" applyFill="1" applyBorder="1"/>
    <xf numFmtId="2" fontId="41" fillId="21" borderId="71" xfId="0" applyNumberFormat="1" applyFont="1" applyFill="1" applyBorder="1"/>
    <xf numFmtId="2" fontId="41" fillId="21" borderId="72" xfId="0" applyNumberFormat="1" applyFont="1" applyFill="1" applyBorder="1"/>
    <xf numFmtId="173" fontId="45" fillId="36" borderId="0" xfId="0" applyNumberFormat="1" applyFont="1" applyFill="1"/>
    <xf numFmtId="172" fontId="0" fillId="0" borderId="0" xfId="0" applyNumberFormat="1"/>
    <xf numFmtId="172" fontId="33" fillId="0" borderId="41" xfId="0" applyNumberFormat="1" applyFont="1" applyBorder="1"/>
    <xf numFmtId="172" fontId="5" fillId="0" borderId="6" xfId="0" applyNumberFormat="1" applyFont="1" applyBorder="1"/>
    <xf numFmtId="172" fontId="5" fillId="21" borderId="40" xfId="0" applyNumberFormat="1" applyFont="1" applyFill="1" applyBorder="1"/>
    <xf numFmtId="172" fontId="5" fillId="0" borderId="40" xfId="0" applyNumberFormat="1" applyFont="1" applyBorder="1"/>
    <xf numFmtId="0" fontId="41" fillId="0" borderId="56" xfId="0" applyFont="1" applyBorder="1"/>
    <xf numFmtId="0" fontId="41" fillId="0" borderId="58" xfId="0" applyFont="1" applyBorder="1"/>
    <xf numFmtId="0" fontId="41" fillId="0" borderId="59" xfId="0" applyFont="1" applyBorder="1"/>
    <xf numFmtId="0" fontId="41" fillId="21" borderId="73" xfId="0" applyFont="1" applyFill="1" applyBorder="1"/>
    <xf numFmtId="0" fontId="41" fillId="21" borderId="74" xfId="0" applyFont="1" applyFill="1" applyBorder="1"/>
    <xf numFmtId="0" fontId="41" fillId="21" borderId="72" xfId="0" applyFont="1" applyFill="1" applyBorder="1"/>
    <xf numFmtId="0" fontId="41" fillId="0" borderId="63" xfId="0" applyFont="1" applyBorder="1"/>
    <xf numFmtId="0" fontId="41" fillId="0" borderId="6" xfId="0" applyFont="1" applyBorder="1"/>
    <xf numFmtId="0" fontId="41" fillId="0" borderId="75" xfId="0" applyFont="1" applyBorder="1"/>
    <xf numFmtId="0" fontId="41" fillId="21" borderId="76" xfId="0" applyFont="1" applyFill="1" applyBorder="1"/>
    <xf numFmtId="0" fontId="41" fillId="21" borderId="41" xfId="0" applyFont="1" applyFill="1" applyBorder="1"/>
    <xf numFmtId="0" fontId="41" fillId="21" borderId="77" xfId="0" applyFont="1" applyFill="1" applyBorder="1"/>
    <xf numFmtId="0" fontId="41" fillId="0" borderId="61" xfId="0" applyFont="1" applyBorder="1"/>
    <xf numFmtId="0" fontId="41" fillId="0" borderId="69" xfId="0" applyFont="1" applyBorder="1"/>
    <xf numFmtId="165" fontId="5" fillId="0" borderId="58" xfId="0" applyNumberFormat="1" applyFont="1" applyBorder="1"/>
    <xf numFmtId="165" fontId="5" fillId="21" borderId="41" xfId="0" applyNumberFormat="1" applyFont="1" applyFill="1" applyBorder="1"/>
    <xf numFmtId="165" fontId="5" fillId="0" borderId="7" xfId="0" applyNumberFormat="1" applyFont="1" applyBorder="1"/>
    <xf numFmtId="165" fontId="5" fillId="0" borderId="6" xfId="0" applyNumberFormat="1" applyFont="1" applyBorder="1"/>
    <xf numFmtId="165" fontId="5" fillId="21" borderId="74" xfId="0" applyNumberFormat="1" applyFont="1" applyFill="1" applyBorder="1"/>
    <xf numFmtId="0" fontId="41" fillId="0" borderId="54" xfId="0" applyFont="1" applyBorder="1"/>
    <xf numFmtId="0" fontId="41" fillId="0" borderId="60" xfId="0" applyFont="1" applyBorder="1"/>
    <xf numFmtId="0" fontId="41" fillId="0" borderId="28" xfId="0" applyFont="1" applyBorder="1"/>
    <xf numFmtId="0" fontId="41" fillId="0" borderId="55" xfId="0" applyFont="1" applyBorder="1"/>
    <xf numFmtId="0" fontId="41" fillId="21" borderId="66" xfId="0" applyFont="1" applyFill="1" applyBorder="1"/>
    <xf numFmtId="0" fontId="41" fillId="0" borderId="68" xfId="0" applyFont="1" applyBorder="1"/>
    <xf numFmtId="0" fontId="41" fillId="0" borderId="0" xfId="0" applyFont="1" applyBorder="1"/>
    <xf numFmtId="0" fontId="41" fillId="21" borderId="70" xfId="0" applyFont="1" applyFill="1" applyBorder="1"/>
    <xf numFmtId="0" fontId="41" fillId="21" borderId="71" xfId="0" applyFont="1" applyFill="1" applyBorder="1"/>
    <xf numFmtId="0" fontId="41" fillId="21" borderId="78" xfId="0" applyFont="1" applyFill="1" applyBorder="1"/>
    <xf numFmtId="0" fontId="41" fillId="21" borderId="79" xfId="0" applyFont="1" applyFill="1" applyBorder="1"/>
    <xf numFmtId="0" fontId="41" fillId="0" borderId="80" xfId="0" applyFont="1" applyBorder="1"/>
    <xf numFmtId="0" fontId="41" fillId="21" borderId="38" xfId="0" applyFont="1" applyFill="1" applyBorder="1"/>
    <xf numFmtId="0" fontId="41" fillId="21" borderId="81" xfId="0" applyFont="1" applyFill="1" applyBorder="1"/>
    <xf numFmtId="2" fontId="17" fillId="34" borderId="0" xfId="0" applyNumberFormat="1" applyFont="1" applyFill="1" applyBorder="1"/>
    <xf numFmtId="166" fontId="5" fillId="0" borderId="2" xfId="0" applyNumberFormat="1" applyFont="1" applyBorder="1"/>
    <xf numFmtId="1" fontId="0" fillId="0" borderId="1" xfId="0" applyNumberFormat="1" applyBorder="1"/>
    <xf numFmtId="1" fontId="8" fillId="0" borderId="1" xfId="0" applyNumberFormat="1" applyFont="1" applyBorder="1"/>
    <xf numFmtId="1" fontId="8" fillId="0" borderId="1" xfId="0" applyNumberFormat="1" applyFont="1" applyBorder="1" applyAlignment="1">
      <alignment wrapText="1"/>
    </xf>
    <xf numFmtId="9" fontId="0" fillId="0" borderId="1" xfId="15" applyFont="1" applyBorder="1"/>
    <xf numFmtId="164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5" fillId="0" borderId="25" xfId="16" applyBorder="1"/>
    <xf numFmtId="164" fontId="5" fillId="0" borderId="0" xfId="17" applyNumberFormat="1"/>
    <xf numFmtId="0" fontId="8" fillId="0" borderId="0" xfId="0" applyFont="1"/>
    <xf numFmtId="164" fontId="0" fillId="0" borderId="0" xfId="0" applyNumberFormat="1"/>
    <xf numFmtId="10" fontId="0" fillId="0" borderId="0" xfId="0" applyNumberFormat="1"/>
    <xf numFmtId="10" fontId="12" fillId="6" borderId="0" xfId="0" applyNumberFormat="1" applyFont="1" applyFill="1"/>
    <xf numFmtId="0" fontId="14" fillId="0" borderId="0" xfId="0" applyFont="1"/>
    <xf numFmtId="9" fontId="14" fillId="0" borderId="0" xfId="0" applyNumberFormat="1" applyFont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4" fontId="0" fillId="0" borderId="86" xfId="0" applyNumberFormat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15" applyFont="1" applyFill="1" applyBorder="1"/>
    <xf numFmtId="9" fontId="0" fillId="6" borderId="0" xfId="0" applyNumberFormat="1" applyFill="1"/>
    <xf numFmtId="164" fontId="0" fillId="37" borderId="0" xfId="0" applyNumberFormat="1" applyFill="1"/>
    <xf numFmtId="2" fontId="0" fillId="37" borderId="0" xfId="0" applyNumberFormat="1" applyFill="1"/>
    <xf numFmtId="2" fontId="1" fillId="37" borderId="0" xfId="0" applyNumberFormat="1" applyFont="1" applyFill="1"/>
    <xf numFmtId="0" fontId="0" fillId="0" borderId="0" xfId="0" applyFill="1" applyBorder="1"/>
    <xf numFmtId="0" fontId="17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164" fontId="47" fillId="26" borderId="42" xfId="0" applyNumberFormat="1" applyFont="1" applyFill="1" applyBorder="1" applyAlignment="1">
      <alignment horizontal="center" vertical="center"/>
    </xf>
    <xf numFmtId="164" fontId="47" fillId="26" borderId="27" xfId="0" applyNumberFormat="1" applyFont="1" applyFill="1" applyBorder="1" applyAlignment="1">
      <alignment horizontal="center" vertical="center"/>
    </xf>
    <xf numFmtId="164" fontId="47" fillId="26" borderId="13" xfId="0" applyNumberFormat="1" applyFont="1" applyFill="1" applyBorder="1" applyAlignment="1">
      <alignment horizontal="center" vertical="center"/>
    </xf>
    <xf numFmtId="0" fontId="52" fillId="8" borderId="54" xfId="0" applyFont="1" applyFill="1" applyBorder="1" applyAlignment="1">
      <alignment horizontal="center" vertical="center"/>
    </xf>
    <xf numFmtId="0" fontId="52" fillId="8" borderId="28" xfId="0" applyFont="1" applyFill="1" applyBorder="1" applyAlignment="1">
      <alignment horizontal="center" vertical="center"/>
    </xf>
    <xf numFmtId="0" fontId="52" fillId="8" borderId="55" xfId="0" applyFont="1" applyFill="1" applyBorder="1" applyAlignment="1">
      <alignment horizontal="center" vertical="center"/>
    </xf>
    <xf numFmtId="164" fontId="47" fillId="10" borderId="54" xfId="0" applyNumberFormat="1" applyFont="1" applyFill="1" applyBorder="1" applyAlignment="1">
      <alignment horizontal="center" vertical="center"/>
    </xf>
    <xf numFmtId="164" fontId="47" fillId="10" borderId="55" xfId="0" applyNumberFormat="1" applyFont="1" applyFill="1" applyBorder="1" applyAlignment="1">
      <alignment horizontal="center" vertical="center"/>
    </xf>
    <xf numFmtId="0" fontId="54" fillId="27" borderId="2" xfId="0" applyFont="1" applyFill="1" applyBorder="1" applyAlignment="1">
      <alignment horizontal="center" vertical="center"/>
    </xf>
    <xf numFmtId="0" fontId="54" fillId="27" borderId="2" xfId="0" applyFont="1" applyFill="1" applyBorder="1" applyAlignment="1">
      <alignment horizontal="left" vertical="center"/>
    </xf>
    <xf numFmtId="0" fontId="17" fillId="23" borderId="9" xfId="0" applyFont="1" applyFill="1" applyBorder="1" applyAlignment="1">
      <alignment horizontal="center" vertical="center" wrapText="1"/>
    </xf>
    <xf numFmtId="0" fontId="17" fillId="23" borderId="3" xfId="0" applyFont="1" applyFill="1" applyBorder="1" applyAlignment="1">
      <alignment horizontal="center" vertical="center" wrapText="1"/>
    </xf>
    <xf numFmtId="0" fontId="17" fillId="23" borderId="16" xfId="0" applyFont="1" applyFill="1" applyBorder="1" applyAlignment="1">
      <alignment horizontal="center" vertical="center" wrapText="1"/>
    </xf>
    <xf numFmtId="0" fontId="17" fillId="23" borderId="11" xfId="0" applyFont="1" applyFill="1" applyBorder="1" applyAlignment="1">
      <alignment horizontal="center" vertical="center" wrapText="1"/>
    </xf>
    <xf numFmtId="0" fontId="17" fillId="23" borderId="8" xfId="0" applyFont="1" applyFill="1" applyBorder="1" applyAlignment="1">
      <alignment horizontal="center" vertical="center" wrapText="1"/>
    </xf>
    <xf numFmtId="0" fontId="17" fillId="23" borderId="24" xfId="0" applyFont="1" applyFill="1" applyBorder="1" applyAlignment="1">
      <alignment horizontal="center" vertical="center" wrapText="1"/>
    </xf>
    <xf numFmtId="0" fontId="17" fillId="20" borderId="11" xfId="0" applyFont="1" applyFill="1" applyBorder="1" applyAlignment="1">
      <alignment horizontal="center" vertical="center"/>
    </xf>
    <xf numFmtId="0" fontId="17" fillId="20" borderId="24" xfId="0" applyFont="1" applyFill="1" applyBorder="1" applyAlignment="1">
      <alignment horizontal="center" vertical="center"/>
    </xf>
    <xf numFmtId="0" fontId="17" fillId="20" borderId="8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 wrapText="1"/>
    </xf>
    <xf numFmtId="0" fontId="17" fillId="20" borderId="24" xfId="0" applyFont="1" applyFill="1" applyBorder="1" applyAlignment="1">
      <alignment horizontal="center" vertical="center" wrapText="1"/>
    </xf>
    <xf numFmtId="0" fontId="17" fillId="20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35" borderId="0" xfId="0" applyFill="1" applyAlignment="1">
      <alignment horizontal="center"/>
    </xf>
    <xf numFmtId="0" fontId="5" fillId="35" borderId="0" xfId="0" applyFont="1" applyFill="1" applyAlignment="1">
      <alignment horizontal="center"/>
    </xf>
    <xf numFmtId="0" fontId="70" fillId="36" borderId="0" xfId="0" applyFont="1" applyFill="1" applyAlignment="1">
      <alignment horizontal="center"/>
    </xf>
    <xf numFmtId="0" fontId="17" fillId="23" borderId="64" xfId="0" applyFont="1" applyFill="1" applyBorder="1" applyAlignment="1">
      <alignment horizontal="center" vertical="center" wrapText="1"/>
    </xf>
    <xf numFmtId="0" fontId="17" fillId="23" borderId="4" xfId="0" applyFont="1" applyFill="1" applyBorder="1" applyAlignment="1">
      <alignment horizontal="center" vertical="center" wrapText="1"/>
    </xf>
    <xf numFmtId="0" fontId="17" fillId="23" borderId="65" xfId="0" applyFont="1" applyFill="1" applyBorder="1" applyAlignment="1">
      <alignment horizontal="center" vertical="center" wrapText="1"/>
    </xf>
    <xf numFmtId="0" fontId="61" fillId="31" borderId="3" xfId="0" applyFont="1" applyFill="1" applyBorder="1" applyAlignment="1">
      <alignment horizontal="center" vertical="center" wrapText="1"/>
    </xf>
    <xf numFmtId="0" fontId="61" fillId="31" borderId="9" xfId="0" applyFont="1" applyFill="1" applyBorder="1" applyAlignment="1">
      <alignment horizontal="center" vertical="center" wrapText="1"/>
    </xf>
    <xf numFmtId="0" fontId="61" fillId="31" borderId="16" xfId="0" applyFont="1" applyFill="1" applyBorder="1" applyAlignment="1">
      <alignment horizontal="center" vertical="center" wrapText="1"/>
    </xf>
    <xf numFmtId="0" fontId="61" fillId="32" borderId="9" xfId="0" applyFont="1" applyFill="1" applyBorder="1" applyAlignment="1">
      <alignment horizontal="center" vertical="center" wrapText="1"/>
    </xf>
    <xf numFmtId="0" fontId="61" fillId="32" borderId="3" xfId="0" applyFont="1" applyFill="1" applyBorder="1" applyAlignment="1">
      <alignment horizontal="center" vertical="center" wrapText="1"/>
    </xf>
    <xf numFmtId="0" fontId="61" fillId="3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" fontId="8" fillId="0" borderId="25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8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2 2" xfId="17" xr:uid="{F55A96FA-1F39-4399-9746-FC7A0FF0CF85}"/>
    <cellStyle name="Normal 3" xfId="16" xr:uid="{E546F610-2CE8-44AC-929E-860AF660C194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62" t="s">
        <v>434</v>
      </c>
      <c r="B17" s="562"/>
      <c r="C17" s="562"/>
      <c r="D17" s="562"/>
      <c r="E17" s="562"/>
      <c r="F17" s="562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63" t="s">
        <v>436</v>
      </c>
      <c r="C20" s="563"/>
      <c r="D20" s="563"/>
      <c r="E20" s="563"/>
      <c r="F20" s="563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64" t="s">
        <v>1</v>
      </c>
      <c r="C21" s="564"/>
      <c r="D21" s="564"/>
      <c r="E21" s="564"/>
      <c r="F21" s="564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64" t="s">
        <v>48</v>
      </c>
      <c r="C22" s="564"/>
      <c r="D22" s="564"/>
      <c r="E22" s="564"/>
      <c r="F22" s="564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65"/>
      <c r="B25" s="565"/>
      <c r="C25" s="565"/>
      <c r="D25" s="565"/>
      <c r="E25" s="565"/>
      <c r="F25" s="565"/>
      <c r="G25" s="3"/>
      <c r="H25" s="3"/>
    </row>
    <row r="26" spans="1:14" ht="17.25" customHeight="1" x14ac:dyDescent="0.2">
      <c r="A26" s="561"/>
      <c r="B26" s="561"/>
      <c r="C26" s="561"/>
      <c r="D26" s="561"/>
      <c r="E26" s="561"/>
      <c r="F26" s="561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dimension ref="A1:AD121"/>
  <sheetViews>
    <sheetView tabSelected="1" topLeftCell="B25" zoomScale="80" zoomScaleNormal="80" workbookViewId="0">
      <selection activeCell="T38" sqref="T38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04" t="s">
        <v>1062</v>
      </c>
      <c r="B1" s="606" t="s">
        <v>1063</v>
      </c>
      <c r="C1" s="607"/>
      <c r="D1" s="607"/>
      <c r="E1" s="607"/>
      <c r="F1" s="608"/>
      <c r="G1" s="606" t="s">
        <v>1064</v>
      </c>
      <c r="H1" s="607"/>
      <c r="I1" s="607"/>
      <c r="J1" s="607"/>
      <c r="K1" s="608"/>
      <c r="L1" s="5"/>
      <c r="M1" s="5"/>
      <c r="N1" s="5"/>
      <c r="O1" s="5"/>
      <c r="P1" s="5"/>
      <c r="Q1" s="5"/>
      <c r="R1" s="5"/>
    </row>
    <row r="2" spans="1:18" ht="13.5" thickBot="1" x14ac:dyDescent="0.25">
      <c r="A2" s="605"/>
      <c r="B2" s="527" t="s">
        <v>686</v>
      </c>
      <c r="C2" s="528" t="s">
        <v>1065</v>
      </c>
      <c r="D2" s="528" t="s">
        <v>1066</v>
      </c>
      <c r="E2" s="528" t="s">
        <v>1067</v>
      </c>
      <c r="F2" s="529" t="s">
        <v>1068</v>
      </c>
      <c r="G2" s="527" t="s">
        <v>686</v>
      </c>
      <c r="H2" s="528" t="s">
        <v>1065</v>
      </c>
      <c r="I2" s="528" t="s">
        <v>1066</v>
      </c>
      <c r="J2" s="528" t="s">
        <v>1067</v>
      </c>
      <c r="K2" s="529" t="s">
        <v>1068</v>
      </c>
      <c r="L2" s="5"/>
      <c r="M2" s="530"/>
      <c r="N2" s="5"/>
      <c r="O2" s="5"/>
      <c r="P2" s="5"/>
      <c r="Q2" s="5"/>
      <c r="R2" s="5"/>
    </row>
    <row r="3" spans="1:18" x14ac:dyDescent="0.2">
      <c r="A3" s="531" t="s">
        <v>1069</v>
      </c>
      <c r="B3" s="532">
        <f>SUM(C3:F3)</f>
        <v>113.577</v>
      </c>
      <c r="C3" s="533">
        <v>94.888999999999996</v>
      </c>
      <c r="D3" s="534">
        <v>2.831</v>
      </c>
      <c r="E3" s="534"/>
      <c r="F3" s="535">
        <v>15.856999999999999</v>
      </c>
      <c r="G3" s="532">
        <f>B3/3.6</f>
        <v>31.549166666666665</v>
      </c>
      <c r="H3" s="536">
        <f>C3/3.6</f>
        <v>26.358055555555552</v>
      </c>
      <c r="I3" s="536">
        <f>D3/3.6</f>
        <v>0.7863888888888888</v>
      </c>
      <c r="J3" s="536">
        <f>E3/3.6</f>
        <v>0</v>
      </c>
      <c r="K3" s="537">
        <f>F3/3.6</f>
        <v>4.4047222222222215</v>
      </c>
      <c r="L3" s="5"/>
      <c r="M3" s="538"/>
      <c r="N3" s="539"/>
      <c r="O3" s="5"/>
      <c r="P3" s="5"/>
      <c r="Q3" s="5"/>
      <c r="R3" s="5"/>
    </row>
    <row r="4" spans="1:1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5" x14ac:dyDescent="0.25">
      <c r="A7" s="601" t="s">
        <v>1065</v>
      </c>
      <c r="B7" s="601"/>
      <c r="C7" s="601"/>
      <c r="D7" s="60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5" x14ac:dyDescent="0.25">
      <c r="A8" s="540" t="s">
        <v>1070</v>
      </c>
      <c r="B8" s="540">
        <v>2015</v>
      </c>
      <c r="C8" s="540">
        <v>2020</v>
      </c>
      <c r="D8" s="540">
        <v>2030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">
      <c r="A9" s="5" t="s">
        <v>1071</v>
      </c>
      <c r="B9" s="5"/>
      <c r="C9" s="5">
        <v>31.9</v>
      </c>
      <c r="D9" s="5">
        <v>36.299999999999997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">
      <c r="A10" s="5" t="s">
        <v>1072</v>
      </c>
      <c r="B10" s="5"/>
      <c r="C10" s="471">
        <v>0.4</v>
      </c>
      <c r="D10" s="471">
        <v>0.7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">
      <c r="A11" s="5" t="s">
        <v>1073</v>
      </c>
      <c r="B11" s="5"/>
      <c r="C11" s="5">
        <f>C9*(1-C10)</f>
        <v>19.139999999999997</v>
      </c>
      <c r="D11" s="5">
        <f>D9*(1-D10)</f>
        <v>10.89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">
      <c r="A12" s="5" t="s">
        <v>1074</v>
      </c>
      <c r="B12" s="5"/>
      <c r="C12" s="471">
        <v>0.5</v>
      </c>
      <c r="D12" s="471">
        <f>C12</f>
        <v>0.5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">
      <c r="A13" s="5" t="s">
        <v>1075</v>
      </c>
      <c r="B13" s="5"/>
      <c r="C13" s="471">
        <v>0.4</v>
      </c>
      <c r="D13" s="471">
        <f>C13</f>
        <v>0.4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">
      <c r="A14" s="5" t="s">
        <v>1076</v>
      </c>
      <c r="B14" s="5"/>
      <c r="C14" s="541">
        <f>(C11/C12)*C13</f>
        <v>15.311999999999998</v>
      </c>
      <c r="D14" s="541">
        <f>(D11/D12)*D13</f>
        <v>8.7120000000000015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">
      <c r="A15" s="5" t="s">
        <v>1077</v>
      </c>
      <c r="B15" s="5"/>
      <c r="C15" s="5">
        <f>C14*3600</f>
        <v>55123.19999999999</v>
      </c>
      <c r="D15" s="5">
        <f>D14*3600</f>
        <v>31363.200000000004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">
      <c r="A16" s="5" t="s">
        <v>1078</v>
      </c>
      <c r="B16" s="541">
        <f>C3</f>
        <v>94.888999999999996</v>
      </c>
      <c r="C16" s="541">
        <f>C15/1000</f>
        <v>55.12319999999999</v>
      </c>
      <c r="D16" s="557">
        <f>D15/1000</f>
        <v>31.363200000000003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30" x14ac:dyDescent="0.2">
      <c r="A17" s="5"/>
      <c r="B17" s="541"/>
      <c r="C17" s="541"/>
      <c r="D17" s="54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30" ht="15" x14ac:dyDescent="0.25">
      <c r="A18" s="601" t="s">
        <v>1079</v>
      </c>
      <c r="B18" s="601"/>
      <c r="C18" s="601"/>
      <c r="D18" s="601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30" ht="15" x14ac:dyDescent="0.25">
      <c r="A19" s="540" t="s">
        <v>1070</v>
      </c>
      <c r="B19" s="540"/>
      <c r="C19" s="540">
        <v>2020</v>
      </c>
      <c r="D19" s="540">
        <v>2030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30" x14ac:dyDescent="0.2">
      <c r="A20" s="5" t="s">
        <v>1080</v>
      </c>
      <c r="B20" s="5"/>
      <c r="C20" s="5">
        <f>C9*C10</f>
        <v>12.76</v>
      </c>
      <c r="D20" s="5">
        <f>D9*D10</f>
        <v>25.409999999999997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30" ht="15" x14ac:dyDescent="0.25">
      <c r="A21" s="5" t="s">
        <v>1081</v>
      </c>
      <c r="B21" s="5"/>
      <c r="C21" s="542">
        <v>0.127</v>
      </c>
      <c r="D21" s="543">
        <v>0.1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30" x14ac:dyDescent="0.2">
      <c r="A22" s="5" t="s">
        <v>1082</v>
      </c>
      <c r="B22" s="5"/>
      <c r="C22" s="1">
        <f>C21*(C20/(1-C21))</f>
        <v>1.8562657502863689</v>
      </c>
      <c r="D22" s="1">
        <f>D21*(D20/(1-D21))</f>
        <v>2.8233333333333328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30" x14ac:dyDescent="0.2">
      <c r="A23" s="5" t="s">
        <v>1083</v>
      </c>
      <c r="B23" s="5"/>
      <c r="C23" s="526">
        <v>3</v>
      </c>
      <c r="D23" s="5">
        <v>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30" x14ac:dyDescent="0.2">
      <c r="A24" s="5" t="s">
        <v>1084</v>
      </c>
      <c r="B24" s="5"/>
      <c r="C24" s="1">
        <f>C23*C22</f>
        <v>5.5687972508591068</v>
      </c>
      <c r="D24" s="1">
        <f>D23*D22</f>
        <v>8.4699999999999989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30" x14ac:dyDescent="0.2">
      <c r="A25" s="5" t="s">
        <v>1085</v>
      </c>
      <c r="B25" s="5"/>
      <c r="C25" s="526">
        <f>C24*3600</f>
        <v>20047.670103092783</v>
      </c>
      <c r="D25" s="526">
        <f>D24*3600</f>
        <v>30491.999999999996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30" x14ac:dyDescent="0.2">
      <c r="A26" s="5" t="s">
        <v>1086</v>
      </c>
      <c r="B26" s="5"/>
      <c r="C26" s="541">
        <f>C25/1000</f>
        <v>20.047670103092784</v>
      </c>
      <c r="D26" s="557">
        <f>D25/1000</f>
        <v>30.491999999999997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3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30" ht="15" x14ac:dyDescent="0.25">
      <c r="A28" s="601" t="s">
        <v>1087</v>
      </c>
      <c r="B28" s="601"/>
      <c r="C28" s="601"/>
      <c r="D28" s="601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30" ht="30" x14ac:dyDescent="0.25">
      <c r="A29" s="540" t="s">
        <v>1070</v>
      </c>
      <c r="B29" s="540">
        <v>2015</v>
      </c>
      <c r="C29" s="540">
        <v>2020</v>
      </c>
      <c r="D29" s="540">
        <v>2030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T29" s="521"/>
      <c r="U29" s="522"/>
      <c r="V29" s="523" t="s">
        <v>1048</v>
      </c>
      <c r="W29" s="523" t="s">
        <v>1049</v>
      </c>
      <c r="X29" s="523" t="s">
        <v>1050</v>
      </c>
      <c r="Y29" s="523" t="s">
        <v>1051</v>
      </c>
    </row>
    <row r="30" spans="1:30" x14ac:dyDescent="0.2">
      <c r="A30" s="5" t="s">
        <v>1088</v>
      </c>
      <c r="B30" s="5">
        <v>18</v>
      </c>
      <c r="C30" s="5">
        <f>B30+60</f>
        <v>78</v>
      </c>
      <c r="D30" s="5">
        <f>C30+18.5</f>
        <v>96.5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T30" s="521"/>
      <c r="U30" s="521" t="s">
        <v>1052</v>
      </c>
      <c r="V30" s="521" t="s">
        <v>1053</v>
      </c>
      <c r="W30" s="521" t="s">
        <v>1054</v>
      </c>
      <c r="X30" s="521" t="s">
        <v>1055</v>
      </c>
      <c r="Y30" s="521" t="s">
        <v>1056</v>
      </c>
    </row>
    <row r="31" spans="1:30" ht="15" x14ac:dyDescent="0.25">
      <c r="A31" s="5" t="s">
        <v>1089</v>
      </c>
      <c r="B31" s="471">
        <v>0.25</v>
      </c>
      <c r="C31" s="471">
        <f>B31</f>
        <v>0.25</v>
      </c>
      <c r="D31" s="471">
        <f>C31</f>
        <v>0.25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T31" s="522" t="s">
        <v>1057</v>
      </c>
      <c r="U31" s="521">
        <v>311.65399600000001</v>
      </c>
      <c r="V31" s="521">
        <v>8845.3479520000001</v>
      </c>
      <c r="W31" s="521">
        <v>22461.807872000001</v>
      </c>
      <c r="X31" s="521">
        <v>28682.778717000001</v>
      </c>
      <c r="Y31" s="521">
        <v>8653.6989190000004</v>
      </c>
    </row>
    <row r="32" spans="1:30" ht="15" x14ac:dyDescent="0.25">
      <c r="A32" s="5" t="s">
        <v>1090</v>
      </c>
      <c r="B32" s="526">
        <f>B30/B31</f>
        <v>72</v>
      </c>
      <c r="C32" s="526">
        <f>C30/C31</f>
        <v>312</v>
      </c>
      <c r="D32" s="526">
        <f>D30/D31</f>
        <v>386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T32" s="522" t="s">
        <v>1058</v>
      </c>
      <c r="U32" s="524">
        <v>2.9555506715861044E-3</v>
      </c>
      <c r="V32" s="555">
        <v>8.3884289678565108E-2</v>
      </c>
      <c r="W32" s="555">
        <v>0.21301511353355998</v>
      </c>
      <c r="X32" s="555">
        <v>0.2720112913295839</v>
      </c>
      <c r="Y32" s="555">
        <v>8.2066798372623442E-2</v>
      </c>
      <c r="AA32" s="556">
        <f>SUM(V32:Y32)</f>
        <v>0.65097749291433249</v>
      </c>
      <c r="AD32" t="s">
        <v>1119</v>
      </c>
    </row>
    <row r="33" spans="1:30" ht="15" x14ac:dyDescent="0.25">
      <c r="A33" s="5" t="s">
        <v>1091</v>
      </c>
      <c r="B33" s="471">
        <v>0.8</v>
      </c>
      <c r="C33" s="471">
        <f>B33</f>
        <v>0.8</v>
      </c>
      <c r="D33" s="471">
        <f>C33</f>
        <v>0.8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T33" s="522" t="s">
        <v>329</v>
      </c>
      <c r="U33" s="525"/>
      <c r="V33" s="525">
        <v>8</v>
      </c>
      <c r="W33" s="525">
        <v>6</v>
      </c>
      <c r="X33" s="525">
        <v>3.7</v>
      </c>
      <c r="Y33" s="525">
        <v>1.9</v>
      </c>
      <c r="AD33" s="471">
        <v>0.65</v>
      </c>
    </row>
    <row r="34" spans="1:30" ht="15" x14ac:dyDescent="0.25">
      <c r="A34" s="5" t="s">
        <v>1092</v>
      </c>
      <c r="B34" s="471">
        <v>0.7</v>
      </c>
      <c r="C34" s="471">
        <f>B34</f>
        <v>0.7</v>
      </c>
      <c r="D34" s="471">
        <f>C34</f>
        <v>0.7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T34" s="522" t="s">
        <v>1059</v>
      </c>
      <c r="U34" s="521"/>
      <c r="V34" s="521">
        <v>1387</v>
      </c>
      <c r="W34" s="521">
        <v>2642</v>
      </c>
      <c r="X34" s="521">
        <v>2080</v>
      </c>
      <c r="Y34" s="521">
        <v>322</v>
      </c>
    </row>
    <row r="35" spans="1:30" ht="15" x14ac:dyDescent="0.25">
      <c r="A35" s="5" t="s">
        <v>1093</v>
      </c>
      <c r="B35" s="526">
        <f>(B32*8760*B33*B34)</f>
        <v>353203.19999999995</v>
      </c>
      <c r="C35" s="526">
        <f>(C32*8760*C33*C34)</f>
        <v>1530547.2</v>
      </c>
      <c r="D35" s="526">
        <f>(D32*8760*D33*D34)</f>
        <v>1893561.5999999999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T35" s="522" t="s">
        <v>1060</v>
      </c>
      <c r="U35" s="521"/>
      <c r="V35" s="554">
        <f t="shared" ref="V35:X35" si="0">V34*110%</f>
        <v>1525.7</v>
      </c>
      <c r="W35" s="554">
        <f>W34*110%</f>
        <v>2906.2000000000003</v>
      </c>
      <c r="X35" s="554">
        <f t="shared" si="0"/>
        <v>2288</v>
      </c>
      <c r="Y35" s="554">
        <f>Y34*110%</f>
        <v>354.20000000000005</v>
      </c>
    </row>
    <row r="36" spans="1:30" x14ac:dyDescent="0.2">
      <c r="A36" s="5" t="s">
        <v>1064</v>
      </c>
      <c r="B36" s="541">
        <f>B35/10^6</f>
        <v>0.35320319999999994</v>
      </c>
      <c r="C36" s="541">
        <f>C35/10^6</f>
        <v>1.5305472</v>
      </c>
      <c r="D36" s="541">
        <f>D35/10^6</f>
        <v>1.8935616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T36" s="526"/>
      <c r="U36" s="526"/>
      <c r="V36" s="526"/>
      <c r="W36" s="526"/>
      <c r="X36" s="526"/>
      <c r="Y36" s="526"/>
    </row>
    <row r="37" spans="1:30" x14ac:dyDescent="0.2">
      <c r="A37" s="5" t="s">
        <v>1094</v>
      </c>
      <c r="B37" s="526">
        <f>B36*3600</f>
        <v>1271.5315199999998</v>
      </c>
      <c r="C37" s="526">
        <f>C36*3600</f>
        <v>5509.9699199999995</v>
      </c>
      <c r="D37" s="526">
        <f>D36*3600</f>
        <v>6816.8217599999998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T37" s="526" t="s">
        <v>1061</v>
      </c>
      <c r="U37" s="526"/>
      <c r="V37" s="526"/>
      <c r="W37" s="526"/>
      <c r="X37" s="526"/>
      <c r="Y37" s="526"/>
    </row>
    <row r="38" spans="1:30" x14ac:dyDescent="0.2">
      <c r="A38" s="5" t="s">
        <v>1063</v>
      </c>
      <c r="B38" s="1">
        <f>B37/1000</f>
        <v>1.2715315199999997</v>
      </c>
      <c r="C38" s="1">
        <f>C37/1000</f>
        <v>5.5099699199999996</v>
      </c>
      <c r="D38" s="558">
        <f>D37/1000</f>
        <v>6.8168217599999998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30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T39" t="s">
        <v>1106</v>
      </c>
      <c r="Z39">
        <v>2018</v>
      </c>
    </row>
    <row r="40" spans="1:30" ht="15" x14ac:dyDescent="0.25">
      <c r="A40" s="601" t="s">
        <v>1068</v>
      </c>
      <c r="B40" s="601"/>
      <c r="C40" s="601"/>
      <c r="D40" s="601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t="s">
        <v>8</v>
      </c>
      <c r="T40" t="s">
        <v>1107</v>
      </c>
      <c r="V40">
        <v>101.7</v>
      </c>
      <c r="W40" s="5" t="s">
        <v>16</v>
      </c>
      <c r="Y40" t="s">
        <v>1110</v>
      </c>
      <c r="Z40">
        <v>4.6900000000000004</v>
      </c>
      <c r="AA40" t="s">
        <v>16</v>
      </c>
    </row>
    <row r="41" spans="1:30" ht="15" x14ac:dyDescent="0.25">
      <c r="A41" s="540" t="s">
        <v>1070</v>
      </c>
      <c r="B41" s="540">
        <v>2015</v>
      </c>
      <c r="C41" s="5"/>
      <c r="D41" s="540">
        <v>2030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 t="s">
        <v>1109</v>
      </c>
      <c r="T41" s="5" t="s">
        <v>1108</v>
      </c>
      <c r="U41" s="5"/>
      <c r="V41">
        <v>26.74</v>
      </c>
      <c r="W41" s="5" t="s">
        <v>16</v>
      </c>
      <c r="Y41" t="s">
        <v>1111</v>
      </c>
      <c r="Z41">
        <v>37.79</v>
      </c>
      <c r="AA41" t="s">
        <v>16</v>
      </c>
    </row>
    <row r="42" spans="1:30" ht="15" x14ac:dyDescent="0.25">
      <c r="A42" s="5" t="s">
        <v>1095</v>
      </c>
      <c r="B42" s="1">
        <f>F3</f>
        <v>15.856999999999999</v>
      </c>
      <c r="C42" s="5"/>
      <c r="D42" s="559">
        <f>B42</f>
        <v>15.856999999999999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V42">
        <f>SUM(V40:V41)</f>
        <v>128.44</v>
      </c>
      <c r="W42" t="s">
        <v>16</v>
      </c>
      <c r="Y42" t="s">
        <v>1112</v>
      </c>
      <c r="Z42">
        <v>59.22</v>
      </c>
      <c r="AA42" t="s">
        <v>16</v>
      </c>
    </row>
    <row r="43" spans="1:3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3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30" ht="15" x14ac:dyDescent="0.25">
      <c r="A45" s="601" t="s">
        <v>1096</v>
      </c>
      <c r="B45" s="601"/>
      <c r="C45" s="601"/>
      <c r="D45" s="601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30" ht="15" x14ac:dyDescent="0.25">
      <c r="A46" s="540" t="s">
        <v>1070</v>
      </c>
      <c r="B46" s="540">
        <v>2018</v>
      </c>
      <c r="C46" s="540">
        <v>2020</v>
      </c>
      <c r="D46" s="540">
        <v>2030</v>
      </c>
      <c r="E46" s="5"/>
      <c r="F46" s="540" t="s">
        <v>1097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30" x14ac:dyDescent="0.2">
      <c r="A47" s="5" t="s">
        <v>1098</v>
      </c>
      <c r="B47" s="5">
        <v>400</v>
      </c>
      <c r="C47" s="5">
        <v>700</v>
      </c>
      <c r="D47" s="5">
        <v>1400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Y47" s="5" t="s">
        <v>1114</v>
      </c>
    </row>
    <row r="48" spans="1:30" ht="30" customHeight="1" x14ac:dyDescent="0.25">
      <c r="A48" s="544" t="s">
        <v>1099</v>
      </c>
      <c r="B48" s="545">
        <v>0.5</v>
      </c>
      <c r="C48" s="545">
        <f>B48</f>
        <v>0.5</v>
      </c>
      <c r="D48" s="545">
        <f>C48</f>
        <v>0.5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Y48" t="s">
        <v>1113</v>
      </c>
      <c r="Z48" s="602" t="s">
        <v>1051</v>
      </c>
      <c r="AA48" s="603"/>
      <c r="AB48" s="603"/>
    </row>
    <row r="49" spans="1:28" x14ac:dyDescent="0.2">
      <c r="A49" s="5" t="s">
        <v>1100</v>
      </c>
      <c r="B49" s="5">
        <f>B48*B47</f>
        <v>200</v>
      </c>
      <c r="C49" s="5">
        <f t="shared" ref="C49:D49" si="1">C48*C47</f>
        <v>350</v>
      </c>
      <c r="D49" s="5">
        <f t="shared" si="1"/>
        <v>700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 t="s">
        <v>1110</v>
      </c>
      <c r="Z49" s="5">
        <v>0.35792764326805798</v>
      </c>
    </row>
    <row r="50" spans="1:28" x14ac:dyDescent="0.2">
      <c r="A50" s="5" t="s">
        <v>1101</v>
      </c>
      <c r="B50" s="471">
        <v>1</v>
      </c>
      <c r="C50" s="471">
        <f>B50</f>
        <v>1</v>
      </c>
      <c r="D50" s="471">
        <f>C50</f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 t="s">
        <v>1111</v>
      </c>
      <c r="Z50" s="5">
        <v>0.5922178577259587</v>
      </c>
    </row>
    <row r="51" spans="1:28" x14ac:dyDescent="0.2">
      <c r="A51" s="5" t="s">
        <v>1102</v>
      </c>
      <c r="B51" s="5">
        <f>B49*B50*8760</f>
        <v>1752000</v>
      </c>
      <c r="C51" s="5">
        <f>C49*C50*8760</f>
        <v>3066000</v>
      </c>
      <c r="D51" s="5">
        <f>D49*D50*8760</f>
        <v>6132000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 t="s">
        <v>1112</v>
      </c>
      <c r="Z51" s="5">
        <v>5.2470383697893502E-2</v>
      </c>
    </row>
    <row r="52" spans="1:28" x14ac:dyDescent="0.2">
      <c r="A52" s="5" t="s">
        <v>1103</v>
      </c>
      <c r="B52" s="541">
        <f>B51/10^6</f>
        <v>1.752</v>
      </c>
      <c r="C52" s="541">
        <f>C51/10^6</f>
        <v>3.0659999999999998</v>
      </c>
      <c r="D52" s="541">
        <f>D51/10^6</f>
        <v>6.1319999999999997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60" t="s">
        <v>1118</v>
      </c>
      <c r="Z52">
        <f>V41*AD33*Y32</f>
        <v>1.4264030225145681</v>
      </c>
      <c r="AB52" s="5">
        <f>V41*(AD33/Y32)</f>
        <v>211.79088674913027</v>
      </c>
    </row>
    <row r="53" spans="1:28" ht="15" x14ac:dyDescent="0.25">
      <c r="A53" s="5" t="s">
        <v>1104</v>
      </c>
      <c r="B53" s="526">
        <f>B52*3600</f>
        <v>6307.2</v>
      </c>
      <c r="C53" s="526">
        <f>C52*3600</f>
        <v>11037.599999999999</v>
      </c>
      <c r="D53" s="526">
        <f>D52*3600</f>
        <v>22075.199999999997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t="s">
        <v>1115</v>
      </c>
      <c r="Z53" s="602" t="s">
        <v>1050</v>
      </c>
      <c r="AA53" s="603"/>
      <c r="AB53" s="603"/>
    </row>
    <row r="54" spans="1:28" x14ac:dyDescent="0.2">
      <c r="A54" s="5" t="s">
        <v>1105</v>
      </c>
      <c r="B54" s="1">
        <f>B53/1000</f>
        <v>6.3071999999999999</v>
      </c>
      <c r="C54" s="1">
        <f>C53/1000</f>
        <v>11.037599999999999</v>
      </c>
      <c r="D54" s="558">
        <f>D53/1000</f>
        <v>22.075199999999999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 t="s">
        <v>1110</v>
      </c>
      <c r="Z54">
        <v>0.31966635214720912</v>
      </c>
      <c r="AA54" s="5"/>
    </row>
    <row r="55" spans="1:2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 t="s">
        <v>1111</v>
      </c>
      <c r="Z55">
        <v>0.60404221809878245</v>
      </c>
      <c r="AA55" s="5"/>
    </row>
    <row r="56" spans="1:2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 t="s">
        <v>1112</v>
      </c>
      <c r="Z56" s="5">
        <v>7.6291429754008364E-2</v>
      </c>
      <c r="AA56" s="5"/>
    </row>
    <row r="57" spans="1:2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Y57" s="560" t="s">
        <v>1118</v>
      </c>
      <c r="AA57" s="5"/>
    </row>
    <row r="58" spans="1:28" ht="15" x14ac:dyDescent="0.25">
      <c r="A58" s="546" t="str">
        <f>A54</f>
        <v>Excess Heat Production (PJ)</v>
      </c>
      <c r="B58" s="546">
        <v>2020</v>
      </c>
      <c r="C58" s="546">
        <v>2030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8" ht="60" customHeight="1" x14ac:dyDescent="0.25">
      <c r="A59" s="547" t="str">
        <f>A7</f>
        <v>Power Plants</v>
      </c>
      <c r="B59" s="548">
        <f>C16</f>
        <v>55.12319999999999</v>
      </c>
      <c r="C59" s="548">
        <f>D16</f>
        <v>31.363200000000003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>
        <v>10382</v>
      </c>
      <c r="V59">
        <f>SUM(U59:U68)/SUM($U$59:$U$118)</f>
        <v>0.25224485887083364</v>
      </c>
      <c r="Y59" t="s">
        <v>1116</v>
      </c>
      <c r="Z59" s="602" t="s">
        <v>1117</v>
      </c>
      <c r="AA59" s="603"/>
      <c r="AB59" s="603"/>
    </row>
    <row r="60" spans="1:28" x14ac:dyDescent="0.2">
      <c r="A60" s="547" t="str">
        <f>A18</f>
        <v>Excess Renewable Electricity via Heat Pump</v>
      </c>
      <c r="B60" s="549">
        <f>C26</f>
        <v>20.047670103092784</v>
      </c>
      <c r="C60" s="549">
        <f>D26</f>
        <v>30.491999999999997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>
        <v>16686</v>
      </c>
      <c r="V60" s="5">
        <f>SUM(U69:U88)/SUM($U$59:$U$118)</f>
        <v>0.54761388560430635</v>
      </c>
      <c r="Y60" s="5" t="s">
        <v>1110</v>
      </c>
      <c r="Z60">
        <v>0.20014125552486003</v>
      </c>
    </row>
    <row r="61" spans="1:28" x14ac:dyDescent="0.2">
      <c r="A61" s="547" t="str">
        <f>A28</f>
        <v>Waste Incinteration</v>
      </c>
      <c r="B61" s="548">
        <f>C38</f>
        <v>5.5099699199999996</v>
      </c>
      <c r="C61" s="548">
        <f>D38</f>
        <v>6.8168217599999998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>
        <v>18407</v>
      </c>
      <c r="V61" s="5">
        <f>SUM(U89:U118)/SUM($U$59:$U$118)</f>
        <v>0.20014125552486003</v>
      </c>
      <c r="Y61" s="5" t="s">
        <v>1111</v>
      </c>
      <c r="Z61">
        <v>0.54761388560430635</v>
      </c>
    </row>
    <row r="62" spans="1:28" x14ac:dyDescent="0.2">
      <c r="A62" s="547" t="str">
        <f>A40</f>
        <v>Industrial Excess Heat</v>
      </c>
      <c r="B62" s="548">
        <f>B42</f>
        <v>15.856999999999999</v>
      </c>
      <c r="C62" s="548">
        <f>D42</f>
        <v>15.856999999999999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>
        <v>29802</v>
      </c>
      <c r="Y62" s="5" t="s">
        <v>1112</v>
      </c>
      <c r="Z62" s="5">
        <v>0.25224485887083364</v>
      </c>
    </row>
    <row r="63" spans="1:28" ht="13.5" thickBot="1" x14ac:dyDescent="0.25">
      <c r="A63" s="550" t="str">
        <f>A45</f>
        <v>Data Centres</v>
      </c>
      <c r="B63" s="551">
        <f>C54</f>
        <v>11.037599999999999</v>
      </c>
      <c r="C63" s="551">
        <f>D54</f>
        <v>22.075199999999999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>
        <v>18482</v>
      </c>
      <c r="Y63" s="560" t="s">
        <v>1118</v>
      </c>
    </row>
    <row r="64" spans="1:28" ht="15.75" thickTop="1" x14ac:dyDescent="0.25">
      <c r="A64" s="552" t="s">
        <v>686</v>
      </c>
      <c r="B64" s="553">
        <f>SUM(B59:B63)</f>
        <v>107.57544002309277</v>
      </c>
      <c r="C64" s="553">
        <f>SUM(C59:C63)</f>
        <v>106.60422175999999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>
        <v>33556</v>
      </c>
    </row>
    <row r="65" spans="1:2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>
        <v>5486</v>
      </c>
    </row>
    <row r="66" spans="1:2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>
        <v>32180</v>
      </c>
    </row>
    <row r="67" spans="1:2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>
        <v>18782</v>
      </c>
    </row>
    <row r="68" spans="1:2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>
        <v>5882</v>
      </c>
    </row>
    <row r="69" spans="1:2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>
        <v>48881</v>
      </c>
    </row>
    <row r="70" spans="1:2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>
        <v>30769</v>
      </c>
    </row>
    <row r="71" spans="1:2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>
        <v>41053</v>
      </c>
    </row>
    <row r="72" spans="1:2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>
        <v>27726</v>
      </c>
    </row>
    <row r="73" spans="1:2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>
        <v>13392</v>
      </c>
    </row>
    <row r="74" spans="1:2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>
        <v>18454</v>
      </c>
    </row>
    <row r="75" spans="1:2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>
        <v>15121</v>
      </c>
    </row>
    <row r="76" spans="1:2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>
        <v>19735</v>
      </c>
    </row>
    <row r="77" spans="1:2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>
        <v>12957</v>
      </c>
    </row>
    <row r="78" spans="1:2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>
        <v>10702</v>
      </c>
    </row>
    <row r="79" spans="1:2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>
        <v>74446</v>
      </c>
    </row>
    <row r="80" spans="1:2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>
        <v>13288</v>
      </c>
    </row>
    <row r="81" spans="1:2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>
        <v>18704</v>
      </c>
    </row>
    <row r="82" spans="1:21" x14ac:dyDescent="0.2">
      <c r="S82" s="5"/>
      <c r="T82" s="5"/>
      <c r="U82" s="5">
        <v>8135</v>
      </c>
    </row>
    <row r="83" spans="1:21" x14ac:dyDescent="0.2">
      <c r="S83" s="5"/>
      <c r="T83" s="5"/>
      <c r="U83" s="5">
        <v>9934</v>
      </c>
    </row>
    <row r="84" spans="1:21" x14ac:dyDescent="0.2">
      <c r="S84" s="5"/>
      <c r="T84" s="5"/>
      <c r="U84" s="5">
        <v>6193</v>
      </c>
    </row>
    <row r="85" spans="1:21" x14ac:dyDescent="0.2">
      <c r="S85" s="5"/>
      <c r="T85" s="5"/>
      <c r="U85" s="5">
        <v>18300</v>
      </c>
    </row>
    <row r="86" spans="1:21" x14ac:dyDescent="0.2">
      <c r="S86" s="5"/>
      <c r="T86" s="5"/>
      <c r="U86" s="5">
        <v>11039</v>
      </c>
    </row>
    <row r="87" spans="1:21" x14ac:dyDescent="0.2">
      <c r="S87" s="5"/>
      <c r="T87" s="5"/>
      <c r="U87" s="5">
        <v>8126</v>
      </c>
    </row>
    <row r="88" spans="1:21" x14ac:dyDescent="0.2">
      <c r="S88" s="5"/>
      <c r="T88" s="5"/>
      <c r="U88" s="5">
        <v>4757</v>
      </c>
    </row>
    <row r="89" spans="1:21" x14ac:dyDescent="0.2">
      <c r="S89" s="5"/>
      <c r="T89" s="5"/>
      <c r="U89" s="5">
        <v>60349</v>
      </c>
    </row>
    <row r="90" spans="1:21" x14ac:dyDescent="0.2">
      <c r="S90" s="5"/>
      <c r="T90" s="5"/>
      <c r="U90" s="5">
        <v>15974</v>
      </c>
    </row>
    <row r="91" spans="1:21" x14ac:dyDescent="0.2">
      <c r="S91" s="5"/>
      <c r="T91" s="5"/>
      <c r="U91" s="5">
        <v>16445</v>
      </c>
    </row>
    <row r="92" spans="1:21" x14ac:dyDescent="0.2">
      <c r="S92" s="5"/>
      <c r="T92" s="5"/>
      <c r="U92" s="5">
        <v>6232</v>
      </c>
    </row>
    <row r="93" spans="1:21" x14ac:dyDescent="0.2">
      <c r="S93" s="5"/>
      <c r="T93" s="5"/>
      <c r="U93" s="5">
        <v>2456</v>
      </c>
    </row>
    <row r="94" spans="1:21" x14ac:dyDescent="0.2">
      <c r="S94" s="5"/>
      <c r="T94" s="5"/>
      <c r="U94" s="5">
        <v>4388</v>
      </c>
    </row>
    <row r="95" spans="1:21" x14ac:dyDescent="0.2">
      <c r="S95" s="5"/>
      <c r="T95" s="5"/>
      <c r="U95" s="5">
        <v>7409</v>
      </c>
    </row>
    <row r="96" spans="1:21" x14ac:dyDescent="0.2">
      <c r="S96" s="5"/>
      <c r="T96" s="5"/>
      <c r="U96" s="5">
        <v>6172</v>
      </c>
    </row>
    <row r="97" spans="19:21" x14ac:dyDescent="0.2">
      <c r="S97" s="5"/>
      <c r="T97" s="5"/>
      <c r="U97" s="5">
        <v>2480</v>
      </c>
    </row>
    <row r="98" spans="19:21" x14ac:dyDescent="0.2">
      <c r="S98" s="5"/>
      <c r="T98" s="5"/>
      <c r="U98" s="5">
        <v>6055</v>
      </c>
    </row>
    <row r="99" spans="19:21" x14ac:dyDescent="0.2">
      <c r="S99" s="5"/>
      <c r="T99" s="5"/>
      <c r="U99" s="5">
        <v>12177</v>
      </c>
    </row>
    <row r="100" spans="19:21" x14ac:dyDescent="0.2">
      <c r="S100" s="5"/>
      <c r="T100" s="5"/>
      <c r="U100" s="5">
        <v>1255</v>
      </c>
    </row>
    <row r="101" spans="19:21" x14ac:dyDescent="0.2">
      <c r="S101" s="5"/>
      <c r="T101" s="5"/>
      <c r="U101" s="5">
        <v>570</v>
      </c>
    </row>
    <row r="102" spans="19:21" x14ac:dyDescent="0.2">
      <c r="S102" s="5"/>
      <c r="T102" s="5"/>
      <c r="U102" s="5">
        <v>742</v>
      </c>
    </row>
    <row r="103" spans="19:21" x14ac:dyDescent="0.2">
      <c r="S103" s="5"/>
      <c r="T103" s="5"/>
      <c r="U103" s="5">
        <v>392</v>
      </c>
    </row>
    <row r="104" spans="19:21" x14ac:dyDescent="0.2">
      <c r="S104" s="5"/>
      <c r="T104" s="5"/>
      <c r="U104" s="5">
        <v>507</v>
      </c>
    </row>
    <row r="105" spans="19:21" x14ac:dyDescent="0.2">
      <c r="S105" s="5"/>
      <c r="T105" s="5"/>
      <c r="U105" s="5">
        <v>2121</v>
      </c>
    </row>
    <row r="106" spans="19:21" x14ac:dyDescent="0.2">
      <c r="S106" s="5"/>
      <c r="T106" s="5"/>
      <c r="U106" s="5">
        <v>896</v>
      </c>
    </row>
    <row r="107" spans="19:21" x14ac:dyDescent="0.2">
      <c r="S107" s="5"/>
      <c r="T107" s="5"/>
      <c r="U107" s="5">
        <v>501</v>
      </c>
    </row>
    <row r="108" spans="19:21" x14ac:dyDescent="0.2">
      <c r="S108" s="5"/>
      <c r="T108" s="5"/>
      <c r="U108" s="5">
        <v>769</v>
      </c>
    </row>
    <row r="109" spans="19:21" x14ac:dyDescent="0.2">
      <c r="S109" s="5"/>
      <c r="T109" s="5"/>
      <c r="U109" s="5">
        <v>2011</v>
      </c>
    </row>
    <row r="110" spans="19:21" x14ac:dyDescent="0.2">
      <c r="S110" s="5"/>
      <c r="T110" s="5"/>
      <c r="U110" s="5">
        <v>88</v>
      </c>
    </row>
    <row r="111" spans="19:21" x14ac:dyDescent="0.2">
      <c r="S111" s="5"/>
      <c r="T111" s="5"/>
      <c r="U111" s="5">
        <v>40</v>
      </c>
    </row>
    <row r="112" spans="19:21" x14ac:dyDescent="0.2">
      <c r="S112" s="5"/>
      <c r="T112" s="5"/>
      <c r="U112" s="5">
        <v>46</v>
      </c>
    </row>
    <row r="113" spans="19:21" x14ac:dyDescent="0.2">
      <c r="S113" s="5"/>
      <c r="T113" s="5"/>
      <c r="U113" s="5">
        <v>26</v>
      </c>
    </row>
    <row r="114" spans="19:21" x14ac:dyDescent="0.2">
      <c r="S114" s="5"/>
      <c r="T114" s="5"/>
      <c r="U114" s="5">
        <v>39</v>
      </c>
    </row>
    <row r="115" spans="19:21" x14ac:dyDescent="0.2">
      <c r="S115" s="5"/>
      <c r="T115" s="5"/>
      <c r="U115" s="5">
        <v>178</v>
      </c>
    </row>
    <row r="116" spans="19:21" x14ac:dyDescent="0.2">
      <c r="S116" s="5"/>
      <c r="T116" s="5"/>
      <c r="U116" s="5">
        <v>68</v>
      </c>
    </row>
    <row r="117" spans="19:21" x14ac:dyDescent="0.2">
      <c r="S117" s="5"/>
      <c r="T117" s="5"/>
      <c r="U117" s="5">
        <v>21</v>
      </c>
    </row>
    <row r="118" spans="19:21" x14ac:dyDescent="0.2">
      <c r="S118" s="5"/>
      <c r="T118" s="5"/>
      <c r="U118" s="5">
        <v>65</v>
      </c>
    </row>
    <row r="119" spans="19:21" x14ac:dyDescent="0.2">
      <c r="S119" s="5"/>
      <c r="T119" s="5"/>
    </row>
    <row r="120" spans="19:21" x14ac:dyDescent="0.2">
      <c r="S120" s="5"/>
      <c r="T120" s="5"/>
    </row>
    <row r="121" spans="19:21" x14ac:dyDescent="0.2">
      <c r="S121" s="5"/>
      <c r="T121" s="5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7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66" t="s">
        <v>4</v>
      </c>
      <c r="C2" s="567"/>
      <c r="D2" s="567"/>
      <c r="E2" s="568"/>
      <c r="G2" s="566" t="s">
        <v>5</v>
      </c>
      <c r="H2" s="568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69" t="s">
        <v>70</v>
      </c>
      <c r="C20" s="570"/>
      <c r="D20" s="570"/>
      <c r="E20" s="571"/>
      <c r="G20" s="566" t="s">
        <v>14</v>
      </c>
      <c r="H20" s="568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66" t="s">
        <v>78</v>
      </c>
      <c r="C38" s="567"/>
      <c r="D38" s="567"/>
      <c r="E38" s="568"/>
      <c r="G38" s="572" t="s">
        <v>72</v>
      </c>
      <c r="H38" s="573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1006</v>
      </c>
      <c r="H40" s="261" t="s">
        <v>1007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1008</v>
      </c>
      <c r="H3" s="64" t="s">
        <v>33</v>
      </c>
      <c r="I3" s="63" t="s">
        <v>660</v>
      </c>
      <c r="J3" s="63" t="s">
        <v>314</v>
      </c>
      <c r="M3" s="5" t="s">
        <v>390</v>
      </c>
      <c r="S3" s="574" t="s">
        <v>680</v>
      </c>
      <c r="T3" s="574"/>
      <c r="U3" s="574"/>
      <c r="V3" s="574"/>
      <c r="W3" s="574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(AK23*N11)/2</f>
        <v>2.1494423184792772E-4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75" t="s">
        <v>110</v>
      </c>
      <c r="N9" s="575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(AK23*N11)/2</f>
        <v>2.1494423184792772E-4</v>
      </c>
      <c r="J10" s="141"/>
      <c r="M10" s="291" t="s">
        <v>1038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1039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(AK37*N11)/2</f>
        <v>3.7440784810945435E-4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(AK37*N11)/2</f>
        <v>3.7440784810945435E-4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(AK52*N11)/2</f>
        <v>3.9601185380309516E-4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(AK52*N11)/2</f>
        <v>3.9601185380309516E-4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732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732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732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1027</v>
      </c>
      <c r="B4" s="5"/>
      <c r="C4" s="180"/>
      <c r="D4" s="180"/>
      <c r="E4" s="5"/>
      <c r="F4" s="181"/>
      <c r="G4" s="181"/>
      <c r="N4" s="179" t="s">
        <v>1028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topLeftCell="A56" zoomScale="60" zoomScaleNormal="60" workbookViewId="0">
      <selection activeCell="C106" sqref="C10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1031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744</v>
      </c>
      <c r="AC3" s="63" t="s">
        <v>745</v>
      </c>
      <c r="AD3" s="63" t="s">
        <v>746</v>
      </c>
      <c r="AE3" s="63" t="s">
        <v>664</v>
      </c>
      <c r="AF3" s="63" t="s">
        <v>313</v>
      </c>
      <c r="AG3" s="63" t="s">
        <v>731</v>
      </c>
      <c r="AH3" s="63" t="s">
        <v>314</v>
      </c>
      <c r="AI3" s="63" t="s">
        <v>1029</v>
      </c>
    </row>
    <row r="4" spans="3:43" ht="38.25" x14ac:dyDescent="0.2">
      <c r="C4" s="62" t="s">
        <v>742</v>
      </c>
      <c r="D4" s="62" t="s">
        <v>42</v>
      </c>
      <c r="E4" s="62" t="s">
        <v>316</v>
      </c>
      <c r="F4" s="62" t="s">
        <v>1032</v>
      </c>
      <c r="G4" s="62" t="s">
        <v>317</v>
      </c>
      <c r="H4" s="582" t="s">
        <v>719</v>
      </c>
      <c r="I4" s="583"/>
      <c r="J4" s="583"/>
      <c r="K4" s="584"/>
      <c r="L4" s="582" t="s">
        <v>319</v>
      </c>
      <c r="M4" s="583"/>
      <c r="N4" s="583"/>
      <c r="O4" s="584"/>
      <c r="P4" s="582" t="s">
        <v>320</v>
      </c>
      <c r="Q4" s="583"/>
      <c r="R4" s="583"/>
      <c r="S4" s="584"/>
      <c r="T4" s="582" t="s">
        <v>321</v>
      </c>
      <c r="U4" s="584"/>
      <c r="V4" s="585" t="s">
        <v>322</v>
      </c>
      <c r="W4" s="586"/>
      <c r="X4" s="586"/>
      <c r="Y4" s="587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741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733</v>
      </c>
      <c r="D6" s="84"/>
      <c r="E6" s="84"/>
      <c r="F6" s="84"/>
      <c r="G6" s="85"/>
      <c r="H6" s="576" t="s">
        <v>45</v>
      </c>
      <c r="I6" s="577"/>
      <c r="J6" s="577"/>
      <c r="K6" s="578"/>
      <c r="L6" s="577" t="s">
        <v>45</v>
      </c>
      <c r="M6" s="577"/>
      <c r="N6" s="577"/>
      <c r="O6" s="578"/>
      <c r="P6" s="576" t="s">
        <v>45</v>
      </c>
      <c r="Q6" s="577"/>
      <c r="R6" s="577"/>
      <c r="S6" s="578"/>
      <c r="T6" s="576" t="s">
        <v>302</v>
      </c>
      <c r="U6" s="578"/>
      <c r="V6" s="576" t="s">
        <v>967</v>
      </c>
      <c r="W6" s="577"/>
      <c r="X6" s="577"/>
      <c r="Y6" s="578"/>
      <c r="Z6" s="107" t="s">
        <v>979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747</v>
      </c>
      <c r="AG6" s="107" t="s">
        <v>45</v>
      </c>
      <c r="AH6" s="107" t="s">
        <v>330</v>
      </c>
      <c r="AI6" s="107" t="s">
        <v>1030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720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720</v>
      </c>
      <c r="F8" s="70"/>
      <c r="G8" s="103" t="s">
        <v>713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725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9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725</v>
      </c>
      <c r="F10" s="70"/>
      <c r="G10" s="103" t="s">
        <v>713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721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SUM(2.79+0.25)</f>
        <v>3.04</v>
      </c>
      <c r="W11" s="456">
        <f t="shared" ref="W11:Y11" si="11">SUM(2.79+0.25)</f>
        <v>3.04</v>
      </c>
      <c r="X11" s="456">
        <f t="shared" si="11"/>
        <v>3.04</v>
      </c>
      <c r="Y11" s="456">
        <f t="shared" si="11"/>
        <v>3.04</v>
      </c>
      <c r="Z11" s="456">
        <f>0.12+0.15</f>
        <v>0.27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721</v>
      </c>
      <c r="F12" s="70"/>
      <c r="G12" s="103" t="s">
        <v>713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2">I12*0.7</f>
        <v>0.7</v>
      </c>
      <c r="R12" s="321">
        <f t="shared" si="12"/>
        <v>0.7</v>
      </c>
      <c r="S12" s="322">
        <f t="shared" si="12"/>
        <v>0.7</v>
      </c>
      <c r="T12" s="99">
        <v>22</v>
      </c>
      <c r="U12" s="70"/>
      <c r="V12" s="457">
        <f>V11*($U$150/$U$149)</f>
        <v>3.0656540084388189</v>
      </c>
      <c r="W12" s="457">
        <f>W11*($U$150/$U$149)</f>
        <v>3.0656540084388189</v>
      </c>
      <c r="X12" s="457">
        <f>X11*($U$150/$U$149)</f>
        <v>3.0656540084388189</v>
      </c>
      <c r="Y12" s="457">
        <f>Y11*($U$150/$U$149)</f>
        <v>3.0656540084388189</v>
      </c>
      <c r="Z12" s="457">
        <f>0.12+0.15</f>
        <v>0.27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724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724</v>
      </c>
      <c r="F14" s="70"/>
      <c r="G14" s="103" t="s">
        <v>713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3">H14*0.7</f>
        <v>0.7</v>
      </c>
      <c r="Q14" s="321">
        <f t="shared" si="13"/>
        <v>0.7</v>
      </c>
      <c r="R14" s="321">
        <f t="shared" si="13"/>
        <v>0.7</v>
      </c>
      <c r="S14" s="322">
        <f t="shared" si="13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734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4">C18</f>
        <v>R-SH_Apt_ELC_HPN1</v>
      </c>
      <c r="AM16" s="149" t="str">
        <f t="shared" si="14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735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4"/>
        <v>R-HC_Apt_ELC_HPN1</v>
      </c>
      <c r="AM17" s="151" t="str">
        <f t="shared" si="14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1033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5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4"/>
        <v>R-SH_Apt_ELC_HPN2</v>
      </c>
      <c r="AM18" s="151" t="str">
        <f t="shared" si="14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1033</v>
      </c>
      <c r="G19" s="103" t="s">
        <v>714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5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4"/>
        <v>R-SW_Apt_ELC_HPN1</v>
      </c>
      <c r="AM19" s="151" t="str">
        <f t="shared" si="14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1033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5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4"/>
        <v>R-SH_Apt_ELC_HPN3</v>
      </c>
      <c r="AM20" s="151" t="str">
        <f t="shared" si="14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1033</v>
      </c>
      <c r="G21" s="103" t="s">
        <v>713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6">I21*0.7</f>
        <v>0.76999999999999991</v>
      </c>
      <c r="R21" s="69">
        <f t="shared" si="16"/>
        <v>0.86333333333333329</v>
      </c>
      <c r="S21" s="103">
        <f t="shared" si="16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5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4"/>
        <v>R-HC_Apt_ELC_HPN2</v>
      </c>
      <c r="AM21" s="154" t="str">
        <f t="shared" si="14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1033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5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1033</v>
      </c>
      <c r="G23" s="141" t="s">
        <v>714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5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736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725</v>
      </c>
      <c r="F25" s="135" t="s">
        <v>1033</v>
      </c>
      <c r="G25" s="135" t="s">
        <v>713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7">I25*0.7</f>
        <v>1.2530864197530862</v>
      </c>
      <c r="R25" s="66">
        <f t="shared" si="17"/>
        <v>1.4691358024691357</v>
      </c>
      <c r="S25" s="102">
        <f t="shared" si="17"/>
        <v>1.4691358024691357</v>
      </c>
      <c r="T25" s="135">
        <v>20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8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725</v>
      </c>
      <c r="F26" s="73" t="s">
        <v>1033</v>
      </c>
      <c r="G26" s="73" t="s">
        <v>713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9">I26*0.7</f>
        <v>1.2055555555555555</v>
      </c>
      <c r="R26" s="72">
        <f t="shared" ref="R26" si="20">J26*0.7</f>
        <v>1.2055555555555555</v>
      </c>
      <c r="S26" s="105">
        <f t="shared" ref="S26" si="21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8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737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729</v>
      </c>
      <c r="F28" s="167" t="s">
        <v>1033</v>
      </c>
      <c r="G28" s="144" t="s">
        <v>713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2">J28*0.7</f>
        <v>2.7299999999999995</v>
      </c>
      <c r="S28" s="105">
        <f t="shared" si="22"/>
        <v>2.7299999999999995</v>
      </c>
      <c r="T28" s="333">
        <v>20</v>
      </c>
      <c r="U28" s="334"/>
      <c r="V28" s="125">
        <f>(V21+V10)*0.8</f>
        <v>8.3046953586497896</v>
      </c>
      <c r="W28" s="125">
        <f t="shared" ref="W28:Y28" si="23">(W21+W10)*0.8</f>
        <v>7.7598479662447266</v>
      </c>
      <c r="X28" s="125">
        <f t="shared" si="23"/>
        <v>7.2640368391561196</v>
      </c>
      <c r="Y28" s="125">
        <f t="shared" si="23"/>
        <v>7.2150005738396636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738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984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712</v>
      </c>
      <c r="F30" s="135"/>
      <c r="G30" s="67" t="s">
        <v>713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4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712</v>
      </c>
      <c r="F31" s="73"/>
      <c r="G31" s="74" t="s">
        <v>713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4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739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5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730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5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740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986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6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987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6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1031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744</v>
      </c>
      <c r="AC41" s="63" t="s">
        <v>745</v>
      </c>
      <c r="AD41" s="63" t="s">
        <v>746</v>
      </c>
      <c r="AE41" s="63" t="s">
        <v>664</v>
      </c>
      <c r="AF41" s="63" t="s">
        <v>313</v>
      </c>
      <c r="AG41" s="63" t="s">
        <v>731</v>
      </c>
      <c r="AH41" s="63" t="s">
        <v>314</v>
      </c>
      <c r="AI41" s="63" t="s">
        <v>1029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1032</v>
      </c>
      <c r="G42" s="62" t="s">
        <v>317</v>
      </c>
      <c r="H42" s="582" t="s">
        <v>318</v>
      </c>
      <c r="I42" s="583"/>
      <c r="J42" s="583"/>
      <c r="K42" s="584"/>
      <c r="L42" s="582" t="s">
        <v>319</v>
      </c>
      <c r="M42" s="583"/>
      <c r="N42" s="583"/>
      <c r="O42" s="584"/>
      <c r="P42" s="582" t="s">
        <v>320</v>
      </c>
      <c r="Q42" s="583"/>
      <c r="R42" s="583"/>
      <c r="S42" s="584"/>
      <c r="T42" s="582" t="s">
        <v>321</v>
      </c>
      <c r="U42" s="584"/>
      <c r="V42" s="585" t="s">
        <v>322</v>
      </c>
      <c r="W42" s="586"/>
      <c r="X42" s="586"/>
      <c r="Y42" s="587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743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733</v>
      </c>
      <c r="D44" s="84"/>
      <c r="E44" s="84"/>
      <c r="F44" s="84"/>
      <c r="G44" s="85"/>
      <c r="H44" s="576" t="s">
        <v>45</v>
      </c>
      <c r="I44" s="577"/>
      <c r="J44" s="577"/>
      <c r="K44" s="578"/>
      <c r="L44" s="577" t="s">
        <v>45</v>
      </c>
      <c r="M44" s="577"/>
      <c r="N44" s="577"/>
      <c r="O44" s="578"/>
      <c r="P44" s="576" t="s">
        <v>45</v>
      </c>
      <c r="Q44" s="577"/>
      <c r="R44" s="577"/>
      <c r="S44" s="578"/>
      <c r="T44" s="579" t="s">
        <v>302</v>
      </c>
      <c r="U44" s="580"/>
      <c r="V44" s="579" t="s">
        <v>967</v>
      </c>
      <c r="W44" s="581"/>
      <c r="X44" s="581"/>
      <c r="Y44" s="580"/>
      <c r="Z44" s="450" t="s">
        <v>979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747</v>
      </c>
      <c r="AG44" s="450" t="s">
        <v>45</v>
      </c>
      <c r="AH44" s="450" t="s">
        <v>330</v>
      </c>
      <c r="AI44" s="450" t="s">
        <v>1030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720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7">W49*1.3</f>
        <v>4.2250000000000005</v>
      </c>
      <c r="X45" s="456">
        <f t="shared" si="27"/>
        <v>4.2250000000000005</v>
      </c>
      <c r="Y45" s="456">
        <f t="shared" si="27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8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9">C45</f>
        <v>R-SH_Att_KER_N1</v>
      </c>
      <c r="AM45" s="151" t="str">
        <f t="shared" ref="AM45:AM60" si="30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720</v>
      </c>
      <c r="F46" s="70"/>
      <c r="G46" s="103" t="s">
        <v>715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31">I46*0.7</f>
        <v>0.7</v>
      </c>
      <c r="R46" s="69">
        <f t="shared" ref="R46:R48" si="32">J46*0.7</f>
        <v>0.7</v>
      </c>
      <c r="S46" s="103">
        <f t="shared" ref="S46:S48" si="33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4">W50*1.3</f>
        <v>4.2773760330578519</v>
      </c>
      <c r="X46" s="457">
        <f t="shared" si="34"/>
        <v>4.2773760330578519</v>
      </c>
      <c r="Y46" s="457">
        <f t="shared" si="34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8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9"/>
        <v>R-SW_Att_KER_N1</v>
      </c>
      <c r="AM46" s="151" t="str">
        <f t="shared" si="30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722</v>
      </c>
      <c r="F47" s="76"/>
      <c r="G47" s="104" t="s">
        <v>715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31"/>
        <v>0.7</v>
      </c>
      <c r="R47" s="75">
        <f t="shared" si="32"/>
        <v>0.7</v>
      </c>
      <c r="S47" s="104">
        <f t="shared" si="33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8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9"/>
        <v>R-SW_Att_KER_N2</v>
      </c>
      <c r="AM47" s="151" t="str">
        <f t="shared" si="30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723</v>
      </c>
      <c r="F48" s="70"/>
      <c r="G48" s="103" t="s">
        <v>715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31"/>
        <v>0.71749999999999992</v>
      </c>
      <c r="R48" s="69">
        <f t="shared" si="32"/>
        <v>0.71749999999999992</v>
      </c>
      <c r="S48" s="103">
        <f t="shared" si="33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9"/>
        <v>R-SW_Att_KER_N3</v>
      </c>
      <c r="AM48" s="151" t="str">
        <f t="shared" si="30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725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5">3.25</f>
        <v>3.25</v>
      </c>
      <c r="X49" s="456">
        <f t="shared" si="35"/>
        <v>3.25</v>
      </c>
      <c r="Y49" s="456">
        <f t="shared" si="35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8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9"/>
        <v>R-SH_Att_GAS_N1</v>
      </c>
      <c r="AM49" s="151" t="str">
        <f t="shared" si="30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725</v>
      </c>
      <c r="F50" s="70"/>
      <c r="G50" s="103" t="s">
        <v>715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6">I50*0.7</f>
        <v>0.7</v>
      </c>
      <c r="R50" s="69">
        <f t="shared" ref="R50:R52" si="37">J50*0.7</f>
        <v>0.7</v>
      </c>
      <c r="S50" s="103">
        <f t="shared" ref="S50:S52" si="38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8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9"/>
        <v>R-SW_Att_GAS_N1</v>
      </c>
      <c r="AM50" s="151" t="str">
        <f t="shared" si="30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726</v>
      </c>
      <c r="F51" s="76"/>
      <c r="G51" s="104" t="s">
        <v>715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6"/>
        <v>0.7</v>
      </c>
      <c r="R51" s="75">
        <f t="shared" si="37"/>
        <v>0.7</v>
      </c>
      <c r="S51" s="104">
        <f t="shared" si="38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8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9"/>
        <v>R-SW_Att_GAS_N2</v>
      </c>
      <c r="AM51" s="151" t="str">
        <f t="shared" si="30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727</v>
      </c>
      <c r="F52" s="70"/>
      <c r="G52" s="103" t="s">
        <v>715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6"/>
        <v>0.71749999999999992</v>
      </c>
      <c r="R52" s="69">
        <f t="shared" si="37"/>
        <v>0.71749999999999992</v>
      </c>
      <c r="S52" s="103">
        <f t="shared" si="38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8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9"/>
        <v>R-SW_Att_GAS_N3</v>
      </c>
      <c r="AM52" s="151" t="str">
        <f t="shared" si="30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721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SUM(V49+0.25)</f>
        <v>3.5</v>
      </c>
      <c r="W53" s="456">
        <f t="shared" ref="W53:Y53" si="39">SUM(W49+0.25)</f>
        <v>3.5</v>
      </c>
      <c r="X53" s="456">
        <f t="shared" si="39"/>
        <v>3.5</v>
      </c>
      <c r="Y53" s="456">
        <f t="shared" si="39"/>
        <v>3.5</v>
      </c>
      <c r="Z53" s="456">
        <f>SUM(0.12+0.15)</f>
        <v>0.27</v>
      </c>
      <c r="AA53" s="111"/>
      <c r="AB53" s="88"/>
      <c r="AC53" s="118"/>
      <c r="AD53" s="118"/>
      <c r="AE53" s="118"/>
      <c r="AF53" s="108">
        <f t="shared" si="28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9"/>
        <v>R-SH_Att_LPG_N1</v>
      </c>
      <c r="AM53" s="151" t="str">
        <f t="shared" si="30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721</v>
      </c>
      <c r="F54" s="70"/>
      <c r="G54" s="103" t="s">
        <v>715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40">I54*0.7</f>
        <v>0.7</v>
      </c>
      <c r="R54" s="69">
        <f t="shared" ref="R54" si="41">J54*0.7</f>
        <v>0.7</v>
      </c>
      <c r="S54" s="103">
        <f t="shared" ref="S54" si="42">K54*0.7</f>
        <v>0.7</v>
      </c>
      <c r="T54" s="99">
        <v>20</v>
      </c>
      <c r="U54" s="71"/>
      <c r="V54" s="457">
        <f>V49*($U$152/$U$151)+0.25</f>
        <v>3.5402892561983474</v>
      </c>
      <c r="W54" s="457">
        <f t="shared" ref="W54:Y54" si="43">W49*($U$152/$U$151)+0.25</f>
        <v>3.5402892561983474</v>
      </c>
      <c r="X54" s="457">
        <f t="shared" si="43"/>
        <v>3.5402892561983474</v>
      </c>
      <c r="Y54" s="457">
        <f t="shared" si="43"/>
        <v>3.5402892561983474</v>
      </c>
      <c r="Z54" s="456">
        <f>SUM(0.12+0.15)</f>
        <v>0.27</v>
      </c>
      <c r="AA54" s="112"/>
      <c r="AB54" s="90"/>
      <c r="AC54" s="119"/>
      <c r="AD54" s="119"/>
      <c r="AE54" s="119"/>
      <c r="AF54" s="109">
        <f t="shared" si="28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9"/>
        <v>R-SW_Att_LPG_N1</v>
      </c>
      <c r="AM54" s="151" t="str">
        <f t="shared" si="30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724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8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9"/>
        <v>R-SH_Att_WOO_N1</v>
      </c>
      <c r="AM55" s="151" t="str">
        <f t="shared" si="30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724</v>
      </c>
      <c r="F56" s="70"/>
      <c r="G56" s="103" t="s">
        <v>715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4">H56*0.7</f>
        <v>0.7</v>
      </c>
      <c r="Q56" s="69">
        <f t="shared" si="44"/>
        <v>0.7</v>
      </c>
      <c r="R56" s="69">
        <f t="shared" si="44"/>
        <v>0.7</v>
      </c>
      <c r="S56" s="103">
        <f t="shared" si="44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8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9"/>
        <v>R-SW_Att_WOO_N1</v>
      </c>
      <c r="AM56" s="154" t="str">
        <f t="shared" si="30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86" t="str">
        <f>"R-SH_Att"&amp;"_"&amp;"FPL"&amp;"_N1"</f>
        <v>R-SH_Att_FPL_N1</v>
      </c>
      <c r="D57" s="75" t="s">
        <v>1040</v>
      </c>
      <c r="E57" s="76" t="s">
        <v>1035</v>
      </c>
      <c r="F57" s="76"/>
      <c r="G57" s="104" t="s">
        <v>392</v>
      </c>
      <c r="H57" s="86">
        <v>0.55000000000000004</v>
      </c>
      <c r="I57" s="86">
        <v>0.55000000000000004</v>
      </c>
      <c r="J57" s="86">
        <v>0.55000000000000004</v>
      </c>
      <c r="K57" s="86">
        <v>0.55000000000000004</v>
      </c>
      <c r="L57" s="90"/>
      <c r="M57" s="78"/>
      <c r="N57" s="78"/>
      <c r="O57" s="91"/>
      <c r="P57" s="68"/>
      <c r="Q57" s="69"/>
      <c r="R57" s="69"/>
      <c r="S57" s="103"/>
      <c r="T57" s="100">
        <v>20</v>
      </c>
      <c r="U57" s="71"/>
      <c r="V57" s="457">
        <f>((JRC_Data!BB13)/1000)*$U$151</f>
        <v>2.4293436293436295</v>
      </c>
      <c r="W57" s="457">
        <f>((JRC_Data!BC13)/1000)*$U$151</f>
        <v>2.4293436293436295</v>
      </c>
      <c r="X57" s="457">
        <f>((JRC_Data!BD13)/1000)*$U$151</f>
        <v>3.2702702702702702</v>
      </c>
      <c r="Y57" s="457">
        <f>((JRC_Data!BE13)/1000)*$U$151</f>
        <v>3.2702702702702702</v>
      </c>
      <c r="Z57" s="457">
        <v>0.12</v>
      </c>
      <c r="AA57" s="112"/>
      <c r="AB57" s="90"/>
      <c r="AC57" s="119"/>
      <c r="AD57" s="119"/>
      <c r="AE57" s="119"/>
      <c r="AF57" s="109">
        <f t="shared" si="28"/>
        <v>0.63072000000000006</v>
      </c>
      <c r="AG57" s="112"/>
      <c r="AH57" s="111">
        <v>2019</v>
      </c>
      <c r="AI57" s="112">
        <v>20</v>
      </c>
      <c r="AK57" s="155"/>
      <c r="AL57" s="154" t="s">
        <v>1036</v>
      </c>
      <c r="AM57" s="154" t="str">
        <f t="shared" si="30"/>
        <v>Residential  Stove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"R-SW_Att"&amp;"_"&amp;"FPL"&amp;"_N1"</f>
        <v>R-SW_Att_FPL_N1</v>
      </c>
      <c r="D58" s="69" t="s">
        <v>1041</v>
      </c>
      <c r="E58" s="70" t="s">
        <v>1035</v>
      </c>
      <c r="F58" s="70"/>
      <c r="G58" s="103" t="s">
        <v>715</v>
      </c>
      <c r="H58" s="86">
        <v>0.55000000000000004</v>
      </c>
      <c r="I58" s="86">
        <v>0.55000000000000004</v>
      </c>
      <c r="J58" s="86">
        <v>0.55000000000000004</v>
      </c>
      <c r="K58" s="86">
        <v>0.55000000000000004</v>
      </c>
      <c r="L58" s="90"/>
      <c r="M58" s="78"/>
      <c r="N58" s="78"/>
      <c r="O58" s="91"/>
      <c r="P58" s="68">
        <f t="shared" ref="P58" si="45">H58*0.7</f>
        <v>0.38500000000000001</v>
      </c>
      <c r="Q58" s="69">
        <f t="shared" ref="Q58" si="46">I58*0.7</f>
        <v>0.38500000000000001</v>
      </c>
      <c r="R58" s="69">
        <f t="shared" ref="R58" si="47">J58*0.7</f>
        <v>0.38500000000000001</v>
      </c>
      <c r="S58" s="103">
        <f t="shared" ref="S58" si="48">K58*0.7</f>
        <v>0.38500000000000001</v>
      </c>
      <c r="T58" s="99">
        <v>20</v>
      </c>
      <c r="U58" s="71"/>
      <c r="V58" s="457">
        <f>((JRC_Data!BB13)/1000)*$U$152</f>
        <v>2.4594594594594597</v>
      </c>
      <c r="W58" s="457">
        <f>((JRC_Data!BC13)/1000)*$U$152</f>
        <v>2.4594594594594597</v>
      </c>
      <c r="X58" s="457">
        <f>((JRC_Data!BD13)/1000)*$U$152</f>
        <v>3.310810810810811</v>
      </c>
      <c r="Y58" s="457">
        <f>((JRC_Data!BE13)/1000)*$U$152</f>
        <v>3.310810810810811</v>
      </c>
      <c r="Z58" s="519">
        <v>0.12</v>
      </c>
      <c r="AA58" s="112"/>
      <c r="AB58" s="90"/>
      <c r="AC58" s="119"/>
      <c r="AD58" s="119"/>
      <c r="AE58" s="119"/>
      <c r="AF58" s="109">
        <f t="shared" si="28"/>
        <v>0.63072000000000006</v>
      </c>
      <c r="AG58" s="112"/>
      <c r="AH58" s="112">
        <v>2019</v>
      </c>
      <c r="AI58" s="112">
        <v>20</v>
      </c>
      <c r="AK58" s="155"/>
      <c r="AL58" s="154" t="s">
        <v>1037</v>
      </c>
      <c r="AM58" s="154" t="str">
        <f t="shared" si="30"/>
        <v>Residential  Stove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86" t="s">
        <v>1042</v>
      </c>
      <c r="D59" s="75" t="s">
        <v>698</v>
      </c>
      <c r="E59" s="76" t="s">
        <v>728</v>
      </c>
      <c r="F59" s="76"/>
      <c r="G59" s="104" t="s">
        <v>392</v>
      </c>
      <c r="H59" s="86">
        <v>0.82</v>
      </c>
      <c r="I59" s="86">
        <v>0.82</v>
      </c>
      <c r="J59" s="86">
        <v>0.82</v>
      </c>
      <c r="K59" s="86">
        <v>0.82</v>
      </c>
      <c r="L59" s="88"/>
      <c r="M59" s="77"/>
      <c r="N59" s="77"/>
      <c r="O59" s="89"/>
      <c r="P59" s="86">
        <f t="shared" si="44"/>
        <v>0.57399999999999995</v>
      </c>
      <c r="Q59" s="75">
        <f t="shared" si="44"/>
        <v>0.57399999999999995</v>
      </c>
      <c r="R59" s="75">
        <f t="shared" si="44"/>
        <v>0.57399999999999995</v>
      </c>
      <c r="S59" s="104">
        <f t="shared" si="44"/>
        <v>0.57399999999999995</v>
      </c>
      <c r="T59" s="100">
        <v>20</v>
      </c>
      <c r="U59" s="87"/>
      <c r="V59" s="108">
        <f>V45</f>
        <v>4.2250000000000005</v>
      </c>
      <c r="W59" s="108">
        <f t="shared" ref="W59:Z60" si="49">W45</f>
        <v>4.2250000000000005</v>
      </c>
      <c r="X59" s="108">
        <f t="shared" si="49"/>
        <v>4.2250000000000005</v>
      </c>
      <c r="Y59" s="108">
        <f t="shared" si="49"/>
        <v>4.2250000000000005</v>
      </c>
      <c r="Z59" s="108">
        <f t="shared" si="49"/>
        <v>0.12</v>
      </c>
      <c r="AA59" s="111"/>
      <c r="AB59" s="88"/>
      <c r="AC59" s="118"/>
      <c r="AD59" s="118"/>
      <c r="AE59" s="118"/>
      <c r="AF59" s="108">
        <f>31.536*(AI59/1000)</f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9"/>
        <v>R-SH_Att_HVO_N1</v>
      </c>
      <c r="AM59" s="154" t="str">
        <f t="shared" si="30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1043</v>
      </c>
      <c r="D60" s="69" t="s">
        <v>990</v>
      </c>
      <c r="E60" s="70" t="s">
        <v>728</v>
      </c>
      <c r="F60" s="70"/>
      <c r="G60" s="103" t="s">
        <v>715</v>
      </c>
      <c r="H60" s="68">
        <v>0.82</v>
      </c>
      <c r="I60" s="68">
        <v>0.82</v>
      </c>
      <c r="J60" s="68">
        <v>0.82</v>
      </c>
      <c r="K60" s="68">
        <v>0.82</v>
      </c>
      <c r="L60" s="95"/>
      <c r="M60" s="96"/>
      <c r="N60" s="96"/>
      <c r="O60" s="97"/>
      <c r="P60" s="329">
        <f t="shared" si="44"/>
        <v>0.57399999999999995</v>
      </c>
      <c r="Q60" s="72">
        <f t="shared" si="44"/>
        <v>0.57399999999999995</v>
      </c>
      <c r="R60" s="72">
        <f t="shared" si="44"/>
        <v>0.57399999999999995</v>
      </c>
      <c r="S60" s="105">
        <f t="shared" si="44"/>
        <v>0.57399999999999995</v>
      </c>
      <c r="T60" s="101">
        <v>20</v>
      </c>
      <c r="U60" s="74"/>
      <c r="V60" s="108">
        <f>V46</f>
        <v>4.2773760330578519</v>
      </c>
      <c r="W60" s="108">
        <f t="shared" ref="W60:Y60" si="50">W46</f>
        <v>4.2773760330578519</v>
      </c>
      <c r="X60" s="108">
        <f t="shared" si="50"/>
        <v>4.2773760330578519</v>
      </c>
      <c r="Y60" s="108">
        <f t="shared" si="50"/>
        <v>4.2773760330578519</v>
      </c>
      <c r="Z60" s="108">
        <f t="shared" si="49"/>
        <v>0.12</v>
      </c>
      <c r="AA60" s="112"/>
      <c r="AB60" s="90"/>
      <c r="AC60" s="119"/>
      <c r="AD60" s="119"/>
      <c r="AE60" s="119"/>
      <c r="AF60" s="109">
        <f t="shared" si="28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9"/>
        <v>R-SW_Att_HVO_N1</v>
      </c>
      <c r="AM60" s="154" t="str">
        <f t="shared" si="30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734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8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51">C64</f>
        <v>R-SH_Att_ELC_HPN1</v>
      </c>
      <c r="AM62" s="149" t="str">
        <f t="shared" si="51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735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51"/>
        <v>R-HC_Att_ELC_HPN1</v>
      </c>
      <c r="AM63" s="151" t="str">
        <f t="shared" si="51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1033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8"/>
        <v>0.220752</v>
      </c>
      <c r="AG64" s="134"/>
      <c r="AH64" s="134">
        <v>2100</v>
      </c>
      <c r="AI64" s="134">
        <v>7</v>
      </c>
      <c r="AK64" s="152"/>
      <c r="AL64" s="151" t="str">
        <f t="shared" si="51"/>
        <v>R-SH_Att_ELC_HPN2</v>
      </c>
      <c r="AM64" s="151" t="str">
        <f t="shared" si="51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1033</v>
      </c>
      <c r="G65" s="103" t="s">
        <v>716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8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51"/>
        <v>R-SW_Att_ELC_HPN1</v>
      </c>
      <c r="AM65" s="151" t="str">
        <f t="shared" si="51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1033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8"/>
        <v>0.220752</v>
      </c>
      <c r="AG66" s="111"/>
      <c r="AH66" s="111">
        <v>2019</v>
      </c>
      <c r="AI66" s="111">
        <v>7</v>
      </c>
      <c r="AK66" s="286"/>
      <c r="AL66" s="151" t="str">
        <f t="shared" si="51"/>
        <v>R-SW_Att_ELC_HPN2</v>
      </c>
      <c r="AM66" s="151" t="str">
        <f t="shared" si="51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1033</v>
      </c>
      <c r="G67" s="103" t="s">
        <v>715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52">I67*0.7</f>
        <v>0.76999999999999991</v>
      </c>
      <c r="R67" s="69">
        <f t="shared" ref="R67:R68" si="53">J67*0.7</f>
        <v>0.86333333333333329</v>
      </c>
      <c r="S67" s="103">
        <f t="shared" ref="S67:S68" si="54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8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51"/>
        <v>R-SH_Att_ELC_HPN3</v>
      </c>
      <c r="AM67" s="151" t="str">
        <f t="shared" si="51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1023</v>
      </c>
      <c r="F68" s="76" t="s">
        <v>1033</v>
      </c>
      <c r="G68" s="104" t="s">
        <v>715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52"/>
        <v>0.77700000000000002</v>
      </c>
      <c r="R68" s="75">
        <f t="shared" si="53"/>
        <v>0.83299999999999996</v>
      </c>
      <c r="S68" s="104">
        <f t="shared" si="54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8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51"/>
        <v>R-HC_Att_ELC_HPN2</v>
      </c>
      <c r="AM68" s="154" t="str">
        <f t="shared" si="51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1033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8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1033</v>
      </c>
      <c r="G70" s="141" t="s">
        <v>716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8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736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725</v>
      </c>
      <c r="F72" s="135" t="s">
        <v>1033</v>
      </c>
      <c r="G72" s="135" t="s">
        <v>715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55">I72*0.7</f>
        <v>1.2530864197530862</v>
      </c>
      <c r="R72" s="66">
        <f t="shared" ref="R72:R73" si="56">J72*0.7</f>
        <v>1.4691358024691357</v>
      </c>
      <c r="S72" s="102">
        <f t="shared" ref="S72:S73" si="57">K72*0.7</f>
        <v>1.4691358024691357</v>
      </c>
      <c r="T72" s="135">
        <v>20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8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725</v>
      </c>
      <c r="F73" s="73" t="s">
        <v>1033</v>
      </c>
      <c r="G73" s="73" t="s">
        <v>715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55"/>
        <v>1.2055555555555555</v>
      </c>
      <c r="R73" s="72">
        <f t="shared" si="56"/>
        <v>1.2055555555555555</v>
      </c>
      <c r="S73" s="105">
        <f t="shared" si="57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729</v>
      </c>
      <c r="F75" s="167" t="s">
        <v>1033</v>
      </c>
      <c r="G75" s="144" t="s">
        <v>715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8">I75*0.7</f>
        <v>2.5409999999999995</v>
      </c>
      <c r="R75" s="72">
        <f t="shared" ref="R75" si="59">J75*0.7</f>
        <v>2.7299999999999995</v>
      </c>
      <c r="S75" s="105">
        <f t="shared" ref="S75" si="60">K75*0.7</f>
        <v>2.7299999999999995</v>
      </c>
      <c r="T75" s="5">
        <v>20</v>
      </c>
      <c r="V75" s="125">
        <f>(V67+V50)*0.8</f>
        <v>9.5138179028489738</v>
      </c>
      <c r="W75" s="125">
        <f t="shared" ref="W75:Y75" si="61">(W67+W50)*0.8</f>
        <v>8.8944751180388462</v>
      </c>
      <c r="X75" s="125">
        <f t="shared" si="61"/>
        <v>8.3308731838616321</v>
      </c>
      <c r="Y75" s="125">
        <f t="shared" si="61"/>
        <v>8.2751323332287203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8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712</v>
      </c>
      <c r="F77" s="135"/>
      <c r="G77" s="135" t="s">
        <v>715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8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712</v>
      </c>
      <c r="F78" s="73"/>
      <c r="G78" s="73" t="s">
        <v>715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8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8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730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8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740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8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1031</v>
      </c>
      <c r="G89" s="60" t="s">
        <v>31</v>
      </c>
      <c r="H89" s="63" t="s">
        <v>994</v>
      </c>
      <c r="I89" s="63" t="s">
        <v>995</v>
      </c>
      <c r="J89" s="63" t="s">
        <v>996</v>
      </c>
      <c r="K89" s="63" t="s">
        <v>997</v>
      </c>
      <c r="L89" s="63" t="s">
        <v>998</v>
      </c>
      <c r="M89" s="63" t="s">
        <v>999</v>
      </c>
      <c r="N89" s="63" t="s">
        <v>1000</v>
      </c>
      <c r="O89" s="63" t="s">
        <v>1001</v>
      </c>
      <c r="P89" s="63" t="s">
        <v>1002</v>
      </c>
      <c r="Q89" s="63" t="s">
        <v>1003</v>
      </c>
      <c r="R89" s="63" t="s">
        <v>1004</v>
      </c>
      <c r="S89" s="63" t="s">
        <v>1005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744</v>
      </c>
      <c r="AC89" s="63" t="s">
        <v>745</v>
      </c>
      <c r="AD89" s="63" t="s">
        <v>746</v>
      </c>
      <c r="AE89" s="63" t="s">
        <v>664</v>
      </c>
      <c r="AF89" s="63" t="s">
        <v>313</v>
      </c>
      <c r="AG89" s="63" t="s">
        <v>731</v>
      </c>
      <c r="AH89" s="63" t="s">
        <v>314</v>
      </c>
      <c r="AI89" s="63" t="s">
        <v>1029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1032</v>
      </c>
      <c r="G90" s="62" t="s">
        <v>317</v>
      </c>
      <c r="H90" s="582" t="s">
        <v>318</v>
      </c>
      <c r="I90" s="583"/>
      <c r="J90" s="583"/>
      <c r="K90" s="584"/>
      <c r="L90" s="582" t="s">
        <v>319</v>
      </c>
      <c r="M90" s="583"/>
      <c r="N90" s="583"/>
      <c r="O90" s="584"/>
      <c r="P90" s="582" t="s">
        <v>320</v>
      </c>
      <c r="Q90" s="583"/>
      <c r="R90" s="583"/>
      <c r="S90" s="584"/>
      <c r="T90" s="582" t="s">
        <v>321</v>
      </c>
      <c r="U90" s="584"/>
      <c r="V90" s="585" t="s">
        <v>322</v>
      </c>
      <c r="W90" s="586"/>
      <c r="X90" s="586"/>
      <c r="Y90" s="587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1024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733</v>
      </c>
      <c r="D92" s="84"/>
      <c r="E92" s="84"/>
      <c r="F92" s="84"/>
      <c r="G92" s="85"/>
      <c r="H92" s="576" t="s">
        <v>45</v>
      </c>
      <c r="I92" s="577"/>
      <c r="J92" s="577"/>
      <c r="K92" s="578"/>
      <c r="L92" s="577" t="s">
        <v>45</v>
      </c>
      <c r="M92" s="577"/>
      <c r="N92" s="577"/>
      <c r="O92" s="578"/>
      <c r="P92" s="576" t="s">
        <v>45</v>
      </c>
      <c r="Q92" s="577"/>
      <c r="R92" s="577"/>
      <c r="S92" s="578"/>
      <c r="T92" s="579" t="s">
        <v>302</v>
      </c>
      <c r="U92" s="580"/>
      <c r="V92" s="579" t="s">
        <v>967</v>
      </c>
      <c r="W92" s="581"/>
      <c r="X92" s="581"/>
      <c r="Y92" s="580"/>
      <c r="Z92" s="450" t="s">
        <v>979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747</v>
      </c>
      <c r="AG92" s="450" t="s">
        <v>45</v>
      </c>
      <c r="AH92" s="450" t="s">
        <v>330</v>
      </c>
      <c r="AI92" s="450" t="s">
        <v>1030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720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62">W97*1.3</f>
        <v>4.5825000000000005</v>
      </c>
      <c r="X93" s="456">
        <f t="shared" si="62"/>
        <v>4.5825000000000005</v>
      </c>
      <c r="Y93" s="456">
        <f t="shared" si="62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63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720</v>
      </c>
      <c r="F94" s="70"/>
      <c r="G94" s="103" t="s">
        <v>717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64">I94*0.7</f>
        <v>0.7</v>
      </c>
      <c r="R94" s="69">
        <f t="shared" ref="R94:R96" si="65">J94*0.7</f>
        <v>0.7</v>
      </c>
      <c r="S94" s="103">
        <f t="shared" ref="S94:S96" si="66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67">W98*1.3</f>
        <v>4.9452075289575284</v>
      </c>
      <c r="X94" s="457">
        <f t="shared" si="67"/>
        <v>4.9452075289575284</v>
      </c>
      <c r="Y94" s="457">
        <f t="shared" si="67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63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68">C94</f>
        <v>R-SW_Det_KER_N1</v>
      </c>
      <c r="AM94" s="151" t="str">
        <f t="shared" ref="AM94:AM108" si="69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722</v>
      </c>
      <c r="F95" s="76"/>
      <c r="G95" s="104" t="s">
        <v>717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64"/>
        <v>0.7</v>
      </c>
      <c r="R95" s="75">
        <f t="shared" si="65"/>
        <v>0.7</v>
      </c>
      <c r="S95" s="104">
        <f t="shared" si="66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63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68"/>
        <v>R-SW_Det_KER_N2</v>
      </c>
      <c r="AM95" s="151" t="str">
        <f t="shared" si="69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723</v>
      </c>
      <c r="F96" s="70"/>
      <c r="G96" s="103" t="s">
        <v>717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64"/>
        <v>0.71749999999999992</v>
      </c>
      <c r="R96" s="69">
        <f t="shared" si="65"/>
        <v>0.71749999999999992</v>
      </c>
      <c r="S96" s="103">
        <f t="shared" si="66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63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68"/>
        <v>R-SW_Det_KER_N3</v>
      </c>
      <c r="AM96" s="151" t="str">
        <f t="shared" si="69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725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70">3.525</f>
        <v>3.5249999999999999</v>
      </c>
      <c r="X97" s="456">
        <f t="shared" si="70"/>
        <v>3.5249999999999999</v>
      </c>
      <c r="Y97" s="456">
        <f t="shared" si="70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63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68"/>
        <v>R-SH_Det_GAS_N1</v>
      </c>
      <c r="AM97" s="151" t="str">
        <f t="shared" si="69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725</v>
      </c>
      <c r="F98" s="70"/>
      <c r="G98" s="103" t="s">
        <v>717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71">I98*0.7</f>
        <v>0.7</v>
      </c>
      <c r="R98" s="69">
        <f t="shared" ref="R98:R100" si="72">J98*0.7</f>
        <v>0.7</v>
      </c>
      <c r="S98" s="103">
        <f t="shared" ref="S98:S100" si="73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63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68"/>
        <v>R-SW_Det_GAS_N1</v>
      </c>
      <c r="AM98" s="151" t="str">
        <f t="shared" si="69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726</v>
      </c>
      <c r="F99" s="76"/>
      <c r="G99" s="104" t="s">
        <v>717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71"/>
        <v>0.7</v>
      </c>
      <c r="R99" s="75">
        <f t="shared" si="72"/>
        <v>0.7</v>
      </c>
      <c r="S99" s="104">
        <f t="shared" si="73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63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68"/>
        <v>R-SW_Det_GAS_N2</v>
      </c>
      <c r="AM99" s="151" t="str">
        <f t="shared" si="69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727</v>
      </c>
      <c r="F100" s="70"/>
      <c r="G100" s="103" t="s">
        <v>717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71"/>
        <v>0.71749999999999992</v>
      </c>
      <c r="R100" s="69">
        <f t="shared" si="72"/>
        <v>0.71749999999999992</v>
      </c>
      <c r="S100" s="103">
        <f t="shared" si="73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63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68"/>
        <v>R-SW_Det_GAS_N3</v>
      </c>
      <c r="AM100" s="151" t="str">
        <f t="shared" si="69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721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V97+0.25</f>
        <v>3.7749999999999999</v>
      </c>
      <c r="W101" s="456">
        <f t="shared" ref="W101:Y101" si="74">W97+0.25</f>
        <v>3.7749999999999999</v>
      </c>
      <c r="X101" s="456">
        <f t="shared" si="74"/>
        <v>3.7749999999999999</v>
      </c>
      <c r="Y101" s="456">
        <f t="shared" si="74"/>
        <v>3.7749999999999999</v>
      </c>
      <c r="Z101" s="456">
        <f>SUM(0.12+0.15)</f>
        <v>0.27</v>
      </c>
      <c r="AA101" s="111"/>
      <c r="AB101" s="88"/>
      <c r="AC101" s="118"/>
      <c r="AD101" s="118"/>
      <c r="AE101" s="118"/>
      <c r="AF101" s="108">
        <f t="shared" si="63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68"/>
        <v>R-SH_Det_LPG_N1</v>
      </c>
      <c r="AM101" s="151" t="str">
        <f t="shared" si="69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721</v>
      </c>
      <c r="F102" s="70"/>
      <c r="G102" s="103" t="s">
        <v>717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75">I102*0.7</f>
        <v>0.7</v>
      </c>
      <c r="R102" s="69">
        <f t="shared" ref="R102" si="76">J102*0.7</f>
        <v>0.7</v>
      </c>
      <c r="S102" s="103">
        <f t="shared" ref="S102" si="77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78">W98</f>
        <v>3.8040057915057912</v>
      </c>
      <c r="X102" s="457">
        <f t="shared" si="78"/>
        <v>3.8040057915057912</v>
      </c>
      <c r="Y102" s="457">
        <f t="shared" si="78"/>
        <v>3.8040057915057912</v>
      </c>
      <c r="Z102" s="456">
        <f>SUM(0.12+0.15)</f>
        <v>0.27</v>
      </c>
      <c r="AA102" s="112"/>
      <c r="AB102" s="90"/>
      <c r="AC102" s="119"/>
      <c r="AD102" s="119"/>
      <c r="AE102" s="119"/>
      <c r="AF102" s="109">
        <f t="shared" si="63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68"/>
        <v>R-SW_Det_LPG_N1</v>
      </c>
      <c r="AM102" s="151" t="str">
        <f t="shared" si="69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724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63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68"/>
        <v>R-SH_Det_WOO_N1</v>
      </c>
      <c r="AM103" s="151" t="str">
        <f t="shared" si="69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724</v>
      </c>
      <c r="F104" s="70"/>
      <c r="G104" s="103" t="s">
        <v>717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4" si="79">H104*0.7</f>
        <v>0.7</v>
      </c>
      <c r="Q104" s="69">
        <f t="shared" si="79"/>
        <v>0.7</v>
      </c>
      <c r="R104" s="69">
        <f t="shared" si="79"/>
        <v>0.7</v>
      </c>
      <c r="S104" s="103">
        <f t="shared" si="79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80">W103*($U$152/$U$151)</f>
        <v>22.04476084710744</v>
      </c>
      <c r="X104" s="457">
        <f t="shared" ref="X104" si="81">X103*($U$152/$U$151)</f>
        <v>20.839163429752066</v>
      </c>
      <c r="Y104" s="457">
        <f t="shared" ref="Y104" si="82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63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68"/>
        <v>R-SW_Det_WOO_N1</v>
      </c>
      <c r="AM104" s="154" t="str">
        <f t="shared" si="69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86" t="str">
        <f>"R-SH_Det"&amp;"_"&amp;"FPL"&amp;"_N1"</f>
        <v>R-SH_Det_FPL_N1</v>
      </c>
      <c r="D105" s="75" t="s">
        <v>1040</v>
      </c>
      <c r="E105" s="76" t="s">
        <v>1035</v>
      </c>
      <c r="F105" s="76"/>
      <c r="G105" s="104" t="s">
        <v>400</v>
      </c>
      <c r="H105" s="86">
        <v>0.55000000000000004</v>
      </c>
      <c r="I105" s="86">
        <v>0.55000000000000004</v>
      </c>
      <c r="J105" s="86">
        <v>0.55000000000000004</v>
      </c>
      <c r="K105" s="86">
        <v>0.55000000000000004</v>
      </c>
      <c r="L105" s="90"/>
      <c r="M105" s="78"/>
      <c r="N105" s="78"/>
      <c r="O105" s="91"/>
      <c r="P105" s="68"/>
      <c r="Q105" s="69"/>
      <c r="R105" s="69"/>
      <c r="S105" s="103"/>
      <c r="T105" s="100">
        <v>20</v>
      </c>
      <c r="U105" s="71"/>
      <c r="V105" s="457">
        <f>((JRC_Data!BB13)/1000)*$U$153</f>
        <v>2.6</v>
      </c>
      <c r="W105" s="457">
        <f>((JRC_Data!BC13)/1000)*$U$153</f>
        <v>2.6</v>
      </c>
      <c r="X105" s="457">
        <f>((JRC_Data!BD13)/1000)*$U$153</f>
        <v>3.5</v>
      </c>
      <c r="Y105" s="457">
        <f>((JRC_Data!BE13)/1000)*$U$153</f>
        <v>3.5</v>
      </c>
      <c r="Z105" s="457">
        <v>0.12</v>
      </c>
      <c r="AA105" s="112"/>
      <c r="AB105" s="90"/>
      <c r="AC105" s="119"/>
      <c r="AD105" s="119"/>
      <c r="AE105" s="119"/>
      <c r="AF105" s="109">
        <f t="shared" si="63"/>
        <v>0.94608000000000003</v>
      </c>
      <c r="AG105" s="112"/>
      <c r="AH105" s="111">
        <v>2019</v>
      </c>
      <c r="AI105" s="112">
        <v>30</v>
      </c>
      <c r="AK105" s="155"/>
      <c r="AL105" s="520" t="s">
        <v>1046</v>
      </c>
      <c r="AM105" s="154" t="str">
        <f t="shared" si="69"/>
        <v>Residential  Stove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"R-SW_Det"&amp;"_"&amp;"FPL"&amp;"_N1"</f>
        <v>R-SW_Det_FPL_N1</v>
      </c>
      <c r="D106" s="69" t="s">
        <v>1041</v>
      </c>
      <c r="E106" s="70" t="s">
        <v>1035</v>
      </c>
      <c r="F106" s="70"/>
      <c r="G106" s="103" t="s">
        <v>717</v>
      </c>
      <c r="H106" s="86">
        <v>0.55000000000000004</v>
      </c>
      <c r="I106" s="86">
        <v>0.55000000000000004</v>
      </c>
      <c r="J106" s="86">
        <v>0.55000000000000004</v>
      </c>
      <c r="K106" s="86">
        <v>0.55000000000000004</v>
      </c>
      <c r="L106" s="90"/>
      <c r="M106" s="78"/>
      <c r="N106" s="78"/>
      <c r="O106" s="91"/>
      <c r="P106" s="68">
        <f t="shared" ref="P106:P108" si="83">H106*0.7</f>
        <v>0.38500000000000001</v>
      </c>
      <c r="Q106" s="69">
        <f t="shared" ref="Q106:Q108" si="84">I106*0.7</f>
        <v>0.38500000000000001</v>
      </c>
      <c r="R106" s="69">
        <f t="shared" ref="R106:R108" si="85">J106*0.7</f>
        <v>0.38500000000000001</v>
      </c>
      <c r="S106" s="103">
        <f t="shared" ref="S106:S108" si="86">K106*0.7</f>
        <v>0.38500000000000001</v>
      </c>
      <c r="T106" s="99">
        <v>20</v>
      </c>
      <c r="U106" s="71"/>
      <c r="V106" s="457">
        <f>((JRC_Data!BB13)/1000)*$U$154</f>
        <v>2.8057915057915057</v>
      </c>
      <c r="W106" s="457">
        <f>((JRC_Data!BC13)/1000)*$U$154</f>
        <v>2.8057915057915057</v>
      </c>
      <c r="X106" s="457">
        <f>((JRC_Data!BD13)/1000)*$U$154</f>
        <v>3.7770270270270268</v>
      </c>
      <c r="Y106" s="457">
        <f>((JRC_Data!BE13)/1000)*$U$154</f>
        <v>3.7770270270270268</v>
      </c>
      <c r="Z106" s="519">
        <v>0.12</v>
      </c>
      <c r="AA106" s="112"/>
      <c r="AB106" s="90"/>
      <c r="AC106" s="119"/>
      <c r="AD106" s="119"/>
      <c r="AE106" s="119"/>
      <c r="AF106" s="109">
        <f t="shared" si="63"/>
        <v>1.1983680000000001</v>
      </c>
      <c r="AG106" s="112"/>
      <c r="AH106" s="112">
        <v>2019</v>
      </c>
      <c r="AI106" s="112">
        <v>38</v>
      </c>
      <c r="AK106" s="155"/>
      <c r="AL106" s="520" t="s">
        <v>1047</v>
      </c>
      <c r="AM106" s="154" t="str">
        <f t="shared" si="69"/>
        <v>Residential  Stove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86" t="s">
        <v>1044</v>
      </c>
      <c r="D107" s="75" t="s">
        <v>698</v>
      </c>
      <c r="E107" s="76" t="s">
        <v>728</v>
      </c>
      <c r="F107" s="76"/>
      <c r="G107" s="104" t="s">
        <v>400</v>
      </c>
      <c r="H107" s="86">
        <v>0.82</v>
      </c>
      <c r="I107" s="86">
        <v>0.82</v>
      </c>
      <c r="J107" s="86">
        <v>0.82</v>
      </c>
      <c r="K107" s="86">
        <v>0.82</v>
      </c>
      <c r="L107" s="88"/>
      <c r="M107" s="77"/>
      <c r="N107" s="77"/>
      <c r="O107" s="89"/>
      <c r="P107" s="86">
        <f t="shared" si="83"/>
        <v>0.57399999999999995</v>
      </c>
      <c r="Q107" s="75">
        <f t="shared" si="84"/>
        <v>0.57399999999999995</v>
      </c>
      <c r="R107" s="75">
        <f t="shared" si="85"/>
        <v>0.57399999999999995</v>
      </c>
      <c r="S107" s="104">
        <f t="shared" si="86"/>
        <v>0.57399999999999995</v>
      </c>
      <c r="T107" s="100">
        <v>20</v>
      </c>
      <c r="U107" s="87"/>
      <c r="V107" s="108">
        <f>V93</f>
        <v>4.5825000000000005</v>
      </c>
      <c r="W107" s="108">
        <f t="shared" ref="W107:Z107" si="87">W93</f>
        <v>4.5825000000000005</v>
      </c>
      <c r="X107" s="108">
        <f t="shared" si="87"/>
        <v>4.5825000000000005</v>
      </c>
      <c r="Y107" s="108">
        <f t="shared" si="87"/>
        <v>4.5825000000000005</v>
      </c>
      <c r="Z107" s="108">
        <f t="shared" si="87"/>
        <v>0.12</v>
      </c>
      <c r="AA107" s="111"/>
      <c r="AB107" s="88"/>
      <c r="AC107" s="118"/>
      <c r="AD107" s="118"/>
      <c r="AE107" s="118"/>
      <c r="AF107" s="108">
        <f t="shared" si="63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68"/>
        <v>R-SH_Det_HVO_N1</v>
      </c>
      <c r="AM107" s="154" t="str">
        <f t="shared" si="69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1045</v>
      </c>
      <c r="D108" s="69" t="s">
        <v>990</v>
      </c>
      <c r="E108" s="70" t="s">
        <v>728</v>
      </c>
      <c r="F108" s="70"/>
      <c r="G108" s="103" t="s">
        <v>717</v>
      </c>
      <c r="H108" s="68">
        <v>0.82</v>
      </c>
      <c r="I108" s="68">
        <v>0.82</v>
      </c>
      <c r="J108" s="68">
        <v>0.82</v>
      </c>
      <c r="K108" s="68">
        <v>0.82</v>
      </c>
      <c r="L108" s="95"/>
      <c r="M108" s="96"/>
      <c r="N108" s="96"/>
      <c r="O108" s="97"/>
      <c r="P108" s="329">
        <f t="shared" si="83"/>
        <v>0.57399999999999995</v>
      </c>
      <c r="Q108" s="72">
        <f t="shared" si="84"/>
        <v>0.57399999999999995</v>
      </c>
      <c r="R108" s="72">
        <f t="shared" si="85"/>
        <v>0.57399999999999995</v>
      </c>
      <c r="S108" s="105">
        <f t="shared" si="86"/>
        <v>0.57399999999999995</v>
      </c>
      <c r="T108" s="101">
        <v>20</v>
      </c>
      <c r="U108" s="74"/>
      <c r="V108" s="108">
        <f>V94</f>
        <v>4.9452075289575284</v>
      </c>
      <c r="W108" s="108">
        <f t="shared" ref="W108:Z108" si="88">W94</f>
        <v>4.9452075289575284</v>
      </c>
      <c r="X108" s="108">
        <f t="shared" si="88"/>
        <v>4.9452075289575284</v>
      </c>
      <c r="Y108" s="108">
        <f t="shared" si="88"/>
        <v>4.9452075289575284</v>
      </c>
      <c r="Z108" s="108">
        <f t="shared" si="88"/>
        <v>0.12</v>
      </c>
      <c r="AA108" s="112"/>
      <c r="AB108" s="90"/>
      <c r="AC108" s="119"/>
      <c r="AD108" s="119"/>
      <c r="AE108" s="119"/>
      <c r="AF108" s="109">
        <f t="shared" si="63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68"/>
        <v>R-SW_Det_HVO_N1</v>
      </c>
      <c r="AM108" s="154" t="str">
        <f t="shared" si="69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734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63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89">C112</f>
        <v>R-SH_Det_ELC_HPN1</v>
      </c>
      <c r="AM110" s="149" t="str">
        <f t="shared" ref="AM110:AM116" si="90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735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89"/>
        <v>R-HC_Det_ELC_HPN1</v>
      </c>
      <c r="AM111" s="151" t="str">
        <f t="shared" si="90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1033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63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89"/>
        <v>R-SH_Det_ELC_HPN2</v>
      </c>
      <c r="AM112" s="151" t="str">
        <f t="shared" si="90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1033</v>
      </c>
      <c r="G113" s="103" t="s">
        <v>718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63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89"/>
        <v>R-SW_Det_ELC_HPN1</v>
      </c>
      <c r="AM113" s="151" t="str">
        <f t="shared" si="90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1033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63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89"/>
        <v>R-SW_Det_ELC_HPN2</v>
      </c>
      <c r="AM114" s="151" t="str">
        <f t="shared" si="90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1033</v>
      </c>
      <c r="G115" s="103" t="s">
        <v>717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91">I115*0.7</f>
        <v>0.76999999999999991</v>
      </c>
      <c r="R115" s="69">
        <f t="shared" ref="R115:R116" si="92">J115*0.7</f>
        <v>0.86333333333333329</v>
      </c>
      <c r="S115" s="103">
        <f t="shared" ref="S115:S116" si="93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94">W114*($U$150/$U$149)</f>
        <v>9.0363883122362889</v>
      </c>
      <c r="X115" s="457">
        <f t="shared" ref="X115" si="95">X114*($U$150/$U$149)</f>
        <v>8.2231133641350223</v>
      </c>
      <c r="Y115" s="457">
        <f t="shared" ref="Y115" si="96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63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89"/>
        <v>R-SH_Det_ELC_HPN3</v>
      </c>
      <c r="AM115" s="151" t="str">
        <f t="shared" si="90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1023</v>
      </c>
      <c r="F116" s="76" t="s">
        <v>1033</v>
      </c>
      <c r="G116" s="104" t="s">
        <v>717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91"/>
        <v>0.77700000000000002</v>
      </c>
      <c r="R116" s="75">
        <f t="shared" si="92"/>
        <v>0.83299999999999996</v>
      </c>
      <c r="S116" s="104">
        <f t="shared" si="93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63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89"/>
        <v>R-HC_Det_ELC_HPN2</v>
      </c>
      <c r="AM116" s="154" t="str">
        <f t="shared" si="90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1033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63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1033</v>
      </c>
      <c r="G118" s="141" t="s">
        <v>718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63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736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725</v>
      </c>
      <c r="F120" s="135" t="s">
        <v>1033</v>
      </c>
      <c r="G120" s="135" t="s">
        <v>717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97">I120*0.7</f>
        <v>1.2530864197530862</v>
      </c>
      <c r="R120" s="66">
        <f t="shared" ref="R120:R121" si="98">J120*0.7</f>
        <v>1.4691358024691357</v>
      </c>
      <c r="S120" s="102">
        <f t="shared" ref="S120:S121" si="99">K120*0.7</f>
        <v>1.4691358024691357</v>
      </c>
      <c r="T120" s="135">
        <v>20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63"/>
        <v>1.1983680000000001</v>
      </c>
      <c r="AG120" s="134"/>
      <c r="AH120" s="111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725</v>
      </c>
      <c r="F121" s="73" t="s">
        <v>1033</v>
      </c>
      <c r="G121" s="73" t="s">
        <v>717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97"/>
        <v>1.2055555555555555</v>
      </c>
      <c r="R121" s="72">
        <f t="shared" si="98"/>
        <v>1.2055555555555555</v>
      </c>
      <c r="S121" s="105">
        <f t="shared" si="99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63"/>
        <v>1.1983680000000001</v>
      </c>
      <c r="AG121" s="113"/>
      <c r="AH121" s="112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100">C128</f>
        <v>R-WH_Det_ELC_N1</v>
      </c>
      <c r="AM122" s="149" t="str">
        <f t="shared" ref="AM122:AM123" si="101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729</v>
      </c>
      <c r="F123" s="167" t="s">
        <v>1033</v>
      </c>
      <c r="G123" s="144" t="s">
        <v>717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102">I123*0.7</f>
        <v>2.5409999999999995</v>
      </c>
      <c r="R123" s="72">
        <f t="shared" ref="R123" si="103">J123*0.7</f>
        <v>2.7299999999999995</v>
      </c>
      <c r="S123" s="105">
        <f t="shared" ref="S123" si="104">K123*0.7</f>
        <v>2.7299999999999995</v>
      </c>
      <c r="T123" s="5">
        <v>20</v>
      </c>
      <c r="V123" s="125">
        <f>(V115+V98)*0.8</f>
        <v>10.987282270335434</v>
      </c>
      <c r="W123" s="125">
        <f t="shared" ref="W123:Y123" si="105">(W115+W98)*0.8</f>
        <v>10.272315282993665</v>
      </c>
      <c r="X123" s="125">
        <f t="shared" si="105"/>
        <v>9.6216953245126504</v>
      </c>
      <c r="Y123" s="125">
        <f t="shared" si="105"/>
        <v>9.5573482956518898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63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100"/>
        <v>R-WH_Det_SOL_N1</v>
      </c>
      <c r="AM123" s="151" t="str">
        <f t="shared" si="101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712</v>
      </c>
      <c r="F125" s="135"/>
      <c r="G125" s="135" t="s">
        <v>717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(JRC_Data!BB62/1000)*($U$154/$U$148)*1.5</f>
        <v>4.6583333333333332</v>
      </c>
      <c r="W125" s="65">
        <f>(JRC_Data!BC62/1000)*($U$154/$U$148)*1.5</f>
        <v>4.6583333333333332</v>
      </c>
      <c r="X125" s="65">
        <f>(JRC_Data!BD62/1000)*($U$154/$U$148)*1.5</f>
        <v>4.6583333333333332</v>
      </c>
      <c r="Y125" s="65">
        <f>(JRC_Data!BE62/1000)*($U$154/$U$148)*1.5</f>
        <v>4.6583333333333332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63"/>
        <v>1.1983680000000001</v>
      </c>
      <c r="AG125" s="134"/>
      <c r="AH125" s="111">
        <v>2035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712</v>
      </c>
      <c r="F126" s="73"/>
      <c r="G126" s="73" t="s">
        <v>717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f>(JRC_Data!BB62/1000)*($U$154/$U$148)*1.5</f>
        <v>4.6583333333333332</v>
      </c>
      <c r="W126" s="329">
        <f>(JRC_Data!BC62/1000)*($U$154/$U$148)*1.5</f>
        <v>4.6583333333333332</v>
      </c>
      <c r="X126" s="329">
        <f>(JRC_Data!BD62/1000)*($U$154/$U$148)*1.5</f>
        <v>4.6583333333333332</v>
      </c>
      <c r="Y126" s="329">
        <f>(JRC_Data!BE62/1000)*($U$154/$U$148)*1.5</f>
        <v>4.6583333333333332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63"/>
        <v>1.1983680000000001</v>
      </c>
      <c r="AG126" s="113"/>
      <c r="AH126" s="112">
        <v>2035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63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730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63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740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63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983</v>
      </c>
    </row>
    <row r="144" spans="3:35" x14ac:dyDescent="0.2">
      <c r="J144" s="57"/>
      <c r="T144" s="5" t="s">
        <v>626</v>
      </c>
      <c r="U144" s="5" t="s">
        <v>985</v>
      </c>
      <c r="V144" s="5" t="s">
        <v>980</v>
      </c>
    </row>
    <row r="145" spans="1:22" x14ac:dyDescent="0.2">
      <c r="J145" s="57"/>
      <c r="T145" s="453">
        <v>3</v>
      </c>
      <c r="U145" s="454">
        <f t="shared" ref="U145:U154" si="106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106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106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106"/>
        <v>0.86872586872586877</v>
      </c>
      <c r="V148" s="453">
        <f>V151-(V153-V151)</f>
        <v>2250</v>
      </c>
    </row>
    <row r="149" spans="1:22" x14ac:dyDescent="0.2">
      <c r="A149" s="4"/>
      <c r="M149" s="80" t="s">
        <v>968</v>
      </c>
      <c r="N149" s="80"/>
      <c r="O149" s="80"/>
      <c r="P149" s="80"/>
      <c r="Q149" s="80"/>
      <c r="T149" s="5">
        <v>15</v>
      </c>
      <c r="U149" s="444">
        <f t="shared" si="106"/>
        <v>0.91505791505791501</v>
      </c>
      <c r="V149" s="5">
        <v>2370</v>
      </c>
    </row>
    <row r="150" spans="1:22" x14ac:dyDescent="0.2">
      <c r="M150" s="5" t="s">
        <v>976</v>
      </c>
      <c r="N150" s="5" t="s">
        <v>977</v>
      </c>
      <c r="O150" s="8" t="s">
        <v>974</v>
      </c>
      <c r="P150" s="443" t="s">
        <v>978</v>
      </c>
      <c r="Q150" s="8" t="s">
        <v>973</v>
      </c>
      <c r="T150" s="5">
        <v>18</v>
      </c>
      <c r="U150" s="444">
        <f t="shared" si="106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106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969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106"/>
        <v>0.94594594594594594</v>
      </c>
      <c r="V152" s="5">
        <v>2450</v>
      </c>
    </row>
    <row r="153" spans="1:22" x14ac:dyDescent="0.2">
      <c r="M153" s="8">
        <v>99</v>
      </c>
      <c r="N153" s="8" t="s">
        <v>970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106"/>
        <v>1</v>
      </c>
      <c r="V153" s="5">
        <v>2590</v>
      </c>
    </row>
    <row r="154" spans="1:22" x14ac:dyDescent="0.2">
      <c r="M154" s="8">
        <v>150</v>
      </c>
      <c r="N154" s="8" t="s">
        <v>971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106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972</v>
      </c>
      <c r="N156" s="8"/>
      <c r="O156" s="8"/>
      <c r="P156" s="8"/>
      <c r="Q156" s="8"/>
    </row>
    <row r="157" spans="1:22" x14ac:dyDescent="0.2">
      <c r="M157" s="8" t="s">
        <v>975</v>
      </c>
      <c r="N157" s="8"/>
      <c r="O157" s="8"/>
      <c r="P157" s="8"/>
      <c r="Q157" s="8"/>
    </row>
    <row r="158" spans="1:22" x14ac:dyDescent="0.2">
      <c r="M158" s="281" t="s">
        <v>981</v>
      </c>
    </row>
    <row r="159" spans="1:22" x14ac:dyDescent="0.2">
      <c r="M159" s="5" t="s">
        <v>982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7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1025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731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85" t="s">
        <v>322</v>
      </c>
      <c r="M5" s="586"/>
      <c r="N5" s="586"/>
      <c r="O5" s="587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79" t="s">
        <v>967</v>
      </c>
      <c r="M6" s="581"/>
      <c r="N6" s="581"/>
      <c r="O6" s="580"/>
      <c r="P6" s="450" t="s">
        <v>979</v>
      </c>
      <c r="Q6" s="107" t="s">
        <v>45</v>
      </c>
      <c r="R6" s="450" t="s">
        <v>755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725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721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88" t="s">
        <v>662</v>
      </c>
      <c r="S18" s="588"/>
      <c r="U18" s="5" t="s">
        <v>860</v>
      </c>
      <c r="V18" s="5" t="s">
        <v>1020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88"/>
      <c r="S19" s="588"/>
      <c r="V19" s="5" t="s">
        <v>1021</v>
      </c>
    </row>
    <row r="20" spans="3:22" x14ac:dyDescent="0.2">
      <c r="C20" s="168" t="s">
        <v>38</v>
      </c>
      <c r="D20" s="169" t="s">
        <v>748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1026</v>
      </c>
      <c r="R20" s="588"/>
      <c r="S20" s="588"/>
      <c r="V20" s="5" t="s">
        <v>1022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991</v>
      </c>
      <c r="F21" s="169" t="s">
        <v>16</v>
      </c>
      <c r="G21" s="169" t="s">
        <v>362</v>
      </c>
      <c r="H21" s="169"/>
      <c r="I21" s="169"/>
      <c r="J21" s="170" t="s">
        <v>1026</v>
      </c>
      <c r="R21" s="588"/>
      <c r="S21" s="588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992</v>
      </c>
      <c r="F22" s="169" t="s">
        <v>16</v>
      </c>
      <c r="G22" s="169" t="s">
        <v>362</v>
      </c>
      <c r="H22" s="169"/>
      <c r="I22" s="169"/>
      <c r="J22" s="170" t="s">
        <v>1026</v>
      </c>
      <c r="R22" s="588"/>
      <c r="S22" s="588"/>
    </row>
    <row r="23" spans="3:22" x14ac:dyDescent="0.2">
      <c r="C23" s="168" t="s">
        <v>38</v>
      </c>
      <c r="D23" s="169" t="str">
        <f t="shared" si="5"/>
        <v>R-RSDCK_LPG_N1</v>
      </c>
      <c r="E23" s="169" t="s">
        <v>993</v>
      </c>
      <c r="F23" s="169" t="s">
        <v>16</v>
      </c>
      <c r="G23" s="169" t="s">
        <v>362</v>
      </c>
      <c r="H23" s="169"/>
      <c r="I23" s="169"/>
      <c r="J23" s="170" t="s">
        <v>1026</v>
      </c>
    </row>
    <row r="24" spans="3:22" x14ac:dyDescent="0.2">
      <c r="C24" s="168" t="s">
        <v>38</v>
      </c>
      <c r="D24" s="169" t="s">
        <v>750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1026</v>
      </c>
    </row>
    <row r="25" spans="3:22" x14ac:dyDescent="0.2">
      <c r="C25" s="168" t="s">
        <v>38</v>
      </c>
      <c r="D25" s="169" t="s">
        <v>751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1026</v>
      </c>
    </row>
    <row r="26" spans="3:22" x14ac:dyDescent="0.2">
      <c r="C26" s="168" t="s">
        <v>38</v>
      </c>
      <c r="D26" s="169" t="s">
        <v>752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1026</v>
      </c>
      <c r="Q26" s="189"/>
    </row>
    <row r="27" spans="3:22" x14ac:dyDescent="0.2">
      <c r="C27" s="168" t="s">
        <v>38</v>
      </c>
      <c r="D27" s="169" t="s">
        <v>753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1026</v>
      </c>
    </row>
    <row r="28" spans="3:22" x14ac:dyDescent="0.2">
      <c r="C28" s="168" t="s">
        <v>38</v>
      </c>
      <c r="D28" s="171" t="s">
        <v>754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1026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85" t="s">
        <v>322</v>
      </c>
      <c r="M33" s="586"/>
      <c r="N33" s="586"/>
      <c r="O33" s="587"/>
    </row>
    <row r="34" spans="8:15" x14ac:dyDescent="0.2">
      <c r="H34" s="5" t="s">
        <v>375</v>
      </c>
      <c r="L34" s="579" t="s">
        <v>327</v>
      </c>
      <c r="M34" s="581"/>
      <c r="N34" s="581"/>
      <c r="O34" s="580"/>
    </row>
    <row r="35" spans="8:15" ht="14.25" customHeight="1" x14ac:dyDescent="0.2">
      <c r="H35" s="5" t="s">
        <v>748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749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725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721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750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751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752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753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754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O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1025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731</v>
      </c>
      <c r="P3" s="63" t="s">
        <v>313</v>
      </c>
      <c r="Q3" s="63" t="s">
        <v>314</v>
      </c>
      <c r="AA3" s="281" t="s">
        <v>1009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82" t="s">
        <v>110</v>
      </c>
      <c r="I4" s="583"/>
      <c r="J4" s="584"/>
      <c r="K4" s="585" t="s">
        <v>322</v>
      </c>
      <c r="L4" s="586"/>
      <c r="M4" s="587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1010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92" t="s">
        <v>45</v>
      </c>
      <c r="I5" s="593"/>
      <c r="J5" s="594"/>
      <c r="K5" s="592" t="s">
        <v>756</v>
      </c>
      <c r="L5" s="593"/>
      <c r="M5" s="594"/>
      <c r="N5" s="459" t="s">
        <v>328</v>
      </c>
      <c r="O5" s="459" t="s">
        <v>45</v>
      </c>
      <c r="P5" s="460" t="s">
        <v>755</v>
      </c>
      <c r="Q5" s="459" t="s">
        <v>330</v>
      </c>
      <c r="X5" s="107" t="s">
        <v>626</v>
      </c>
      <c r="AA5" s="281"/>
      <c r="AB5" s="589" t="s">
        <v>1011</v>
      </c>
      <c r="AC5" s="589"/>
      <c r="AD5" s="461"/>
      <c r="AE5" s="590" t="s">
        <v>110</v>
      </c>
      <c r="AF5" s="590"/>
      <c r="AG5" s="590" t="s">
        <v>1012</v>
      </c>
      <c r="AH5" s="590"/>
      <c r="AI5" s="591" t="s">
        <v>1013</v>
      </c>
      <c r="AJ5" s="591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1014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1015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1016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1017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1018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1019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1013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1026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1026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1026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1026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1026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1026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85" t="s">
        <v>322</v>
      </c>
      <c r="M27" s="586"/>
      <c r="N27" s="586"/>
      <c r="O27" s="587"/>
      <c r="T27" s="283"/>
      <c r="U27" s="283"/>
    </row>
    <row r="28" spans="3:21" x14ac:dyDescent="0.2">
      <c r="J28" s="5" t="s">
        <v>375</v>
      </c>
      <c r="L28" s="576" t="s">
        <v>327</v>
      </c>
      <c r="M28" s="577"/>
      <c r="N28" s="577"/>
      <c r="O28" s="578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topLeftCell="C52" zoomScale="90" zoomScaleNormal="90" workbookViewId="0">
      <selection activeCell="C18" sqref="C18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699</v>
      </c>
      <c r="I1" s="9"/>
      <c r="J1" s="10"/>
      <c r="K1" s="10"/>
      <c r="L1" s="9" t="s">
        <v>700</v>
      </c>
      <c r="M1" s="9" t="s">
        <v>701</v>
      </c>
      <c r="N1" s="9" t="s">
        <v>702</v>
      </c>
      <c r="O1" s="9" t="s">
        <v>703</v>
      </c>
      <c r="P1" s="9" t="s">
        <v>704</v>
      </c>
      <c r="Q1" s="9" t="s">
        <v>705</v>
      </c>
      <c r="R1" s="10"/>
      <c r="S1" s="10"/>
      <c r="T1" s="10"/>
      <c r="U1" s="9" t="s">
        <v>706</v>
      </c>
      <c r="V1" s="9" t="s">
        <v>707</v>
      </c>
      <c r="W1" s="9" t="s">
        <v>708</v>
      </c>
      <c r="X1" s="9" t="s">
        <v>709</v>
      </c>
      <c r="Y1" s="9" t="s">
        <v>710</v>
      </c>
      <c r="Z1" s="9" t="s">
        <v>711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topLeftCell="L1" zoomScale="70" zoomScaleNormal="70" workbookViewId="0">
      <selection activeCell="AD13" sqref="AD13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757</v>
      </c>
      <c r="AC1" s="347">
        <v>100</v>
      </c>
      <c r="BB1" s="348" t="s">
        <v>758</v>
      </c>
      <c r="BC1" s="349"/>
      <c r="BD1" s="349" t="s">
        <v>759</v>
      </c>
      <c r="BE1" s="349" t="s">
        <v>760</v>
      </c>
      <c r="BF1" s="349" t="s">
        <v>761</v>
      </c>
    </row>
    <row r="2" spans="1:89" x14ac:dyDescent="0.2">
      <c r="A2" s="346" t="s">
        <v>1034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762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966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763</v>
      </c>
      <c r="B4" s="355" t="s">
        <v>764</v>
      </c>
      <c r="C4" s="356" t="s">
        <v>765</v>
      </c>
      <c r="D4" s="596" t="s">
        <v>766</v>
      </c>
      <c r="E4" s="595"/>
      <c r="F4" s="595"/>
      <c r="G4" s="595"/>
      <c r="H4" s="597"/>
      <c r="I4" s="595" t="s">
        <v>767</v>
      </c>
      <c r="J4" s="595"/>
      <c r="K4" s="595"/>
      <c r="L4" s="595"/>
      <c r="M4" s="597"/>
      <c r="N4" s="595" t="s">
        <v>768</v>
      </c>
      <c r="O4" s="595"/>
      <c r="P4" s="595"/>
      <c r="Q4" s="595"/>
      <c r="R4" s="597"/>
      <c r="S4" s="595" t="s">
        <v>769</v>
      </c>
      <c r="T4" s="595"/>
      <c r="U4" s="595"/>
      <c r="V4" s="595"/>
      <c r="W4" s="597"/>
      <c r="X4" s="595" t="s">
        <v>770</v>
      </c>
      <c r="Y4" s="595"/>
      <c r="Z4" s="595"/>
      <c r="AA4" s="595"/>
      <c r="AB4" s="597"/>
      <c r="AC4" s="595" t="s">
        <v>771</v>
      </c>
      <c r="AD4" s="595"/>
      <c r="AE4" s="595"/>
      <c r="AF4" s="595"/>
      <c r="AG4" s="597"/>
      <c r="AH4" s="595" t="s">
        <v>772</v>
      </c>
      <c r="AI4" s="595"/>
      <c r="AJ4" s="595"/>
      <c r="AK4" s="595"/>
      <c r="AL4" s="597"/>
      <c r="AM4" s="595" t="s">
        <v>773</v>
      </c>
      <c r="AN4" s="595"/>
      <c r="AO4" s="595"/>
      <c r="AP4" s="595"/>
      <c r="AQ4" s="597"/>
      <c r="AR4" s="595" t="s">
        <v>774</v>
      </c>
      <c r="AS4" s="595"/>
      <c r="AT4" s="595"/>
      <c r="AU4" s="595"/>
      <c r="AV4" s="597"/>
      <c r="AW4" s="595" t="s">
        <v>775</v>
      </c>
      <c r="AX4" s="595"/>
      <c r="AY4" s="595"/>
      <c r="AZ4" s="595"/>
      <c r="BA4" s="595"/>
      <c r="BB4" s="596" t="s">
        <v>776</v>
      </c>
      <c r="BC4" s="595"/>
      <c r="BD4" s="595"/>
      <c r="BE4" s="595"/>
      <c r="BF4" s="597"/>
      <c r="BG4" s="595" t="s">
        <v>777</v>
      </c>
      <c r="BH4" s="595"/>
      <c r="BI4" s="595"/>
      <c r="BJ4" s="595"/>
      <c r="BK4" s="595"/>
      <c r="BL4" s="596" t="s">
        <v>778</v>
      </c>
      <c r="BM4" s="595"/>
      <c r="BN4" s="595"/>
      <c r="BO4" s="595"/>
      <c r="BP4" s="595"/>
      <c r="BQ4" s="596" t="s">
        <v>779</v>
      </c>
      <c r="BR4" s="595"/>
      <c r="BS4" s="595"/>
      <c r="BT4" s="595"/>
      <c r="BU4" s="597"/>
      <c r="BV4" s="357" t="s">
        <v>780</v>
      </c>
      <c r="BW4" s="598" t="s">
        <v>781</v>
      </c>
      <c r="BX4" s="599"/>
      <c r="BY4" s="599"/>
      <c r="BZ4" s="599"/>
      <c r="CA4" s="600"/>
      <c r="CB4" s="598" t="s">
        <v>782</v>
      </c>
      <c r="CC4" s="599"/>
      <c r="CD4" s="599"/>
      <c r="CE4" s="599"/>
      <c r="CF4" s="600"/>
      <c r="CG4" s="598" t="s">
        <v>783</v>
      </c>
      <c r="CH4" s="599"/>
      <c r="CI4" s="599"/>
      <c r="CJ4" s="599"/>
      <c r="CK4" s="600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784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785</v>
      </c>
      <c r="B7" s="378" t="s">
        <v>887</v>
      </c>
      <c r="C7" s="379" t="s">
        <v>786</v>
      </c>
      <c r="D7" s="380" t="s">
        <v>888</v>
      </c>
      <c r="E7" s="381" t="s">
        <v>888</v>
      </c>
      <c r="F7" s="381" t="s">
        <v>888</v>
      </c>
      <c r="G7" s="381" t="s">
        <v>888</v>
      </c>
      <c r="H7" s="382" t="s">
        <v>888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787</v>
      </c>
      <c r="B8" s="378" t="s">
        <v>786</v>
      </c>
      <c r="C8" s="379" t="s">
        <v>788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789</v>
      </c>
      <c r="B9" s="378" t="s">
        <v>790</v>
      </c>
      <c r="C9" s="379" t="s">
        <v>790</v>
      </c>
      <c r="D9" s="380" t="s">
        <v>889</v>
      </c>
      <c r="E9" s="381" t="s">
        <v>890</v>
      </c>
      <c r="F9" s="381" t="s">
        <v>891</v>
      </c>
      <c r="G9" s="381" t="s">
        <v>891</v>
      </c>
      <c r="H9" s="382" t="s">
        <v>892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893</v>
      </c>
      <c r="AS9" s="381" t="s">
        <v>894</v>
      </c>
      <c r="AT9" s="381" t="s">
        <v>895</v>
      </c>
      <c r="AU9" s="381" t="s">
        <v>896</v>
      </c>
      <c r="AV9" s="382" t="s">
        <v>896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791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792</v>
      </c>
      <c r="B10" s="378" t="s">
        <v>897</v>
      </c>
      <c r="C10" s="379" t="s">
        <v>793</v>
      </c>
      <c r="D10" s="380" t="s">
        <v>898</v>
      </c>
      <c r="E10" s="381" t="s">
        <v>898</v>
      </c>
      <c r="F10" s="381" t="s">
        <v>898</v>
      </c>
      <c r="G10" s="381" t="s">
        <v>898</v>
      </c>
      <c r="H10" s="382" t="s">
        <v>898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791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794</v>
      </c>
      <c r="B11" s="378" t="s">
        <v>899</v>
      </c>
      <c r="C11" s="379" t="s">
        <v>795</v>
      </c>
      <c r="D11" s="380" t="s">
        <v>900</v>
      </c>
      <c r="E11" s="381" t="s">
        <v>889</v>
      </c>
      <c r="F11" s="381" t="s">
        <v>901</v>
      </c>
      <c r="G11" s="381" t="s">
        <v>901</v>
      </c>
      <c r="H11" s="382" t="s">
        <v>901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796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797</v>
      </c>
      <c r="B12" s="378" t="s">
        <v>902</v>
      </c>
      <c r="C12" s="379" t="s">
        <v>798</v>
      </c>
      <c r="D12" s="380" t="s">
        <v>903</v>
      </c>
      <c r="E12" s="381" t="s">
        <v>903</v>
      </c>
      <c r="F12" s="381" t="s">
        <v>903</v>
      </c>
      <c r="G12" s="381" t="s">
        <v>903</v>
      </c>
      <c r="H12" s="382" t="s">
        <v>903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799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800</v>
      </c>
      <c r="B13" s="378" t="s">
        <v>904</v>
      </c>
      <c r="C13" s="379" t="s">
        <v>801</v>
      </c>
      <c r="D13" s="380" t="s">
        <v>905</v>
      </c>
      <c r="E13" s="381" t="s">
        <v>906</v>
      </c>
      <c r="F13" s="381" t="s">
        <v>907</v>
      </c>
      <c r="G13" s="381" t="s">
        <v>908</v>
      </c>
      <c r="H13" s="382" t="s">
        <v>908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802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803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804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805</v>
      </c>
      <c r="B16" s="378" t="s">
        <v>909</v>
      </c>
      <c r="C16" s="379" t="s">
        <v>806</v>
      </c>
      <c r="D16" s="380" t="s">
        <v>910</v>
      </c>
      <c r="E16" s="381" t="s">
        <v>910</v>
      </c>
      <c r="F16" s="381" t="s">
        <v>910</v>
      </c>
      <c r="G16" s="381" t="s">
        <v>910</v>
      </c>
      <c r="H16" s="382" t="s">
        <v>910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807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808</v>
      </c>
      <c r="B18" s="378" t="s">
        <v>911</v>
      </c>
      <c r="C18" s="379" t="s">
        <v>809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810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811</v>
      </c>
      <c r="B19" s="378" t="s">
        <v>912</v>
      </c>
      <c r="C19" s="379" t="s">
        <v>812</v>
      </c>
      <c r="D19" s="380" t="s">
        <v>913</v>
      </c>
      <c r="E19" s="381" t="s">
        <v>913</v>
      </c>
      <c r="F19" s="381" t="s">
        <v>913</v>
      </c>
      <c r="G19" s="381" t="s">
        <v>913</v>
      </c>
      <c r="H19" s="382" t="s">
        <v>913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914</v>
      </c>
      <c r="CC19" s="385" t="s">
        <v>914</v>
      </c>
      <c r="CD19" s="385" t="s">
        <v>914</v>
      </c>
      <c r="CE19" s="385" t="s">
        <v>914</v>
      </c>
      <c r="CF19" s="386" t="s">
        <v>914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813</v>
      </c>
      <c r="B20" s="378" t="s">
        <v>915</v>
      </c>
      <c r="C20" s="379" t="s">
        <v>814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815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816</v>
      </c>
      <c r="B21" s="378" t="s">
        <v>916</v>
      </c>
      <c r="C21" s="379" t="s">
        <v>817</v>
      </c>
      <c r="D21" s="380" t="s">
        <v>913</v>
      </c>
      <c r="E21" s="381" t="s">
        <v>913</v>
      </c>
      <c r="F21" s="381" t="s">
        <v>913</v>
      </c>
      <c r="G21" s="381" t="s">
        <v>913</v>
      </c>
      <c r="H21" s="382" t="s">
        <v>913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815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818</v>
      </c>
      <c r="B22" s="378" t="s">
        <v>917</v>
      </c>
      <c r="C22" s="379" t="s">
        <v>818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819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820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821</v>
      </c>
      <c r="B24" s="378" t="s">
        <v>918</v>
      </c>
      <c r="C24" s="379" t="s">
        <v>822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823</v>
      </c>
      <c r="B25" s="378" t="s">
        <v>919</v>
      </c>
      <c r="C25" s="379" t="s">
        <v>824</v>
      </c>
      <c r="D25" s="380" t="s">
        <v>920</v>
      </c>
      <c r="E25" s="381" t="s">
        <v>920</v>
      </c>
      <c r="F25" s="381" t="s">
        <v>920</v>
      </c>
      <c r="G25" s="381" t="s">
        <v>920</v>
      </c>
      <c r="H25" s="382" t="s">
        <v>920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914</v>
      </c>
      <c r="CC25" s="385" t="s">
        <v>914</v>
      </c>
      <c r="CD25" s="385" t="s">
        <v>914</v>
      </c>
      <c r="CE25" s="385" t="s">
        <v>914</v>
      </c>
      <c r="CF25" s="386" t="s">
        <v>914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988</v>
      </c>
      <c r="B26" s="378" t="s">
        <v>989</v>
      </c>
      <c r="C26" s="378" t="s">
        <v>822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825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826</v>
      </c>
      <c r="B28" s="378" t="s">
        <v>921</v>
      </c>
      <c r="C28" s="379" t="s">
        <v>827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828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829</v>
      </c>
      <c r="B29" s="378" t="s">
        <v>922</v>
      </c>
      <c r="C29" s="379" t="s">
        <v>830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828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831</v>
      </c>
      <c r="B30" s="378" t="s">
        <v>923</v>
      </c>
      <c r="C30" s="379" t="s">
        <v>832</v>
      </c>
      <c r="D30" s="380" t="s">
        <v>895</v>
      </c>
      <c r="E30" s="381" t="s">
        <v>895</v>
      </c>
      <c r="F30" s="381" t="s">
        <v>895</v>
      </c>
      <c r="G30" s="381" t="s">
        <v>895</v>
      </c>
      <c r="H30" s="382" t="s">
        <v>895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924</v>
      </c>
      <c r="AX30" s="381" t="s">
        <v>925</v>
      </c>
      <c r="AY30" s="381" t="s">
        <v>925</v>
      </c>
      <c r="AZ30" s="381" t="s">
        <v>925</v>
      </c>
      <c r="BA30" s="382" t="s">
        <v>925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833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834</v>
      </c>
      <c r="B31" s="378" t="s">
        <v>926</v>
      </c>
      <c r="C31" s="405" t="s">
        <v>835</v>
      </c>
      <c r="D31" s="380" t="s">
        <v>927</v>
      </c>
      <c r="E31" s="381" t="s">
        <v>927</v>
      </c>
      <c r="F31" s="381" t="s">
        <v>927</v>
      </c>
      <c r="G31" s="381" t="s">
        <v>927</v>
      </c>
      <c r="H31" s="382" t="s">
        <v>927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836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837</v>
      </c>
      <c r="B32" s="378" t="s">
        <v>917</v>
      </c>
      <c r="C32" s="379" t="s">
        <v>838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914</v>
      </c>
      <c r="BX32" s="385" t="s">
        <v>914</v>
      </c>
      <c r="BY32" s="385" t="s">
        <v>914</v>
      </c>
      <c r="BZ32" s="385" t="s">
        <v>914</v>
      </c>
      <c r="CA32" s="386" t="s">
        <v>914</v>
      </c>
      <c r="CB32" s="385" t="s">
        <v>914</v>
      </c>
      <c r="CC32" s="385" t="s">
        <v>914</v>
      </c>
      <c r="CD32" s="385" t="s">
        <v>914</v>
      </c>
      <c r="CE32" s="385" t="s">
        <v>914</v>
      </c>
      <c r="CF32" s="386" t="s">
        <v>914</v>
      </c>
      <c r="CG32" s="387" t="s">
        <v>914</v>
      </c>
      <c r="CH32" s="385" t="s">
        <v>914</v>
      </c>
      <c r="CI32" s="385" t="s">
        <v>914</v>
      </c>
      <c r="CJ32" s="385" t="s">
        <v>914</v>
      </c>
      <c r="CK32" s="386" t="s">
        <v>914</v>
      </c>
    </row>
    <row r="33" spans="1:89" s="376" customFormat="1" x14ac:dyDescent="0.2">
      <c r="A33" s="369" t="s">
        <v>839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840</v>
      </c>
      <c r="B34" s="378" t="s">
        <v>917</v>
      </c>
      <c r="C34" s="379" t="s">
        <v>841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819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842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843</v>
      </c>
      <c r="B36" s="378" t="s">
        <v>928</v>
      </c>
      <c r="C36" s="379" t="s">
        <v>844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929</v>
      </c>
      <c r="O36" s="381" t="s">
        <v>930</v>
      </c>
      <c r="P36" s="381" t="s">
        <v>930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931</v>
      </c>
      <c r="Y36" s="381" t="s">
        <v>931</v>
      </c>
      <c r="Z36" s="381" t="s">
        <v>932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933</v>
      </c>
      <c r="AY36" s="381" t="s">
        <v>933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845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914</v>
      </c>
      <c r="CF36" s="413" t="s">
        <v>914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846</v>
      </c>
      <c r="B37" s="378" t="s">
        <v>934</v>
      </c>
      <c r="C37" s="379" t="s">
        <v>847</v>
      </c>
      <c r="D37" s="380" t="s">
        <v>935</v>
      </c>
      <c r="E37" s="381" t="s">
        <v>935</v>
      </c>
      <c r="F37" s="381" t="s">
        <v>935</v>
      </c>
      <c r="G37" s="381">
        <v>0</v>
      </c>
      <c r="H37" s="382">
        <v>0</v>
      </c>
      <c r="I37" s="381" t="s">
        <v>936</v>
      </c>
      <c r="J37" s="381" t="s">
        <v>937</v>
      </c>
      <c r="K37" s="381" t="s">
        <v>938</v>
      </c>
      <c r="L37" s="381">
        <v>0</v>
      </c>
      <c r="M37" s="382">
        <v>0</v>
      </c>
      <c r="N37" s="381" t="s">
        <v>939</v>
      </c>
      <c r="O37" s="381" t="s">
        <v>939</v>
      </c>
      <c r="P37" s="381" t="s">
        <v>939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940</v>
      </c>
      <c r="Y37" s="381" t="s">
        <v>940</v>
      </c>
      <c r="Z37" s="381" t="s">
        <v>940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924</v>
      </c>
      <c r="AX37" s="381" t="s">
        <v>924</v>
      </c>
      <c r="AY37" s="381" t="s">
        <v>924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845</v>
      </c>
      <c r="BW37" s="389">
        <v>446.15384615384613</v>
      </c>
      <c r="BX37" s="389">
        <v>446.15384615384613</v>
      </c>
      <c r="BY37" s="389">
        <v>446.15384615384613</v>
      </c>
      <c r="BZ37" s="389" t="s">
        <v>914</v>
      </c>
      <c r="CA37" s="390" t="s">
        <v>914</v>
      </c>
      <c r="CB37" s="403">
        <v>1.2307692307692308</v>
      </c>
      <c r="CC37" s="414">
        <v>1.2307692307692308</v>
      </c>
      <c r="CD37" s="414">
        <v>1.2307692307692308</v>
      </c>
      <c r="CE37" s="414" t="s">
        <v>914</v>
      </c>
      <c r="CF37" s="415" t="s">
        <v>914</v>
      </c>
      <c r="CG37" s="387">
        <v>0</v>
      </c>
      <c r="CH37" s="385">
        <v>0</v>
      </c>
      <c r="CI37" s="385">
        <v>0</v>
      </c>
      <c r="CJ37" s="385" t="s">
        <v>914</v>
      </c>
      <c r="CK37" s="386" t="s">
        <v>914</v>
      </c>
    </row>
    <row r="38" spans="1:89" s="376" customFormat="1" x14ac:dyDescent="0.2">
      <c r="A38" s="377" t="s">
        <v>848</v>
      </c>
      <c r="B38" s="378" t="s">
        <v>917</v>
      </c>
      <c r="C38" s="379" t="s">
        <v>849</v>
      </c>
      <c r="D38" s="400" t="s">
        <v>850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819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851</v>
      </c>
      <c r="B39" s="378" t="s">
        <v>941</v>
      </c>
      <c r="C39" s="379" t="s">
        <v>852</v>
      </c>
      <c r="D39" s="380" t="s">
        <v>942</v>
      </c>
      <c r="E39" s="381" t="s">
        <v>943</v>
      </c>
      <c r="F39" s="381" t="s">
        <v>944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945</v>
      </c>
      <c r="O39" s="381" t="s">
        <v>945</v>
      </c>
      <c r="P39" s="381" t="s">
        <v>945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940</v>
      </c>
      <c r="Y39" s="381" t="s">
        <v>940</v>
      </c>
      <c r="Z39" s="381" t="s">
        <v>940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933</v>
      </c>
      <c r="AY39" s="381" t="s">
        <v>933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853</v>
      </c>
      <c r="BW39" s="389">
        <v>1263.1578947368421</v>
      </c>
      <c r="BX39" s="389">
        <v>875</v>
      </c>
      <c r="BY39" s="389">
        <v>909.09090909090912</v>
      </c>
      <c r="BZ39" s="389" t="s">
        <v>914</v>
      </c>
      <c r="CA39" s="390" t="s">
        <v>914</v>
      </c>
      <c r="CB39" s="389">
        <v>263.15789473684208</v>
      </c>
      <c r="CC39" s="389">
        <v>312.5</v>
      </c>
      <c r="CD39" s="389">
        <v>454.54545454545456</v>
      </c>
      <c r="CE39" s="389" t="s">
        <v>914</v>
      </c>
      <c r="CF39" s="390" t="s">
        <v>914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854</v>
      </c>
      <c r="B40" s="378" t="s">
        <v>946</v>
      </c>
      <c r="C40" s="379" t="s">
        <v>855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945</v>
      </c>
      <c r="O40" s="381" t="s">
        <v>945</v>
      </c>
      <c r="P40" s="381" t="s">
        <v>945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947</v>
      </c>
      <c r="Y40" s="381" t="s">
        <v>947</v>
      </c>
      <c r="Z40" s="381" t="s">
        <v>947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933</v>
      </c>
      <c r="AY40" s="381" t="s">
        <v>933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853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856</v>
      </c>
      <c r="B41" s="378" t="s">
        <v>948</v>
      </c>
      <c r="C41" s="379" t="s">
        <v>857</v>
      </c>
      <c r="D41" s="380" t="s">
        <v>949</v>
      </c>
      <c r="E41" s="381" t="s">
        <v>949</v>
      </c>
      <c r="F41" s="381" t="s">
        <v>949</v>
      </c>
      <c r="G41" s="381" t="s">
        <v>914</v>
      </c>
      <c r="H41" s="382" t="s">
        <v>914</v>
      </c>
      <c r="I41" s="381" t="s">
        <v>950</v>
      </c>
      <c r="J41" s="381" t="s">
        <v>950</v>
      </c>
      <c r="K41" s="381" t="s">
        <v>950</v>
      </c>
      <c r="L41" s="381">
        <v>0</v>
      </c>
      <c r="M41" s="382">
        <v>0</v>
      </c>
      <c r="N41" s="381" t="s">
        <v>951</v>
      </c>
      <c r="O41" s="381" t="s">
        <v>951</v>
      </c>
      <c r="P41" s="381" t="s">
        <v>951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952</v>
      </c>
      <c r="Y41" s="381" t="s">
        <v>952</v>
      </c>
      <c r="Z41" s="381" t="s">
        <v>952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953</v>
      </c>
      <c r="AX41" s="381" t="s">
        <v>954</v>
      </c>
      <c r="AY41" s="381" t="s">
        <v>954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853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858</v>
      </c>
      <c r="B42" s="378" t="s">
        <v>955</v>
      </c>
      <c r="C42" s="379" t="s">
        <v>859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940</v>
      </c>
      <c r="O42" s="381" t="s">
        <v>940</v>
      </c>
      <c r="P42" s="381" t="s">
        <v>940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940</v>
      </c>
      <c r="Y42" s="381" t="s">
        <v>940</v>
      </c>
      <c r="Z42" s="381" t="s">
        <v>940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933</v>
      </c>
      <c r="AY42" s="381" t="s">
        <v>933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853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860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861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862</v>
      </c>
      <c r="B45" s="378" t="s">
        <v>956</v>
      </c>
      <c r="C45" s="379" t="s">
        <v>863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864</v>
      </c>
      <c r="B46" s="378" t="s">
        <v>957</v>
      </c>
      <c r="C46" s="379" t="s">
        <v>865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866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867</v>
      </c>
      <c r="B48" s="378" t="s">
        <v>958</v>
      </c>
      <c r="C48" s="379" t="s">
        <v>868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869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870</v>
      </c>
      <c r="B49" s="378" t="s">
        <v>959</v>
      </c>
      <c r="C49" s="379" t="s">
        <v>871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869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872</v>
      </c>
      <c r="B50" s="378" t="s">
        <v>917</v>
      </c>
      <c r="C50" s="379" t="s">
        <v>872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819</v>
      </c>
      <c r="BW50" s="385" t="s">
        <v>914</v>
      </c>
      <c r="BX50" s="385" t="s">
        <v>914</v>
      </c>
      <c r="BY50" s="385" t="s">
        <v>914</v>
      </c>
      <c r="BZ50" s="385" t="s">
        <v>914</v>
      </c>
      <c r="CA50" s="386" t="s">
        <v>914</v>
      </c>
      <c r="CB50" s="385" t="s">
        <v>914</v>
      </c>
      <c r="CC50" s="385" t="s">
        <v>914</v>
      </c>
      <c r="CD50" s="385" t="s">
        <v>914</v>
      </c>
      <c r="CE50" s="385" t="s">
        <v>914</v>
      </c>
      <c r="CF50" s="386" t="s">
        <v>914</v>
      </c>
      <c r="CG50" s="387" t="s">
        <v>914</v>
      </c>
      <c r="CH50" s="385" t="s">
        <v>914</v>
      </c>
      <c r="CI50" s="385" t="s">
        <v>914</v>
      </c>
      <c r="CJ50" s="385" t="s">
        <v>914</v>
      </c>
      <c r="CK50" s="386" t="s">
        <v>914</v>
      </c>
    </row>
    <row r="51" spans="1:89" s="376" customFormat="1" x14ac:dyDescent="0.2">
      <c r="A51" s="377"/>
      <c r="B51" s="378"/>
      <c r="C51" s="379" t="s">
        <v>873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874</v>
      </c>
      <c r="B52" s="420" t="s">
        <v>917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819</v>
      </c>
      <c r="BW52" s="428" t="s">
        <v>914</v>
      </c>
      <c r="BX52" s="428" t="s">
        <v>914</v>
      </c>
      <c r="BY52" s="428" t="s">
        <v>914</v>
      </c>
      <c r="BZ52" s="428" t="s">
        <v>914</v>
      </c>
      <c r="CA52" s="429" t="s">
        <v>914</v>
      </c>
      <c r="CB52" s="428" t="s">
        <v>914</v>
      </c>
      <c r="CC52" s="428" t="s">
        <v>914</v>
      </c>
      <c r="CD52" s="428" t="s">
        <v>914</v>
      </c>
      <c r="CE52" s="428" t="s">
        <v>914</v>
      </c>
      <c r="CF52" s="429" t="s">
        <v>914</v>
      </c>
      <c r="CG52" s="428" t="s">
        <v>914</v>
      </c>
      <c r="CH52" s="428" t="s">
        <v>914</v>
      </c>
      <c r="CI52" s="428" t="s">
        <v>914</v>
      </c>
      <c r="CJ52" s="428" t="s">
        <v>914</v>
      </c>
      <c r="CK52" s="429" t="s">
        <v>914</v>
      </c>
    </row>
    <row r="53" spans="1:89" s="376" customFormat="1" x14ac:dyDescent="0.2">
      <c r="A53" s="419" t="s">
        <v>875</v>
      </c>
      <c r="B53" s="420" t="s">
        <v>917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819</v>
      </c>
      <c r="BW53" s="428" t="s">
        <v>914</v>
      </c>
      <c r="BX53" s="428" t="s">
        <v>914</v>
      </c>
      <c r="BY53" s="428" t="s">
        <v>914</v>
      </c>
      <c r="BZ53" s="428" t="s">
        <v>914</v>
      </c>
      <c r="CA53" s="429" t="s">
        <v>914</v>
      </c>
      <c r="CB53" s="428" t="s">
        <v>914</v>
      </c>
      <c r="CC53" s="428" t="s">
        <v>914</v>
      </c>
      <c r="CD53" s="428" t="s">
        <v>914</v>
      </c>
      <c r="CE53" s="428" t="s">
        <v>914</v>
      </c>
      <c r="CF53" s="429" t="s">
        <v>914</v>
      </c>
      <c r="CG53" s="428" t="s">
        <v>914</v>
      </c>
      <c r="CH53" s="428" t="s">
        <v>914</v>
      </c>
      <c r="CI53" s="428" t="s">
        <v>914</v>
      </c>
      <c r="CJ53" s="428" t="s">
        <v>914</v>
      </c>
      <c r="CK53" s="429" t="s">
        <v>914</v>
      </c>
    </row>
    <row r="54" spans="1:89" s="376" customFormat="1" x14ac:dyDescent="0.2">
      <c r="A54" s="419" t="s">
        <v>876</v>
      </c>
      <c r="B54" s="420" t="s">
        <v>917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819</v>
      </c>
      <c r="BW54" s="428" t="s">
        <v>914</v>
      </c>
      <c r="BX54" s="428" t="s">
        <v>914</v>
      </c>
      <c r="BY54" s="428" t="s">
        <v>914</v>
      </c>
      <c r="BZ54" s="428" t="s">
        <v>914</v>
      </c>
      <c r="CA54" s="429" t="s">
        <v>914</v>
      </c>
      <c r="CB54" s="428" t="s">
        <v>914</v>
      </c>
      <c r="CC54" s="428" t="s">
        <v>914</v>
      </c>
      <c r="CD54" s="428" t="s">
        <v>914</v>
      </c>
      <c r="CE54" s="428" t="s">
        <v>914</v>
      </c>
      <c r="CF54" s="429" t="s">
        <v>914</v>
      </c>
      <c r="CG54" s="428" t="s">
        <v>914</v>
      </c>
      <c r="CH54" s="428" t="s">
        <v>914</v>
      </c>
      <c r="CI54" s="428" t="s">
        <v>914</v>
      </c>
      <c r="CJ54" s="428" t="s">
        <v>914</v>
      </c>
      <c r="CK54" s="429" t="s">
        <v>914</v>
      </c>
    </row>
    <row r="55" spans="1:89" s="376" customFormat="1" x14ac:dyDescent="0.2">
      <c r="A55" s="419" t="s">
        <v>877</v>
      </c>
      <c r="B55" s="420" t="s">
        <v>917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819</v>
      </c>
      <c r="BW55" s="428" t="s">
        <v>914</v>
      </c>
      <c r="BX55" s="428" t="s">
        <v>914</v>
      </c>
      <c r="BY55" s="428" t="s">
        <v>914</v>
      </c>
      <c r="BZ55" s="428" t="s">
        <v>914</v>
      </c>
      <c r="CA55" s="429" t="s">
        <v>914</v>
      </c>
      <c r="CB55" s="428" t="s">
        <v>914</v>
      </c>
      <c r="CC55" s="428" t="s">
        <v>914</v>
      </c>
      <c r="CD55" s="428" t="s">
        <v>914</v>
      </c>
      <c r="CE55" s="428" t="s">
        <v>914</v>
      </c>
      <c r="CF55" s="429" t="s">
        <v>914</v>
      </c>
      <c r="CG55" s="428" t="s">
        <v>914</v>
      </c>
      <c r="CH55" s="428" t="s">
        <v>914</v>
      </c>
      <c r="CI55" s="428" t="s">
        <v>914</v>
      </c>
      <c r="CJ55" s="428" t="s">
        <v>914</v>
      </c>
      <c r="CK55" s="429" t="s">
        <v>914</v>
      </c>
    </row>
    <row r="56" spans="1:89" s="376" customFormat="1" x14ac:dyDescent="0.2">
      <c r="A56" s="419" t="s">
        <v>878</v>
      </c>
      <c r="B56" s="420" t="s">
        <v>917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819</v>
      </c>
      <c r="BW56" s="428" t="s">
        <v>914</v>
      </c>
      <c r="BX56" s="428" t="s">
        <v>914</v>
      </c>
      <c r="BY56" s="428" t="s">
        <v>914</v>
      </c>
      <c r="BZ56" s="428" t="s">
        <v>914</v>
      </c>
      <c r="CA56" s="429" t="s">
        <v>914</v>
      </c>
      <c r="CB56" s="428" t="s">
        <v>914</v>
      </c>
      <c r="CC56" s="428" t="s">
        <v>914</v>
      </c>
      <c r="CD56" s="428" t="s">
        <v>914</v>
      </c>
      <c r="CE56" s="428" t="s">
        <v>914</v>
      </c>
      <c r="CF56" s="429" t="s">
        <v>914</v>
      </c>
      <c r="CG56" s="428" t="s">
        <v>914</v>
      </c>
      <c r="CH56" s="428" t="s">
        <v>914</v>
      </c>
      <c r="CI56" s="428" t="s">
        <v>914</v>
      </c>
      <c r="CJ56" s="428" t="s">
        <v>914</v>
      </c>
      <c r="CK56" s="429" t="s">
        <v>914</v>
      </c>
    </row>
    <row r="57" spans="1:89" s="376" customFormat="1" x14ac:dyDescent="0.2">
      <c r="A57" s="419" t="s">
        <v>879</v>
      </c>
      <c r="B57" s="420" t="s">
        <v>917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819</v>
      </c>
      <c r="BW57" s="428" t="s">
        <v>914</v>
      </c>
      <c r="BX57" s="428" t="s">
        <v>914</v>
      </c>
      <c r="BY57" s="428" t="s">
        <v>914</v>
      </c>
      <c r="BZ57" s="428" t="s">
        <v>914</v>
      </c>
      <c r="CA57" s="429" t="s">
        <v>914</v>
      </c>
      <c r="CB57" s="428" t="s">
        <v>914</v>
      </c>
      <c r="CC57" s="428" t="s">
        <v>914</v>
      </c>
      <c r="CD57" s="428" t="s">
        <v>914</v>
      </c>
      <c r="CE57" s="428" t="s">
        <v>914</v>
      </c>
      <c r="CF57" s="429" t="s">
        <v>914</v>
      </c>
      <c r="CG57" s="428" t="s">
        <v>914</v>
      </c>
      <c r="CH57" s="428" t="s">
        <v>914</v>
      </c>
      <c r="CI57" s="428" t="s">
        <v>914</v>
      </c>
      <c r="CJ57" s="428" t="s">
        <v>914</v>
      </c>
      <c r="CK57" s="429" t="s">
        <v>914</v>
      </c>
    </row>
    <row r="58" spans="1:89" s="376" customFormat="1" x14ac:dyDescent="0.2">
      <c r="A58" s="419" t="s">
        <v>880</v>
      </c>
      <c r="B58" s="420" t="s">
        <v>917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819</v>
      </c>
      <c r="BW58" s="428" t="s">
        <v>914</v>
      </c>
      <c r="BX58" s="428" t="s">
        <v>914</v>
      </c>
      <c r="BY58" s="428" t="s">
        <v>914</v>
      </c>
      <c r="BZ58" s="428" t="s">
        <v>914</v>
      </c>
      <c r="CA58" s="429" t="s">
        <v>914</v>
      </c>
      <c r="CB58" s="428" t="s">
        <v>914</v>
      </c>
      <c r="CC58" s="428" t="s">
        <v>914</v>
      </c>
      <c r="CD58" s="428" t="s">
        <v>914</v>
      </c>
      <c r="CE58" s="428" t="s">
        <v>914</v>
      </c>
      <c r="CF58" s="429" t="s">
        <v>914</v>
      </c>
      <c r="CG58" s="428" t="s">
        <v>914</v>
      </c>
      <c r="CH58" s="428" t="s">
        <v>914</v>
      </c>
      <c r="CI58" s="428" t="s">
        <v>914</v>
      </c>
      <c r="CJ58" s="428" t="s">
        <v>914</v>
      </c>
      <c r="CK58" s="429" t="s">
        <v>914</v>
      </c>
    </row>
    <row r="59" spans="1:89" s="376" customFormat="1" x14ac:dyDescent="0.2">
      <c r="A59" s="419" t="s">
        <v>881</v>
      </c>
      <c r="B59" s="420" t="s">
        <v>917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819</v>
      </c>
      <c r="BW59" s="428" t="s">
        <v>914</v>
      </c>
      <c r="BX59" s="428" t="s">
        <v>914</v>
      </c>
      <c r="BY59" s="428" t="s">
        <v>914</v>
      </c>
      <c r="BZ59" s="428" t="s">
        <v>914</v>
      </c>
      <c r="CA59" s="429" t="s">
        <v>914</v>
      </c>
      <c r="CB59" s="428" t="s">
        <v>914</v>
      </c>
      <c r="CC59" s="428" t="s">
        <v>914</v>
      </c>
      <c r="CD59" s="428" t="s">
        <v>914</v>
      </c>
      <c r="CE59" s="428" t="s">
        <v>914</v>
      </c>
      <c r="CF59" s="429" t="s">
        <v>914</v>
      </c>
      <c r="CG59" s="428" t="s">
        <v>914</v>
      </c>
      <c r="CH59" s="428" t="s">
        <v>914</v>
      </c>
      <c r="CI59" s="428" t="s">
        <v>914</v>
      </c>
      <c r="CJ59" s="428" t="s">
        <v>914</v>
      </c>
      <c r="CK59" s="429" t="s">
        <v>914</v>
      </c>
    </row>
    <row r="60" spans="1:89" s="376" customFormat="1" x14ac:dyDescent="0.2">
      <c r="A60" s="419" t="s">
        <v>882</v>
      </c>
      <c r="B60" s="420" t="s">
        <v>960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947</v>
      </c>
      <c r="AX60" s="423" t="s">
        <v>947</v>
      </c>
      <c r="AY60" s="423" t="s">
        <v>947</v>
      </c>
      <c r="AZ60" s="423" t="s">
        <v>947</v>
      </c>
      <c r="BA60" s="424" t="s">
        <v>947</v>
      </c>
      <c r="BB60" s="422" t="s">
        <v>961</v>
      </c>
      <c r="BC60" s="423" t="s">
        <v>961</v>
      </c>
      <c r="BD60" s="423" t="s">
        <v>961</v>
      </c>
      <c r="BE60" s="423" t="s">
        <v>961</v>
      </c>
      <c r="BF60" s="424" t="s">
        <v>961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914</v>
      </c>
      <c r="BX60" s="428" t="s">
        <v>914</v>
      </c>
      <c r="BY60" s="428" t="s">
        <v>914</v>
      </c>
      <c r="BZ60" s="428" t="s">
        <v>914</v>
      </c>
      <c r="CA60" s="429" t="s">
        <v>914</v>
      </c>
      <c r="CB60" s="428" t="s">
        <v>914</v>
      </c>
      <c r="CC60" s="428" t="s">
        <v>914</v>
      </c>
      <c r="CD60" s="428" t="s">
        <v>914</v>
      </c>
      <c r="CE60" s="428" t="s">
        <v>914</v>
      </c>
      <c r="CF60" s="429" t="s">
        <v>914</v>
      </c>
      <c r="CG60" s="428" t="s">
        <v>914</v>
      </c>
      <c r="CH60" s="428" t="s">
        <v>914</v>
      </c>
      <c r="CI60" s="428" t="s">
        <v>914</v>
      </c>
      <c r="CJ60" s="428" t="s">
        <v>914</v>
      </c>
      <c r="CK60" s="429" t="s">
        <v>914</v>
      </c>
    </row>
    <row r="61" spans="1:89" s="376" customFormat="1" x14ac:dyDescent="0.2">
      <c r="A61" s="419" t="s">
        <v>883</v>
      </c>
      <c r="B61" s="420" t="s">
        <v>962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947</v>
      </c>
      <c r="AX61" s="423" t="s">
        <v>947</v>
      </c>
      <c r="AY61" s="423" t="s">
        <v>947</v>
      </c>
      <c r="AZ61" s="423" t="s">
        <v>947</v>
      </c>
      <c r="BA61" s="424" t="s">
        <v>947</v>
      </c>
      <c r="BB61" s="422" t="s">
        <v>963</v>
      </c>
      <c r="BC61" s="423" t="s">
        <v>963</v>
      </c>
      <c r="BD61" s="423" t="s">
        <v>963</v>
      </c>
      <c r="BE61" s="423" t="s">
        <v>963</v>
      </c>
      <c r="BF61" s="424" t="s">
        <v>963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964</v>
      </c>
      <c r="BM61" s="423" t="s">
        <v>964</v>
      </c>
      <c r="BN61" s="423" t="s">
        <v>964</v>
      </c>
      <c r="BO61" s="423" t="s">
        <v>964</v>
      </c>
      <c r="BP61" s="424" t="s">
        <v>964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914</v>
      </c>
      <c r="BX61" s="428" t="s">
        <v>914</v>
      </c>
      <c r="BY61" s="428" t="s">
        <v>914</v>
      </c>
      <c r="BZ61" s="428" t="s">
        <v>914</v>
      </c>
      <c r="CA61" s="429" t="s">
        <v>914</v>
      </c>
      <c r="CB61" s="428" t="s">
        <v>914</v>
      </c>
      <c r="CC61" s="428" t="s">
        <v>914</v>
      </c>
      <c r="CD61" s="428" t="s">
        <v>914</v>
      </c>
      <c r="CE61" s="428" t="s">
        <v>914</v>
      </c>
      <c r="CF61" s="429" t="s">
        <v>914</v>
      </c>
      <c r="CG61" s="428" t="s">
        <v>914</v>
      </c>
      <c r="CH61" s="428" t="s">
        <v>914</v>
      </c>
      <c r="CI61" s="428" t="s">
        <v>914</v>
      </c>
      <c r="CJ61" s="428" t="s">
        <v>914</v>
      </c>
      <c r="CK61" s="429" t="s">
        <v>914</v>
      </c>
    </row>
    <row r="62" spans="1:89" s="376" customFormat="1" x14ac:dyDescent="0.2">
      <c r="A62" s="377" t="s">
        <v>884</v>
      </c>
      <c r="B62" s="378" t="s">
        <v>965</v>
      </c>
      <c r="C62" s="379" t="s">
        <v>885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886</v>
      </c>
      <c r="B63" s="432" t="s">
        <v>917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819</v>
      </c>
      <c r="BW63" s="440" t="s">
        <v>914</v>
      </c>
      <c r="BX63" s="440" t="s">
        <v>914</v>
      </c>
      <c r="BY63" s="440" t="s">
        <v>914</v>
      </c>
      <c r="BZ63" s="440" t="s">
        <v>914</v>
      </c>
      <c r="CA63" s="441" t="s">
        <v>914</v>
      </c>
      <c r="CB63" s="440" t="s">
        <v>914</v>
      </c>
      <c r="CC63" s="440" t="s">
        <v>914</v>
      </c>
      <c r="CD63" s="440" t="s">
        <v>914</v>
      </c>
      <c r="CE63" s="440" t="s">
        <v>914</v>
      </c>
      <c r="CF63" s="441" t="s">
        <v>914</v>
      </c>
      <c r="CG63" s="440" t="s">
        <v>914</v>
      </c>
      <c r="CH63" s="440" t="s">
        <v>914</v>
      </c>
      <c r="CI63" s="440" t="s">
        <v>914</v>
      </c>
      <c r="CJ63" s="440" t="s">
        <v>914</v>
      </c>
      <c r="CK63" s="441" t="s">
        <v>914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2021-04-19T16:10:55Z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490654110908508</vt:r8>
  </property>
</Properties>
</file>