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12FF706A-A10B-4EA4-8B64-99CB145C580D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Commodities" sheetId="4" r:id="rId1"/>
    <sheet name="Imports_Fossil" sheetId="2" r:id="rId2"/>
    <sheet name="Imports_Bio" sheetId="7" r:id="rId3"/>
    <sheet name="Domestic" sheetId="3" r:id="rId4"/>
    <sheet name="Domestic_Bio" sheetId="10" r:id="rId5"/>
    <sheet name="Refinery" sheetId="12" r:id="rId6"/>
    <sheet name="Interconnector" sheetId="5" r:id="rId7"/>
    <sheet name="SUP_FuelTech" sheetId="17" r:id="rId8"/>
    <sheet name="Emi" sheetId="19" r:id="rId9"/>
    <sheet name="SEAI-AEA_BioData" sheetId="9" r:id="rId10"/>
    <sheet name="SEAI_Bal" sheetId="13" r:id="rId11"/>
    <sheet name="Conversions" sheetId="16" r:id="rId12"/>
  </sheets>
  <definedNames>
    <definedName name="aa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8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2" l="1"/>
  <c r="D19" i="2" l="1"/>
  <c r="D17" i="2"/>
  <c r="C19" i="2"/>
  <c r="B19" i="2"/>
  <c r="C9" i="17" l="1"/>
  <c r="D9" i="17"/>
  <c r="M9" i="17"/>
  <c r="B9" i="17" s="1"/>
  <c r="E5" i="19" l="1"/>
  <c r="D5" i="19" l="1"/>
  <c r="C5" i="19"/>
  <c r="B11" i="19"/>
  <c r="B10" i="19"/>
  <c r="B9" i="19"/>
  <c r="B8" i="19"/>
  <c r="B7" i="19"/>
  <c r="B6" i="19"/>
  <c r="C8" i="17" l="1"/>
  <c r="C6" i="17"/>
  <c r="C7" i="17"/>
  <c r="D10" i="17"/>
  <c r="D8" i="17"/>
  <c r="D7" i="17"/>
  <c r="D6" i="17"/>
  <c r="M10" i="17"/>
  <c r="B10" i="17" s="1"/>
  <c r="M8" i="17"/>
  <c r="B8" i="17" s="1"/>
  <c r="M7" i="17"/>
  <c r="B7" i="17" s="1"/>
  <c r="M6" i="17"/>
  <c r="B6" i="17" s="1"/>
  <c r="K7" i="3" l="1"/>
  <c r="J7" i="3"/>
  <c r="K5" i="3"/>
  <c r="J5" i="3"/>
  <c r="P6" i="5" l="1"/>
  <c r="P5" i="5"/>
  <c r="O5" i="5"/>
  <c r="O6" i="5"/>
  <c r="N6" i="5"/>
  <c r="N5" i="5"/>
  <c r="M6" i="5"/>
  <c r="M5" i="5"/>
  <c r="Q5" i="5" s="1"/>
  <c r="R5" i="5" s="1"/>
  <c r="S5" i="12"/>
  <c r="R5" i="12"/>
  <c r="Q5" i="12"/>
  <c r="P5" i="12"/>
  <c r="O5" i="12"/>
  <c r="AF4" i="12"/>
  <c r="N5" i="12"/>
  <c r="M5" i="12"/>
  <c r="H17" i="12"/>
  <c r="H16" i="12"/>
  <c r="H15" i="12"/>
  <c r="H14" i="12"/>
  <c r="H13" i="12"/>
  <c r="H12" i="12"/>
  <c r="H11" i="12"/>
  <c r="H10" i="12"/>
  <c r="H9" i="12"/>
  <c r="H8" i="12"/>
  <c r="H7" i="12"/>
  <c r="H6" i="12"/>
  <c r="I17" i="12"/>
  <c r="I16" i="12"/>
  <c r="I15" i="12"/>
  <c r="I14" i="12"/>
  <c r="I13" i="12"/>
  <c r="I12" i="12"/>
  <c r="I11" i="12"/>
  <c r="I10" i="12"/>
  <c r="I9" i="12"/>
  <c r="I8" i="12"/>
  <c r="I7" i="12"/>
  <c r="I6" i="12"/>
  <c r="L39" i="7"/>
  <c r="L40" i="7" s="1"/>
  <c r="K47" i="7"/>
  <c r="J47" i="7" s="1"/>
  <c r="I47" i="7" s="1"/>
  <c r="S38" i="7"/>
  <c r="H38" i="7" s="1"/>
  <c r="I38" i="7" s="1"/>
  <c r="J38" i="7" s="1"/>
  <c r="K38" i="7" s="1"/>
  <c r="L38" i="7" s="1"/>
  <c r="M38" i="7" s="1"/>
  <c r="N38" i="7" s="1"/>
  <c r="O38" i="7" s="1"/>
  <c r="O39" i="7" s="1"/>
  <c r="O40" i="7" s="1"/>
  <c r="K42" i="7"/>
  <c r="J42" i="7" s="1"/>
  <c r="I42" i="7" s="1"/>
  <c r="K52" i="7"/>
  <c r="L52" i="7" s="1"/>
  <c r="M52" i="7" s="1"/>
  <c r="N52" i="7" s="1"/>
  <c r="O52" i="7" s="1"/>
  <c r="K57" i="7"/>
  <c r="L57" i="7" s="1"/>
  <c r="M57" i="7" s="1"/>
  <c r="N57" i="7" s="1"/>
  <c r="O57" i="7" s="1"/>
  <c r="K13" i="9"/>
  <c r="H48" i="7"/>
  <c r="G48" i="7"/>
  <c r="L42" i="7" l="1"/>
  <c r="M42" i="7" s="1"/>
  <c r="N42" i="7" s="1"/>
  <c r="O42" i="7" s="1"/>
  <c r="I39" i="7"/>
  <c r="I40" i="7" s="1"/>
  <c r="M39" i="7"/>
  <c r="M40" i="7" s="1"/>
  <c r="J57" i="7"/>
  <c r="J39" i="7"/>
  <c r="J40" i="7" s="1"/>
  <c r="N39" i="7"/>
  <c r="N40" i="7" s="1"/>
  <c r="J52" i="7"/>
  <c r="I52" i="7" s="1"/>
  <c r="K39" i="7"/>
  <c r="K40" i="7" s="1"/>
  <c r="L47" i="7"/>
  <c r="G38" i="7"/>
  <c r="I57" i="7" l="1"/>
  <c r="M47" i="7"/>
  <c r="N47" i="7" l="1"/>
  <c r="O47" i="7" l="1"/>
  <c r="S53" i="7" l="1"/>
  <c r="E53" i="7" s="1"/>
  <c r="F48" i="7"/>
  <c r="E48" i="7"/>
  <c r="F38" i="7"/>
  <c r="E38" i="7"/>
  <c r="S43" i="7"/>
  <c r="E32" i="7"/>
  <c r="E31" i="7"/>
  <c r="E30" i="7"/>
  <c r="E29" i="7"/>
  <c r="E28" i="7"/>
  <c r="E27" i="7"/>
  <c r="E26" i="7"/>
  <c r="E25" i="7"/>
  <c r="S27" i="2"/>
  <c r="O27" i="2"/>
  <c r="K27" i="2"/>
  <c r="S26" i="2"/>
  <c r="O26" i="2"/>
  <c r="K26" i="2"/>
  <c r="S25" i="2"/>
  <c r="O25" i="2"/>
  <c r="K25" i="2"/>
  <c r="I48" i="7" l="1"/>
  <c r="G43" i="7"/>
  <c r="H43" i="7"/>
  <c r="I43" i="7" s="1"/>
  <c r="I44" i="7" s="1"/>
  <c r="I45" i="7" s="1"/>
  <c r="G53" i="7"/>
  <c r="H53" i="7"/>
  <c r="E43" i="7"/>
  <c r="F43" i="7"/>
  <c r="F53" i="7"/>
  <c r="I53" i="7" s="1"/>
  <c r="I54" i="7" l="1"/>
  <c r="I55" i="7" s="1"/>
  <c r="J53" i="7"/>
  <c r="I56" i="7"/>
  <c r="J48" i="7"/>
  <c r="I49" i="7"/>
  <c r="I50" i="7" s="1"/>
  <c r="I51" i="7" s="1"/>
  <c r="J43" i="7"/>
  <c r="J44" i="7" s="1"/>
  <c r="J45" i="7" s="1"/>
  <c r="I46" i="7"/>
  <c r="K48" i="7" l="1"/>
  <c r="J49" i="7"/>
  <c r="K53" i="7"/>
  <c r="J54" i="7"/>
  <c r="J55" i="7" s="1"/>
  <c r="J56" i="7"/>
  <c r="K43" i="7"/>
  <c r="K44" i="7" s="1"/>
  <c r="K45" i="7" s="1"/>
  <c r="J46" i="7"/>
  <c r="L48" i="7" l="1"/>
  <c r="K49" i="7"/>
  <c r="K50" i="7" s="1"/>
  <c r="K51" i="7"/>
  <c r="L53" i="7"/>
  <c r="K54" i="7"/>
  <c r="K55" i="7" s="1"/>
  <c r="K56" i="7" s="1"/>
  <c r="J51" i="7"/>
  <c r="J50" i="7"/>
  <c r="L43" i="7"/>
  <c r="L44" i="7" s="1"/>
  <c r="L45" i="7" s="1"/>
  <c r="K46" i="7"/>
  <c r="M48" i="7" l="1"/>
  <c r="L49" i="7"/>
  <c r="M53" i="7"/>
  <c r="L54" i="7"/>
  <c r="M43" i="7"/>
  <c r="M44" i="7" s="1"/>
  <c r="M45" i="7" s="1"/>
  <c r="L46" i="7"/>
  <c r="N48" i="7" l="1"/>
  <c r="M49" i="7"/>
  <c r="M50" i="7" s="1"/>
  <c r="M51" i="7" s="1"/>
  <c r="L55" i="7"/>
  <c r="L56" i="7" s="1"/>
  <c r="N53" i="7"/>
  <c r="M54" i="7"/>
  <c r="L50" i="7"/>
  <c r="L51" i="7" s="1"/>
  <c r="N43" i="7"/>
  <c r="N44" i="7" s="1"/>
  <c r="N45" i="7" s="1"/>
  <c r="M46" i="7"/>
  <c r="O53" i="7" l="1"/>
  <c r="N54" i="7"/>
  <c r="N55" i="7" s="1"/>
  <c r="N56" i="7"/>
  <c r="O48" i="7"/>
  <c r="N49" i="7"/>
  <c r="M55" i="7"/>
  <c r="M56" i="7" s="1"/>
  <c r="O43" i="7"/>
  <c r="N46" i="7"/>
  <c r="N51" i="7" l="1"/>
  <c r="N50" i="7"/>
  <c r="O54" i="7"/>
  <c r="O55" i="7" s="1"/>
  <c r="O44" i="7"/>
  <c r="O45" i="7" s="1"/>
  <c r="O49" i="7"/>
  <c r="O50" i="7" s="1"/>
  <c r="O46" i="7" l="1"/>
  <c r="O51" i="7"/>
  <c r="O56" i="7"/>
  <c r="D6" i="10" l="1"/>
  <c r="D5" i="10"/>
  <c r="H5" i="3"/>
  <c r="L5" i="12"/>
  <c r="K5" i="12"/>
  <c r="G17" i="12" l="1"/>
  <c r="G16" i="12"/>
  <c r="G15" i="12"/>
  <c r="G14" i="12"/>
  <c r="G13" i="12"/>
  <c r="G12" i="12"/>
  <c r="G11" i="12"/>
  <c r="G10" i="12"/>
  <c r="G9" i="12"/>
  <c r="G8" i="12"/>
  <c r="G7" i="12"/>
  <c r="G6" i="12"/>
  <c r="F14" i="12"/>
  <c r="F13" i="12"/>
  <c r="F12" i="12"/>
  <c r="J12" i="12" s="1"/>
  <c r="F11" i="12"/>
  <c r="F9" i="12"/>
  <c r="F10" i="12"/>
  <c r="F8" i="12"/>
  <c r="J8" i="12" s="1"/>
  <c r="F7" i="12"/>
  <c r="F17" i="12"/>
  <c r="F16" i="12"/>
  <c r="F15" i="12"/>
  <c r="F6" i="12"/>
  <c r="AQ3" i="13"/>
  <c r="AQ4" i="13" s="1"/>
  <c r="I5" i="3"/>
  <c r="L5" i="3" s="1"/>
  <c r="J7" i="12" l="1"/>
  <c r="J10" i="12"/>
  <c r="I7" i="3"/>
  <c r="H7" i="3"/>
  <c r="L7" i="3" l="1"/>
  <c r="AO7" i="13"/>
  <c r="D56" i="7" l="1"/>
  <c r="D55" i="7"/>
  <c r="D54" i="7"/>
  <c r="D53" i="7"/>
  <c r="D51" i="7"/>
  <c r="D50" i="7"/>
  <c r="D49" i="7"/>
  <c r="D48" i="7"/>
  <c r="D32" i="7"/>
  <c r="D31" i="7"/>
  <c r="D30" i="7"/>
  <c r="D29" i="7"/>
  <c r="D28" i="7"/>
  <c r="D27" i="7"/>
  <c r="D26" i="7"/>
  <c r="D25" i="7"/>
  <c r="D20" i="7"/>
  <c r="D19" i="7"/>
  <c r="D18" i="7"/>
  <c r="D17" i="7"/>
  <c r="D16" i="7"/>
  <c r="D15" i="7"/>
  <c r="D14" i="7"/>
  <c r="D13" i="7"/>
  <c r="C5" i="12" l="1"/>
  <c r="B5" i="12"/>
  <c r="N17" i="5" l="1"/>
  <c r="C34" i="10" l="1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L60" i="2" l="1"/>
  <c r="G28" i="2" s="1"/>
  <c r="G29" i="2" l="1"/>
  <c r="G32" i="2" s="1"/>
  <c r="H6" i="2" s="1"/>
  <c r="H11" i="2" s="1"/>
  <c r="G30" i="2"/>
  <c r="G33" i="2" s="1"/>
  <c r="H7" i="2" s="1"/>
  <c r="F20" i="5"/>
  <c r="L20" i="5"/>
  <c r="H9" i="2" l="1"/>
  <c r="H8" i="2"/>
  <c r="H10" i="2"/>
  <c r="L19" i="5"/>
  <c r="L15" i="5" s="1"/>
  <c r="F19" i="5"/>
  <c r="G19" i="5"/>
  <c r="G15" i="5" s="1"/>
  <c r="H19" i="5"/>
  <c r="H15" i="5" s="1"/>
  <c r="I19" i="5"/>
  <c r="I15" i="5" s="1"/>
  <c r="J19" i="5"/>
  <c r="K19" i="5"/>
  <c r="G20" i="5"/>
  <c r="H20" i="5"/>
  <c r="I20" i="5"/>
  <c r="J20" i="5"/>
  <c r="K20" i="5"/>
  <c r="F15" i="5" l="1"/>
  <c r="C20" i="7" l="1"/>
  <c r="B20" i="7"/>
  <c r="B56" i="7" s="1"/>
  <c r="C19" i="7"/>
  <c r="B19" i="7"/>
  <c r="C18" i="7"/>
  <c r="B18" i="7"/>
  <c r="C17" i="7"/>
  <c r="B17" i="7"/>
  <c r="C16" i="7"/>
  <c r="B16" i="7"/>
  <c r="B51" i="7" s="1"/>
  <c r="C15" i="7"/>
  <c r="B15" i="7"/>
  <c r="C14" i="7"/>
  <c r="C26" i="7" s="1"/>
  <c r="B14" i="7"/>
  <c r="C13" i="7"/>
  <c r="B13" i="7"/>
  <c r="D12" i="7"/>
  <c r="C12" i="7"/>
  <c r="C46" i="7" s="1"/>
  <c r="B12" i="7"/>
  <c r="B46" i="7" s="1"/>
  <c r="D11" i="7"/>
  <c r="C11" i="7"/>
  <c r="C45" i="7" s="1"/>
  <c r="B11" i="7"/>
  <c r="B45" i="7" s="1"/>
  <c r="E10" i="7"/>
  <c r="D10" i="7"/>
  <c r="C10" i="7"/>
  <c r="C44" i="7" s="1"/>
  <c r="B10" i="7"/>
  <c r="B44" i="7" s="1"/>
  <c r="D9" i="7"/>
  <c r="C9" i="7"/>
  <c r="C43" i="7" s="1"/>
  <c r="B9" i="7"/>
  <c r="B43" i="7" s="1"/>
  <c r="D8" i="7"/>
  <c r="C8" i="7"/>
  <c r="C41" i="7" s="1"/>
  <c r="B8" i="7"/>
  <c r="B41" i="7" s="1"/>
  <c r="D7" i="7"/>
  <c r="C7" i="7"/>
  <c r="C40" i="7" s="1"/>
  <c r="B7" i="7"/>
  <c r="B40" i="7" s="1"/>
  <c r="D6" i="7"/>
  <c r="C6" i="7"/>
  <c r="C39" i="7" s="1"/>
  <c r="B6" i="7"/>
  <c r="B39" i="7" s="1"/>
  <c r="D5" i="7"/>
  <c r="C5" i="7"/>
  <c r="C38" i="7" s="1"/>
  <c r="B5" i="7"/>
  <c r="B38" i="7" s="1"/>
  <c r="C49" i="7"/>
  <c r="X57" i="9"/>
  <c r="N57" i="9"/>
  <c r="Z57" i="9" s="1"/>
  <c r="M57" i="9"/>
  <c r="L57" i="9"/>
  <c r="K57" i="9"/>
  <c r="J57" i="9"/>
  <c r="V57" i="9" s="1"/>
  <c r="N56" i="9"/>
  <c r="M56" i="9"/>
  <c r="L56" i="9"/>
  <c r="K56" i="9"/>
  <c r="J56" i="9"/>
  <c r="N55" i="9"/>
  <c r="Z55" i="9" s="1"/>
  <c r="M55" i="9"/>
  <c r="L55" i="9"/>
  <c r="X55" i="9" s="1"/>
  <c r="K55" i="9"/>
  <c r="J55" i="9"/>
  <c r="V55" i="9" s="1"/>
  <c r="N54" i="9"/>
  <c r="M54" i="9"/>
  <c r="L54" i="9"/>
  <c r="K54" i="9"/>
  <c r="J54" i="9"/>
  <c r="N53" i="9"/>
  <c r="Z53" i="9" s="1"/>
  <c r="M53" i="9"/>
  <c r="L53" i="9"/>
  <c r="R53" i="9" s="1"/>
  <c r="K53" i="9"/>
  <c r="J53" i="9"/>
  <c r="V53" i="9" s="1"/>
  <c r="N52" i="9"/>
  <c r="M52" i="9"/>
  <c r="L52" i="9"/>
  <c r="J52" i="9"/>
  <c r="X51" i="9"/>
  <c r="W51" i="9"/>
  <c r="T51" i="9"/>
  <c r="N51" i="9"/>
  <c r="Z51" i="9" s="1"/>
  <c r="M51" i="9"/>
  <c r="L51" i="9"/>
  <c r="K51" i="9"/>
  <c r="J51" i="9"/>
  <c r="V51" i="9" s="1"/>
  <c r="N50" i="9"/>
  <c r="M50" i="9"/>
  <c r="L50" i="9"/>
  <c r="J50" i="9"/>
  <c r="N46" i="9"/>
  <c r="Z46" i="9" s="1"/>
  <c r="M46" i="9"/>
  <c r="L46" i="9"/>
  <c r="K46" i="9"/>
  <c r="J46" i="9"/>
  <c r="V46" i="9" s="1"/>
  <c r="N45" i="9"/>
  <c r="M45" i="9"/>
  <c r="L45" i="9"/>
  <c r="K45" i="9"/>
  <c r="J45" i="9"/>
  <c r="T44" i="9"/>
  <c r="N44" i="9"/>
  <c r="Z44" i="9" s="1"/>
  <c r="M44" i="9"/>
  <c r="S44" i="9" s="1"/>
  <c r="L44" i="9"/>
  <c r="X44" i="9" s="1"/>
  <c r="K44" i="9"/>
  <c r="J44" i="9"/>
  <c r="V44" i="9" s="1"/>
  <c r="N43" i="9"/>
  <c r="M43" i="9"/>
  <c r="L43" i="9"/>
  <c r="K43" i="9"/>
  <c r="J43" i="9"/>
  <c r="X42" i="9"/>
  <c r="N42" i="9"/>
  <c r="Z42" i="9" s="1"/>
  <c r="M42" i="9"/>
  <c r="L42" i="9"/>
  <c r="K42" i="9"/>
  <c r="J42" i="9"/>
  <c r="V42" i="9" s="1"/>
  <c r="N41" i="9"/>
  <c r="M41" i="9"/>
  <c r="L41" i="9"/>
  <c r="K41" i="9"/>
  <c r="J41" i="9"/>
  <c r="N40" i="9"/>
  <c r="Z40" i="9" s="1"/>
  <c r="M40" i="9"/>
  <c r="L40" i="9"/>
  <c r="X40" i="9" s="1"/>
  <c r="K40" i="9"/>
  <c r="J40" i="9"/>
  <c r="V40" i="9" s="1"/>
  <c r="N39" i="9"/>
  <c r="M39" i="9"/>
  <c r="L39" i="9"/>
  <c r="K39" i="9"/>
  <c r="J39" i="9"/>
  <c r="X35" i="9"/>
  <c r="N35" i="9"/>
  <c r="Z35" i="9" s="1"/>
  <c r="M35" i="9"/>
  <c r="S35" i="9" s="1"/>
  <c r="L35" i="9"/>
  <c r="K35" i="9"/>
  <c r="J35" i="9"/>
  <c r="V35" i="9" s="1"/>
  <c r="N34" i="9"/>
  <c r="M34" i="9"/>
  <c r="L34" i="9"/>
  <c r="K34" i="9"/>
  <c r="J34" i="9"/>
  <c r="N33" i="9"/>
  <c r="Z33" i="9" s="1"/>
  <c r="M33" i="9"/>
  <c r="L33" i="9"/>
  <c r="X33" i="9" s="1"/>
  <c r="K33" i="9"/>
  <c r="J33" i="9"/>
  <c r="V33" i="9" s="1"/>
  <c r="N32" i="9"/>
  <c r="M32" i="9"/>
  <c r="L32" i="9"/>
  <c r="K32" i="9"/>
  <c r="J32" i="9"/>
  <c r="X31" i="9"/>
  <c r="N31" i="9"/>
  <c r="Z31" i="9" s="1"/>
  <c r="M31" i="9"/>
  <c r="S31" i="9" s="1"/>
  <c r="L31" i="9"/>
  <c r="K31" i="9"/>
  <c r="J31" i="9"/>
  <c r="V31" i="9" s="1"/>
  <c r="N30" i="9"/>
  <c r="M30" i="9"/>
  <c r="L30" i="9"/>
  <c r="K30" i="9"/>
  <c r="J30" i="9"/>
  <c r="N29" i="9"/>
  <c r="Z29" i="9" s="1"/>
  <c r="M29" i="9"/>
  <c r="L29" i="9"/>
  <c r="X29" i="9" s="1"/>
  <c r="K29" i="9"/>
  <c r="J29" i="9"/>
  <c r="V29" i="9" s="1"/>
  <c r="N28" i="9"/>
  <c r="M28" i="9"/>
  <c r="L28" i="9"/>
  <c r="K28" i="9"/>
  <c r="J28" i="9"/>
  <c r="X25" i="9"/>
  <c r="N25" i="9"/>
  <c r="Z25" i="9" s="1"/>
  <c r="M25" i="9"/>
  <c r="S25" i="9" s="1"/>
  <c r="L25" i="9"/>
  <c r="K25" i="9"/>
  <c r="J25" i="9"/>
  <c r="V25" i="9" s="1"/>
  <c r="N24" i="9"/>
  <c r="M24" i="9"/>
  <c r="L24" i="9"/>
  <c r="K24" i="9"/>
  <c r="J24" i="9"/>
  <c r="N23" i="9"/>
  <c r="Z23" i="9" s="1"/>
  <c r="M23" i="9"/>
  <c r="L23" i="9"/>
  <c r="X23" i="9" s="1"/>
  <c r="K23" i="9"/>
  <c r="J23" i="9"/>
  <c r="V23" i="9" s="1"/>
  <c r="N22" i="9"/>
  <c r="M22" i="9"/>
  <c r="L22" i="9"/>
  <c r="K22" i="9"/>
  <c r="J22" i="9"/>
  <c r="X21" i="9"/>
  <c r="N21" i="9"/>
  <c r="Z21" i="9" s="1"/>
  <c r="M21" i="9"/>
  <c r="S21" i="9" s="1"/>
  <c r="L21" i="9"/>
  <c r="K21" i="9"/>
  <c r="J21" i="9"/>
  <c r="V21" i="9" s="1"/>
  <c r="N20" i="9"/>
  <c r="M20" i="9"/>
  <c r="L20" i="9"/>
  <c r="K20" i="9"/>
  <c r="J20" i="9"/>
  <c r="N19" i="9"/>
  <c r="Z19" i="9" s="1"/>
  <c r="M19" i="9"/>
  <c r="L19" i="9"/>
  <c r="X19" i="9" s="1"/>
  <c r="K19" i="9"/>
  <c r="J19" i="9"/>
  <c r="V19" i="9" s="1"/>
  <c r="N18" i="9"/>
  <c r="M18" i="9"/>
  <c r="L18" i="9"/>
  <c r="K18" i="9"/>
  <c r="J18" i="9"/>
  <c r="N14" i="9"/>
  <c r="M14" i="9"/>
  <c r="L14" i="9"/>
  <c r="K14" i="9"/>
  <c r="J14" i="9"/>
  <c r="E9" i="7" s="1"/>
  <c r="N13" i="9"/>
  <c r="M13" i="9"/>
  <c r="L13" i="9"/>
  <c r="J13" i="9"/>
  <c r="N12" i="9"/>
  <c r="M12" i="9"/>
  <c r="L12" i="9"/>
  <c r="K12" i="9"/>
  <c r="J12" i="9"/>
  <c r="E8" i="7" s="1"/>
  <c r="N11" i="9"/>
  <c r="M11" i="9"/>
  <c r="L11" i="9"/>
  <c r="K11" i="9"/>
  <c r="J11" i="9"/>
  <c r="N10" i="9"/>
  <c r="M10" i="9"/>
  <c r="L10" i="9"/>
  <c r="K10" i="9"/>
  <c r="J10" i="9"/>
  <c r="E16" i="7" s="1"/>
  <c r="N9" i="9"/>
  <c r="M9" i="9"/>
  <c r="L9" i="9"/>
  <c r="K9" i="9"/>
  <c r="J9" i="9"/>
  <c r="N8" i="9"/>
  <c r="M8" i="9"/>
  <c r="L8" i="9"/>
  <c r="K8" i="9"/>
  <c r="J8" i="9"/>
  <c r="E20" i="7" s="1"/>
  <c r="N7" i="9"/>
  <c r="M7" i="9"/>
  <c r="L7" i="9"/>
  <c r="K7" i="9"/>
  <c r="J7" i="9"/>
  <c r="J39" i="2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L39" i="2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I59" i="2"/>
  <c r="G31" i="2" s="1"/>
  <c r="H5" i="2" s="1"/>
  <c r="K28" i="2"/>
  <c r="O28" i="2"/>
  <c r="S28" i="2"/>
  <c r="K29" i="2"/>
  <c r="K32" i="2" s="1"/>
  <c r="O29" i="2"/>
  <c r="O32" i="2" s="1"/>
  <c r="K30" i="2"/>
  <c r="O30" i="2"/>
  <c r="S30" i="2"/>
  <c r="H28" i="2"/>
  <c r="I28" i="2"/>
  <c r="J28" i="2"/>
  <c r="L28" i="2"/>
  <c r="M28" i="2"/>
  <c r="N28" i="2"/>
  <c r="P28" i="2"/>
  <c r="Q28" i="2"/>
  <c r="R28" i="2"/>
  <c r="H29" i="2"/>
  <c r="I29" i="2"/>
  <c r="I32" i="2" s="1"/>
  <c r="J29" i="2"/>
  <c r="L29" i="2"/>
  <c r="M29" i="2"/>
  <c r="M32" i="2" s="1"/>
  <c r="N29" i="2"/>
  <c r="P29" i="2"/>
  <c r="Q29" i="2"/>
  <c r="Q32" i="2" s="1"/>
  <c r="R29" i="2"/>
  <c r="H30" i="2"/>
  <c r="H33" i="2" s="1"/>
  <c r="I30" i="2"/>
  <c r="J30" i="2"/>
  <c r="J33" i="2" s="1"/>
  <c r="L30" i="2"/>
  <c r="L33" i="2" s="1"/>
  <c r="M30" i="2"/>
  <c r="N30" i="2"/>
  <c r="N33" i="2" s="1"/>
  <c r="P30" i="2"/>
  <c r="P33" i="2" s="1"/>
  <c r="Q30" i="2"/>
  <c r="R30" i="2"/>
  <c r="R33" i="2" s="1"/>
  <c r="D46" i="7"/>
  <c r="D45" i="7"/>
  <c r="D44" i="7"/>
  <c r="D43" i="7"/>
  <c r="D41" i="7"/>
  <c r="D40" i="7"/>
  <c r="D39" i="7"/>
  <c r="D38" i="7"/>
  <c r="H19" i="2" l="1"/>
  <c r="H17" i="2"/>
  <c r="H12" i="2"/>
  <c r="H16" i="2"/>
  <c r="H14" i="2"/>
  <c r="H15" i="2"/>
  <c r="H13" i="2"/>
  <c r="Q19" i="9"/>
  <c r="T21" i="9"/>
  <c r="Q23" i="9"/>
  <c r="T25" i="9"/>
  <c r="Q29" i="9"/>
  <c r="T31" i="9"/>
  <c r="Q33" i="9"/>
  <c r="E6" i="7"/>
  <c r="I6" i="7" s="1"/>
  <c r="S40" i="9"/>
  <c r="R46" i="9"/>
  <c r="S19" i="9"/>
  <c r="S23" i="9"/>
  <c r="S29" i="9"/>
  <c r="S33" i="9"/>
  <c r="X53" i="9"/>
  <c r="T40" i="9"/>
  <c r="R42" i="9"/>
  <c r="R51" i="9"/>
  <c r="S55" i="9"/>
  <c r="E5" i="7"/>
  <c r="F5" i="7" s="1"/>
  <c r="P19" i="9"/>
  <c r="P23" i="9"/>
  <c r="P29" i="9"/>
  <c r="P33" i="9"/>
  <c r="X46" i="9"/>
  <c r="S51" i="9"/>
  <c r="E7" i="7"/>
  <c r="I9" i="7"/>
  <c r="T19" i="9"/>
  <c r="R21" i="9"/>
  <c r="T23" i="9"/>
  <c r="R25" i="9"/>
  <c r="G9" i="7" s="1"/>
  <c r="T29" i="9"/>
  <c r="R31" i="9"/>
  <c r="T33" i="9"/>
  <c r="R35" i="9"/>
  <c r="K50" i="9"/>
  <c r="T55" i="9"/>
  <c r="I8" i="7" s="1"/>
  <c r="R57" i="9"/>
  <c r="P31" i="2"/>
  <c r="J31" i="2"/>
  <c r="R40" i="9"/>
  <c r="R44" i="9"/>
  <c r="R55" i="9"/>
  <c r="R19" i="9"/>
  <c r="R23" i="9"/>
  <c r="R29" i="9"/>
  <c r="R33" i="9"/>
  <c r="Q42" i="9"/>
  <c r="P42" i="9"/>
  <c r="Q46" i="9"/>
  <c r="P46" i="9"/>
  <c r="Q53" i="9"/>
  <c r="P53" i="9"/>
  <c r="Q57" i="9"/>
  <c r="P57" i="9"/>
  <c r="E11" i="7"/>
  <c r="Q21" i="9"/>
  <c r="P21" i="9"/>
  <c r="Q25" i="9"/>
  <c r="P25" i="9"/>
  <c r="Q31" i="9"/>
  <c r="P31" i="9"/>
  <c r="Q35" i="9"/>
  <c r="F10" i="7" s="1"/>
  <c r="P35" i="9"/>
  <c r="Q51" i="9"/>
  <c r="F20" i="7" s="1"/>
  <c r="P51" i="9"/>
  <c r="H8" i="7"/>
  <c r="E12" i="7"/>
  <c r="T35" i="9"/>
  <c r="I10" i="7" s="1"/>
  <c r="Q40" i="9"/>
  <c r="P40" i="9"/>
  <c r="S42" i="9"/>
  <c r="T42" i="9"/>
  <c r="Q44" i="9"/>
  <c r="F7" i="7" s="1"/>
  <c r="P44" i="9"/>
  <c r="S46" i="9"/>
  <c r="T46" i="9"/>
  <c r="Y51" i="9"/>
  <c r="S53" i="9"/>
  <c r="H16" i="7" s="1"/>
  <c r="T53" i="9"/>
  <c r="I16" i="7" s="1"/>
  <c r="Q55" i="9"/>
  <c r="P55" i="9"/>
  <c r="S57" i="9"/>
  <c r="T57" i="9"/>
  <c r="E13" i="7"/>
  <c r="I13" i="7" s="1"/>
  <c r="K13" i="7" s="1"/>
  <c r="E14" i="7"/>
  <c r="I14" i="7" s="1"/>
  <c r="K14" i="7" s="1"/>
  <c r="E15" i="7"/>
  <c r="I15" i="7" s="1"/>
  <c r="K15" i="7" s="1"/>
  <c r="E17" i="7"/>
  <c r="E18" i="7"/>
  <c r="E19" i="7"/>
  <c r="I19" i="7" s="1"/>
  <c r="J19" i="7" s="1"/>
  <c r="B49" i="7"/>
  <c r="B26" i="7"/>
  <c r="B28" i="7"/>
  <c r="B54" i="7"/>
  <c r="B30" i="7"/>
  <c r="B32" i="7"/>
  <c r="B48" i="7"/>
  <c r="B25" i="7"/>
  <c r="B50" i="7"/>
  <c r="B27" i="7"/>
  <c r="B53" i="7"/>
  <c r="B29" i="7"/>
  <c r="B55" i="7"/>
  <c r="B31" i="7"/>
  <c r="C48" i="7"/>
  <c r="C25" i="7"/>
  <c r="C50" i="7"/>
  <c r="C27" i="7"/>
  <c r="C51" i="7"/>
  <c r="C28" i="7"/>
  <c r="C53" i="7"/>
  <c r="C29" i="7"/>
  <c r="C54" i="7"/>
  <c r="C30" i="7"/>
  <c r="C55" i="7"/>
  <c r="C31" i="7"/>
  <c r="C56" i="7"/>
  <c r="C32" i="7"/>
  <c r="H7" i="7"/>
  <c r="G16" i="7"/>
  <c r="H20" i="7"/>
  <c r="G10" i="7"/>
  <c r="G7" i="7"/>
  <c r="F9" i="7"/>
  <c r="H10" i="7"/>
  <c r="F16" i="7"/>
  <c r="G20" i="7"/>
  <c r="J13" i="7"/>
  <c r="J9" i="7"/>
  <c r="K9" i="7"/>
  <c r="G5" i="7"/>
  <c r="I7" i="7"/>
  <c r="F8" i="7"/>
  <c r="I20" i="7"/>
  <c r="H5" i="7"/>
  <c r="G8" i="7"/>
  <c r="H9" i="7"/>
  <c r="H19" i="7"/>
  <c r="Y19" i="9"/>
  <c r="Y21" i="9"/>
  <c r="Y23" i="9"/>
  <c r="Y25" i="9"/>
  <c r="Y29" i="9"/>
  <c r="Y31" i="9"/>
  <c r="Y33" i="9"/>
  <c r="Y35" i="9"/>
  <c r="Y40" i="9"/>
  <c r="Y42" i="9"/>
  <c r="Y44" i="9"/>
  <c r="Y46" i="9"/>
  <c r="K52" i="9"/>
  <c r="W53" i="9"/>
  <c r="W55" i="9"/>
  <c r="W57" i="9"/>
  <c r="W19" i="9"/>
  <c r="W21" i="9"/>
  <c r="W23" i="9"/>
  <c r="W25" i="9"/>
  <c r="W29" i="9"/>
  <c r="W31" i="9"/>
  <c r="W33" i="9"/>
  <c r="W35" i="9"/>
  <c r="W40" i="9"/>
  <c r="W42" i="9"/>
  <c r="W44" i="9"/>
  <c r="W46" i="9"/>
  <c r="Y53" i="9"/>
  <c r="Y55" i="9"/>
  <c r="Y57" i="9"/>
  <c r="R31" i="2"/>
  <c r="H31" i="2"/>
  <c r="N31" i="2"/>
  <c r="L31" i="2"/>
  <c r="L51" i="2"/>
  <c r="L52" i="2" s="1"/>
  <c r="L53" i="2" s="1"/>
  <c r="D25" i="2" s="1"/>
  <c r="I31" i="2"/>
  <c r="M31" i="2"/>
  <c r="S29" i="2"/>
  <c r="R32" i="2"/>
  <c r="K31" i="2"/>
  <c r="Q31" i="2"/>
  <c r="J32" i="2"/>
  <c r="S33" i="2"/>
  <c r="O33" i="2"/>
  <c r="K33" i="2"/>
  <c r="N32" i="2"/>
  <c r="Q33" i="2"/>
  <c r="M33" i="2"/>
  <c r="I33" i="2"/>
  <c r="P32" i="2"/>
  <c r="L32" i="2"/>
  <c r="H32" i="2"/>
  <c r="S31" i="2"/>
  <c r="O31" i="2"/>
  <c r="H6" i="7" l="1"/>
  <c r="I12" i="7"/>
  <c r="G6" i="7"/>
  <c r="I5" i="7"/>
  <c r="I18" i="7"/>
  <c r="J18" i="7" s="1"/>
  <c r="F15" i="7"/>
  <c r="F6" i="7"/>
  <c r="G14" i="7"/>
  <c r="I17" i="7"/>
  <c r="J17" i="7" s="1"/>
  <c r="H11" i="7"/>
  <c r="K17" i="7"/>
  <c r="J15" i="7"/>
  <c r="H15" i="7"/>
  <c r="G15" i="7"/>
  <c r="K18" i="7"/>
  <c r="G11" i="7"/>
  <c r="G17" i="7"/>
  <c r="K19" i="7"/>
  <c r="F12" i="7"/>
  <c r="H14" i="7"/>
  <c r="F13" i="7"/>
  <c r="G18" i="7"/>
  <c r="H13" i="7"/>
  <c r="G12" i="7"/>
  <c r="H18" i="7"/>
  <c r="G13" i="7"/>
  <c r="F18" i="7"/>
  <c r="F11" i="7"/>
  <c r="F27" i="2"/>
  <c r="F30" i="2" s="1"/>
  <c r="F33" i="2" s="1"/>
  <c r="E27" i="2"/>
  <c r="F26" i="2"/>
  <c r="F29" i="2" s="1"/>
  <c r="F32" i="2" s="1"/>
  <c r="D27" i="2"/>
  <c r="E26" i="2"/>
  <c r="F25" i="2"/>
  <c r="F28" i="2" s="1"/>
  <c r="F31" i="2" s="1"/>
  <c r="D26" i="2"/>
  <c r="E25" i="2"/>
  <c r="J6" i="7"/>
  <c r="K16" i="7"/>
  <c r="J16" i="7"/>
  <c r="K10" i="7"/>
  <c r="J10" i="7"/>
  <c r="J14" i="7"/>
  <c r="G19" i="7"/>
  <c r="F14" i="7"/>
  <c r="F19" i="7"/>
  <c r="F17" i="7"/>
  <c r="H12" i="7"/>
  <c r="I11" i="7"/>
  <c r="H17" i="7"/>
  <c r="K6" i="7"/>
  <c r="K8" i="7"/>
  <c r="J8" i="7"/>
  <c r="K20" i="7"/>
  <c r="J20" i="7"/>
  <c r="K7" i="7"/>
  <c r="J7" i="7"/>
  <c r="K12" i="7"/>
  <c r="J12" i="7"/>
  <c r="S32" i="2"/>
  <c r="J5" i="7" l="1"/>
  <c r="K5" i="7"/>
  <c r="J11" i="7"/>
  <c r="K11" i="7"/>
  <c r="E28" i="2"/>
  <c r="D30" i="2"/>
  <c r="D29" i="2"/>
  <c r="D28" i="2"/>
  <c r="E30" i="2"/>
  <c r="E29" i="2"/>
  <c r="E32" i="2" l="1"/>
  <c r="D31" i="2"/>
  <c r="F25" i="7" s="1"/>
  <c r="D33" i="2"/>
  <c r="E33" i="2"/>
  <c r="D32" i="2"/>
  <c r="E6" i="2" s="1"/>
  <c r="F17" i="5" s="1"/>
  <c r="F18" i="5" s="1"/>
  <c r="F22" i="5" s="1"/>
  <c r="F5" i="5" s="1"/>
  <c r="F6" i="5" s="1"/>
  <c r="E31" i="2"/>
  <c r="E5" i="2" l="1"/>
  <c r="E19" i="2" s="1"/>
  <c r="F32" i="7"/>
  <c r="G31" i="7"/>
  <c r="H30" i="7"/>
  <c r="F28" i="7"/>
  <c r="G27" i="7"/>
  <c r="H26" i="7"/>
  <c r="F31" i="7"/>
  <c r="G30" i="7"/>
  <c r="H29" i="7"/>
  <c r="F27" i="7"/>
  <c r="G26" i="7"/>
  <c r="H25" i="7"/>
  <c r="H32" i="7"/>
  <c r="F30" i="7"/>
  <c r="G29" i="7"/>
  <c r="H28" i="7"/>
  <c r="F26" i="7"/>
  <c r="G25" i="7"/>
  <c r="G32" i="7"/>
  <c r="H31" i="7"/>
  <c r="F29" i="7"/>
  <c r="G28" i="7"/>
  <c r="H27" i="7"/>
  <c r="I25" i="7"/>
  <c r="I27" i="7"/>
  <c r="I32" i="7"/>
  <c r="I30" i="7"/>
  <c r="I28" i="7"/>
  <c r="I26" i="7"/>
  <c r="I29" i="7"/>
  <c r="I31" i="7"/>
  <c r="L7" i="2"/>
  <c r="K7" i="2"/>
  <c r="J7" i="2"/>
  <c r="I7" i="2"/>
  <c r="G7" i="2"/>
  <c r="F7" i="2"/>
  <c r="E7" i="2"/>
  <c r="E10" i="2" s="1"/>
  <c r="L6" i="2"/>
  <c r="K6" i="2"/>
  <c r="J6" i="2"/>
  <c r="I6" i="2"/>
  <c r="G6" i="2"/>
  <c r="F6" i="2"/>
  <c r="E11" i="2"/>
  <c r="L5" i="2"/>
  <c r="L19" i="2" s="1"/>
  <c r="K5" i="2"/>
  <c r="K19" i="2" s="1"/>
  <c r="J5" i="2"/>
  <c r="J19" i="2" s="1"/>
  <c r="I5" i="2"/>
  <c r="I19" i="2" s="1"/>
  <c r="G5" i="2"/>
  <c r="G19" i="2" s="1"/>
  <c r="F5" i="2"/>
  <c r="F19" i="2" s="1"/>
  <c r="F11" i="2" l="1"/>
  <c r="G17" i="5"/>
  <c r="G18" i="5" s="1"/>
  <c r="G22" i="5" s="1"/>
  <c r="G5" i="5" s="1"/>
  <c r="G6" i="5" s="1"/>
  <c r="K11" i="2"/>
  <c r="K17" i="5"/>
  <c r="K18" i="5" s="1"/>
  <c r="K22" i="5" s="1"/>
  <c r="K5" i="5" s="1"/>
  <c r="K6" i="5" s="1"/>
  <c r="G11" i="2"/>
  <c r="H17" i="5"/>
  <c r="H18" i="5" s="1"/>
  <c r="H22" i="5" s="1"/>
  <c r="H5" i="5" s="1"/>
  <c r="H6" i="5" s="1"/>
  <c r="L11" i="2"/>
  <c r="L17" i="5"/>
  <c r="L18" i="5" s="1"/>
  <c r="L22" i="5" s="1"/>
  <c r="L5" i="5" s="1"/>
  <c r="L6" i="5" s="1"/>
  <c r="I11" i="2"/>
  <c r="I17" i="5"/>
  <c r="I18" i="5" s="1"/>
  <c r="I22" i="5" s="1"/>
  <c r="I5" i="5" s="1"/>
  <c r="I6" i="5" s="1"/>
  <c r="J11" i="2"/>
  <c r="J17" i="5"/>
  <c r="J18" i="5" s="1"/>
  <c r="J22" i="5" s="1"/>
  <c r="J5" i="5" s="1"/>
  <c r="J6" i="5" s="1"/>
  <c r="F14" i="2"/>
  <c r="F12" i="2"/>
  <c r="F16" i="2"/>
  <c r="F13" i="2"/>
  <c r="F17" i="2"/>
  <c r="F15" i="2"/>
  <c r="I9" i="2"/>
  <c r="I10" i="2"/>
  <c r="I8" i="2"/>
  <c r="J10" i="2"/>
  <c r="J8" i="2"/>
  <c r="J9" i="2"/>
  <c r="F10" i="2"/>
  <c r="F8" i="2"/>
  <c r="F9" i="2"/>
  <c r="K10" i="2"/>
  <c r="K8" i="2"/>
  <c r="K9" i="2"/>
  <c r="K14" i="2"/>
  <c r="K12" i="2"/>
  <c r="K16" i="2"/>
  <c r="K13" i="2"/>
  <c r="K17" i="2"/>
  <c r="K15" i="2"/>
  <c r="G16" i="2"/>
  <c r="G13" i="2"/>
  <c r="G17" i="2"/>
  <c r="G15" i="2"/>
  <c r="G14" i="2"/>
  <c r="G12" i="2"/>
  <c r="L16" i="2"/>
  <c r="L14" i="2"/>
  <c r="L13" i="2"/>
  <c r="L17" i="2"/>
  <c r="L15" i="2"/>
  <c r="L12" i="2"/>
  <c r="E9" i="2"/>
  <c r="E8" i="2"/>
  <c r="I13" i="2"/>
  <c r="I17" i="2"/>
  <c r="I15" i="2"/>
  <c r="I14" i="2"/>
  <c r="I12" i="2"/>
  <c r="I16" i="2"/>
  <c r="E14" i="2"/>
  <c r="E17" i="2"/>
  <c r="E13" i="2"/>
  <c r="E16" i="2"/>
  <c r="E12" i="2"/>
  <c r="E15" i="2"/>
  <c r="J17" i="2"/>
  <c r="J15" i="2"/>
  <c r="J14" i="2"/>
  <c r="J12" i="2"/>
  <c r="J16" i="2"/>
  <c r="J13" i="2"/>
  <c r="G9" i="2"/>
  <c r="G10" i="2"/>
  <c r="G8" i="2"/>
  <c r="L9" i="2"/>
  <c r="L10" i="2"/>
  <c r="L8" i="2"/>
  <c r="D6" i="2" l="1"/>
  <c r="D8" i="2"/>
  <c r="D9" i="2"/>
  <c r="D7" i="2"/>
  <c r="D10" i="2"/>
  <c r="D11" i="2"/>
  <c r="D5" i="2"/>
  <c r="D12" i="2"/>
  <c r="D13" i="2"/>
  <c r="D14" i="2"/>
  <c r="D15" i="2"/>
  <c r="D16" i="2"/>
  <c r="C17" i="2"/>
  <c r="B17" i="2"/>
  <c r="Q6" i="5" l="1"/>
  <c r="R6" i="5" l="1"/>
  <c r="C6" i="5"/>
  <c r="C5" i="5"/>
  <c r="B6" i="5"/>
  <c r="B5" i="5"/>
  <c r="D19" i="3" l="1"/>
  <c r="D21" i="3"/>
  <c r="D20" i="3"/>
  <c r="D18" i="3"/>
  <c r="D17" i="3"/>
  <c r="D16" i="3"/>
  <c r="C21" i="3"/>
  <c r="B21" i="3"/>
  <c r="C20" i="3"/>
  <c r="B20" i="3"/>
  <c r="C19" i="3"/>
  <c r="B19" i="3"/>
  <c r="C18" i="3"/>
  <c r="B18" i="3"/>
  <c r="C17" i="3"/>
  <c r="B17" i="3"/>
  <c r="C16" i="3"/>
  <c r="B16" i="3"/>
  <c r="C8" i="3"/>
  <c r="B8" i="3"/>
  <c r="C6" i="3"/>
  <c r="B6" i="3"/>
  <c r="C7" i="3"/>
  <c r="B7" i="3"/>
  <c r="C5" i="3"/>
  <c r="B5" i="3"/>
  <c r="C18" i="2"/>
  <c r="B18" i="2"/>
  <c r="C16" i="2"/>
  <c r="B16" i="2"/>
  <c r="C15" i="2"/>
  <c r="B15" i="2"/>
  <c r="C14" i="2"/>
  <c r="B14" i="2"/>
  <c r="C13" i="2"/>
  <c r="B13" i="2"/>
  <c r="C12" i="2"/>
  <c r="B12" i="2"/>
  <c r="C5" i="2"/>
  <c r="B5" i="2"/>
  <c r="C11" i="2"/>
  <c r="B11" i="2"/>
  <c r="C10" i="2"/>
  <c r="B10" i="2"/>
  <c r="C7" i="2"/>
  <c r="B7" i="2"/>
  <c r="C9" i="2"/>
  <c r="B9" i="2"/>
  <c r="C8" i="2"/>
  <c r="B8" i="2"/>
  <c r="C6" i="2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</authors>
  <commentList>
    <comment ref="M8" authorId="0" shapeId="0" xr:uid="{00000000-0006-0000-0100-000001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9" authorId="0" shapeId="0" xr:uid="{00000000-0006-0000-0100-000002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0" authorId="0" shapeId="0" xr:uid="{00000000-0006-0000-0100-000003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1" authorId="0" shapeId="0" xr:uid="{00000000-0006-0000-0100-000004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2" authorId="0" shapeId="0" xr:uid="{00000000-0006-0000-0100-000005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3" authorId="0" shapeId="0" xr:uid="{00000000-0006-0000-0100-000006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4" authorId="0" shapeId="0" xr:uid="{00000000-0006-0000-0100-000007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5" authorId="0" shapeId="0" xr:uid="{00000000-0006-0000-0100-000008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6" authorId="0" shapeId="0" xr:uid="{00000000-0006-0000-0100-000009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M17" authorId="0" shapeId="0" xr:uid="{00000000-0006-0000-0100-00000A000000}">
      <text>
        <r>
          <rPr>
            <sz val="9"/>
            <color indexed="81"/>
            <rFont val="Tahoma"/>
            <family val="2"/>
          </rPr>
          <t>Based on previous model version</t>
        </r>
      </text>
    </comment>
    <comment ref="J37" authorId="1" shapeId="0" xr:uid="{00000000-0006-0000-0100-00000B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L37" authorId="0" shapeId="0" xr:uid="{00000000-0006-0000-0100-00000C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  <comment ref="I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Aneex C WEO2011</t>
        </r>
      </text>
    </comment>
    <comment ref="I6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Box 11.1 p.398 - WEO2011 (Hard Coal)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14" authorId="0" shapeId="0" xr:uid="{00000000-0006-0000-0300-000002000000}">
      <text>
        <r>
          <rPr>
            <b/>
            <sz val="10"/>
            <color indexed="8"/>
            <rFont val="Tahoma"/>
            <family val="2"/>
          </rPr>
          <t>KanORS:</t>
        </r>
        <r>
          <rPr>
            <sz val="10"/>
            <color indexed="8"/>
            <rFont val="Tahoma"/>
            <family val="2"/>
          </rPr>
          <t xml:space="preserve">
Ideally, the renewable potentials should be controlled at a technology level, but can also be declared here.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Alessandro Chiodi</author>
  </authors>
  <commentList>
    <comment ref="H4" authorId="0" shapeId="0" xr:uid="{00000000-0006-0000-0400-00000D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6" authorId="1" shapeId="0" xr:uid="{F9244B21-5850-4898-8167-5D2E639F4933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7" authorId="1" shapeId="0" xr:uid="{8F3355A3-1FC3-45B4-9C50-2FB552DFB543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9" authorId="1" shapeId="0" xr:uid="{9384336B-62B5-4359-971B-538F75BE7AA6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13" authorId="1" shapeId="0" xr:uid="{92846422-6375-472D-8F65-B1290B4A3557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6" authorId="1" shapeId="0" xr:uid="{87D44BE8-920C-4D11-AF45-149CA3400486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17" authorId="1" shapeId="0" xr:uid="{EC3E4F9E-5F21-4CB6-8C67-5660879FCB71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19" authorId="1" shapeId="0" xr:uid="{DDC13B8B-961A-4908-BCE5-D0A77E107FB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23" authorId="1" shapeId="0" xr:uid="{D3E361B9-2994-466E-A98A-92DEE18AE739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6" authorId="1" shapeId="0" xr:uid="{B26A8BB3-065C-4779-9B94-E03F448B89FE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J27" authorId="1" shapeId="0" xr:uid="{CC8F7A27-4FDD-4163-8202-45F991AF3E0B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J29" authorId="1" shapeId="0" xr:uid="{9FB5C478-92A1-4717-94CE-FE4EFBDFDD35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  <comment ref="J33" authorId="1" shapeId="0" xr:uid="{BA77F7EA-2E30-451F-8610-546D1728A434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M3" authorId="0" shapeId="0" xr:uid="{00000000-0006-0000-06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0000000-0006-0000-0600-000002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  <comment ref="O3" authorId="0" shapeId="0" xr:uid="{00000000-0006-0000-0600-000003000000}">
      <text>
        <r>
          <rPr>
            <sz val="9"/>
            <color indexed="81"/>
            <rFont val="Tahoma"/>
            <family val="2"/>
          </rPr>
          <t>Calibrated against SEAI Energy Balance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6" authorId="0" shapeId="0" xr:uid="{F2A744C6-E49A-4408-BA6E-24EE3413F39E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(as HFO), to be reviewed</t>
        </r>
      </text>
    </comment>
  </commentList>
</comments>
</file>

<file path=xl/sharedStrings.xml><?xml version="1.0" encoding="utf-8"?>
<sst xmlns="http://schemas.openxmlformats.org/spreadsheetml/2006/main" count="1335" uniqueCount="564">
  <si>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</si>
  <si>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</si>
  <si>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</si>
  <si>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</si>
  <si>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</si>
  <si>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</si>
  <si>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</si>
  <si>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</si>
  <si>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</si>
  <si>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</si>
  <si>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MINGASRSV1</t>
  </si>
  <si>
    <t>PJ</t>
  </si>
  <si>
    <t>GASNAT</t>
  </si>
  <si>
    <t>MINPEARSV1</t>
  </si>
  <si>
    <t>PEAT</t>
  </si>
  <si>
    <t>MINGASRSV2</t>
  </si>
  <si>
    <t>MINPEARSV2</t>
  </si>
  <si>
    <t>RNW</t>
  </si>
  <si>
    <t>MINRENHYD</t>
  </si>
  <si>
    <t>Hydro Potential</t>
  </si>
  <si>
    <t>MINRENWIN</t>
  </si>
  <si>
    <t>Wind Potential</t>
  </si>
  <si>
    <t>MINRENSOL</t>
  </si>
  <si>
    <t>Solar Potential</t>
  </si>
  <si>
    <t>MINRENOCE</t>
  </si>
  <si>
    <t>Ocean Potential</t>
  </si>
  <si>
    <t>MINRENGEO</t>
  </si>
  <si>
    <t>Geothermal Potential</t>
  </si>
  <si>
    <t>IMP</t>
  </si>
  <si>
    <t>IMPGASNAT_UK</t>
  </si>
  <si>
    <t>Import of Natural Gas from UK</t>
  </si>
  <si>
    <t>IMPCOABIT</t>
  </si>
  <si>
    <t>Import of Bituminous Coal</t>
  </si>
  <si>
    <t>IMPCOACOK</t>
  </si>
  <si>
    <t>Import of Coal Coke</t>
  </si>
  <si>
    <t>IMPCOAHAR</t>
  </si>
  <si>
    <t>Import of Hard Coal /  Anthracite</t>
  </si>
  <si>
    <t>IMPCOALIG</t>
  </si>
  <si>
    <t>Import of Lignite /  Brown Coal Briquettes</t>
  </si>
  <si>
    <t>IMPLNG_GLOBAL</t>
  </si>
  <si>
    <t>Import of Liquified Natural Gas</t>
  </si>
  <si>
    <t>IMPOILCRD</t>
  </si>
  <si>
    <t>Import of Crude Oil</t>
  </si>
  <si>
    <t>IMPOILDST</t>
  </si>
  <si>
    <t>Import of Diesel Oil</t>
  </si>
  <si>
    <t>IMPOILGSL</t>
  </si>
  <si>
    <t>Import of Gasoline</t>
  </si>
  <si>
    <t>IMPOILHFO</t>
  </si>
  <si>
    <t>Import of Heavy Fuel Oil</t>
  </si>
  <si>
    <t>IMPOILKER</t>
  </si>
  <si>
    <t>Import of Kerosene</t>
  </si>
  <si>
    <t>IMPOILLPG</t>
  </si>
  <si>
    <t>Import of Liquified Petroleum Gas</t>
  </si>
  <si>
    <t>Import of Uranium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</si>
  <si>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</si>
  <si>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</si>
  <si>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</si>
  <si>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</si>
  <si>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</si>
  <si>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</si>
  <si>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</si>
  <si>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</si>
  <si>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</si>
  <si>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</si>
  <si>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Natural Gas (SUP)</t>
  </si>
  <si>
    <t>COABIT</t>
  </si>
  <si>
    <t>COACOK</t>
  </si>
  <si>
    <t>COAHAR</t>
  </si>
  <si>
    <t>GASLNG</t>
  </si>
  <si>
    <t>OILCRD</t>
  </si>
  <si>
    <t>OILDST</t>
  </si>
  <si>
    <t>OILGSL</t>
  </si>
  <si>
    <t>OILHFO</t>
  </si>
  <si>
    <t>OILKER</t>
  </si>
  <si>
    <t>OILLPG</t>
  </si>
  <si>
    <t>RENHYD</t>
  </si>
  <si>
    <t>RENWIN</t>
  </si>
  <si>
    <t>RENSOL</t>
  </si>
  <si>
    <t>RENOCE</t>
  </si>
  <si>
    <t>RENGEO</t>
  </si>
  <si>
    <t>~FI_T: EUR00</t>
  </si>
  <si>
    <t>Comm-OUT</t>
  </si>
  <si>
    <t>COST</t>
  </si>
  <si>
    <t>COST~2015</t>
  </si>
  <si>
    <t>COST~2020</t>
  </si>
  <si>
    <t>COST~2025</t>
  </si>
  <si>
    <t>COST~2030</t>
  </si>
  <si>
    <t>COST~2040</t>
  </si>
  <si>
    <t>COST~2050</t>
  </si>
  <si>
    <t>*Technology Name</t>
  </si>
  <si>
    <t>Technology Description</t>
  </si>
  <si>
    <t>Output Commodity</t>
  </si>
  <si>
    <t>€/GJ</t>
  </si>
  <si>
    <t>Domestic fossil fuels reserves</t>
  </si>
  <si>
    <t>CUM</t>
  </si>
  <si>
    <t>BNDACT~UP</t>
  </si>
  <si>
    <t>BNDACT~UP~2050</t>
  </si>
  <si>
    <t>Euro/GJ</t>
  </si>
  <si>
    <t>Renewable potentials</t>
  </si>
  <si>
    <t>Municipal Solid Waste Potential</t>
  </si>
  <si>
    <t>MSWAS</t>
  </si>
  <si>
    <t>MINMSWAS</t>
  </si>
  <si>
    <t>Electricity Interconnector</t>
  </si>
  <si>
    <t>~FI_T</t>
  </si>
  <si>
    <t>\I:Technology Name</t>
  </si>
  <si>
    <t>Import of Wood Pellets - RSV 2</t>
  </si>
  <si>
    <t>Import of Wood Pellets - RSV 3</t>
  </si>
  <si>
    <t>Import of Wood Pellets - RSV 4</t>
  </si>
  <si>
    <t>Import of Wood Pellets - RSV 1</t>
  </si>
  <si>
    <t>BIOWPE</t>
  </si>
  <si>
    <t>IMPBIOWPE1</t>
  </si>
  <si>
    <t>IMPBIOWPE2</t>
  </si>
  <si>
    <t>IMPBIOWPE3</t>
  </si>
  <si>
    <t>IMPBIOWPE4</t>
  </si>
  <si>
    <t>IMPBIOWCH1</t>
  </si>
  <si>
    <t>Import of Wood Chip - RSV 1</t>
  </si>
  <si>
    <t>IMPBIOWCH2</t>
  </si>
  <si>
    <t>Import of Wood Chip - RSV 2</t>
  </si>
  <si>
    <t>IMPBIOWCH3</t>
  </si>
  <si>
    <t>IMPBIOWCH4</t>
  </si>
  <si>
    <t>Import of Wood Chip - RSV 3</t>
  </si>
  <si>
    <t>Import of Wood Chip - RSV 4</t>
  </si>
  <si>
    <t>BIOWCH</t>
  </si>
  <si>
    <t>EXP</t>
  </si>
  <si>
    <t>IMPELCC_UK</t>
  </si>
  <si>
    <t>EXPELCC_UK</t>
  </si>
  <si>
    <t>Import of Electricity from UK</t>
  </si>
  <si>
    <t>Export of Electricity to UK</t>
  </si>
  <si>
    <t>DAYNITE</t>
  </si>
  <si>
    <t>ACTBND~UP~2020</t>
  </si>
  <si>
    <t>ACTBND~UP~2050</t>
  </si>
  <si>
    <t>ACTBND~FX</t>
  </si>
  <si>
    <t>ACTBND~UP~0</t>
  </si>
  <si>
    <t>Comm-IN</t>
  </si>
  <si>
    <t>ELCC</t>
  </si>
  <si>
    <t>ACTBND~FX~2013</t>
  </si>
  <si>
    <t>ACTBND~FX~2014</t>
  </si>
  <si>
    <t>ACTBND~UP~2015</t>
  </si>
  <si>
    <t>*Notes</t>
  </si>
  <si>
    <t>Calibrated against SEAI Energy Balance</t>
  </si>
  <si>
    <t>SEASON</t>
  </si>
  <si>
    <t>BIOETH1G</t>
  </si>
  <si>
    <t>BIODST1G</t>
  </si>
  <si>
    <t>BIOETH2G</t>
  </si>
  <si>
    <t>BIODST2G</t>
  </si>
  <si>
    <t>IMPBIOETH1G1</t>
  </si>
  <si>
    <t>IMPBIOETH1G2</t>
  </si>
  <si>
    <t>IMPBIOETH1G3</t>
  </si>
  <si>
    <t>IMPBIOETH1G4</t>
  </si>
  <si>
    <t>IMPBIODST1G1</t>
  </si>
  <si>
    <t>IMPBIODST1G2</t>
  </si>
  <si>
    <t>IMPBIODST1G3</t>
  </si>
  <si>
    <t>IMPBIODST1G4</t>
  </si>
  <si>
    <t>Import of BIODST1G - RSV 1</t>
  </si>
  <si>
    <t>Import of BIODST1G - RSV 2</t>
  </si>
  <si>
    <t>Import of BIODST1G - RSV 3</t>
  </si>
  <si>
    <t>Import of BIODST1G - RSV 4</t>
  </si>
  <si>
    <t>Import of BIOETH1G - RSV 1</t>
  </si>
  <si>
    <t>Import of BIOETH1G - RSV 2</t>
  </si>
  <si>
    <t>Import of BIOETH1G - RSV 3</t>
  </si>
  <si>
    <t>Import of BIOETH1G - RSV 4</t>
  </si>
  <si>
    <t>OILCOK</t>
  </si>
  <si>
    <t>IMPOILCOK</t>
  </si>
  <si>
    <t>Import of Petroleum Coke</t>
  </si>
  <si>
    <t>Source: Eurostat</t>
  </si>
  <si>
    <t>€ CPI</t>
  </si>
  <si>
    <t>US inflation rate</t>
  </si>
  <si>
    <t>$ CPI</t>
  </si>
  <si>
    <t>Source:  U.S. Department of Labor Bureau of Labor Statistic</t>
  </si>
  <si>
    <r>
      <t>Source:</t>
    </r>
    <r>
      <rPr>
        <i/>
        <sz val="11"/>
        <color indexed="8"/>
        <rFont val="Calibri"/>
        <family val="2"/>
      </rPr>
      <t xml:space="preserve"> European Central Bank</t>
    </r>
  </si>
  <si>
    <t>Conversion Factors</t>
  </si>
  <si>
    <t>Gas</t>
  </si>
  <si>
    <t>Oil</t>
  </si>
  <si>
    <t>Coal</t>
  </si>
  <si>
    <t>New Policies Scenario</t>
  </si>
  <si>
    <t>Current Policies Scenario</t>
  </si>
  <si>
    <t>450 Scenario</t>
  </si>
  <si>
    <t>unit</t>
  </si>
  <si>
    <t>IEA crude oil imports</t>
  </si>
  <si>
    <t>OECD steam coal imports</t>
  </si>
  <si>
    <t>Euro inflation rate</t>
    <phoneticPr fontId="11" type="noConversion"/>
  </si>
  <si>
    <t>Exchange rate</t>
  </si>
  <si>
    <t>COST~2013</t>
  </si>
  <si>
    <t>COST~2014</t>
  </si>
  <si>
    <t>~FI_T: EUR14</t>
  </si>
  <si>
    <t>*Source/Ratio</t>
  </si>
  <si>
    <t>~FI_T: ACT_BND~UP</t>
  </si>
  <si>
    <t>*Total</t>
  </si>
  <si>
    <t>Fossil Fuels Imports</t>
  </si>
  <si>
    <t>Fossil fuels import price assuptions</t>
  </si>
  <si>
    <t>Max 2030 potential (Amb Supply, High Dem scenario)</t>
  </si>
  <si>
    <t>Imported Bioenergy costs (€/GJ)</t>
  </si>
  <si>
    <t>Imported Bioenergy potentials (PJ)</t>
  </si>
  <si>
    <t>Bioethanol</t>
  </si>
  <si>
    <t>Biodiesel</t>
  </si>
  <si>
    <t>Source:</t>
  </si>
  <si>
    <t>SEAI-AEA, Bioenergy Supply Curves for Ireland 2010 – 2030. October 2012, version 1.0</t>
  </si>
  <si>
    <t>Conversion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</si>
  <si>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</si>
  <si>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1 toe</t>
  </si>
  <si>
    <t>GJ</t>
  </si>
  <si>
    <t>Base=100</t>
  </si>
  <si>
    <t>Appendix 3 Potential Imports of Bioenergy</t>
  </si>
  <si>
    <t>1 ktoe</t>
  </si>
  <si>
    <t>The following tables refer to potential import scenarios for bioenergy to Ireland, as described in Section11.</t>
  </si>
  <si>
    <t>Source: http://www.cso.ie/px/pxeirestat/Statire/SelectVarVal/Define.asp?maintable=CPA04&amp;PLanguage=0</t>
  </si>
  <si>
    <t>Table A. 3: Restricted supply/reference demand</t>
  </si>
  <si>
    <t>€2010</t>
  </si>
  <si>
    <t>Wood chips</t>
  </si>
  <si>
    <t>toe</t>
  </si>
  <si>
    <t>Table A. 4: Medium supply/reference demand</t>
  </si>
  <si>
    <t>€/toe</t>
  </si>
  <si>
    <t>Table A. 5: Ambitious supply/reference demand</t>
  </si>
  <si>
    <t>Wood pellets</t>
  </si>
  <si>
    <t>Table A. 6: Medium supply/high demand</t>
  </si>
  <si>
    <t>Table A. 7: Ambitious supply/high demand</t>
  </si>
  <si>
    <t>Index</t>
  </si>
  <si>
    <t>€2000</t>
  </si>
  <si>
    <t>191,47</t>
  </si>
  <si>
    <t>~FI_T: EUR10</t>
  </si>
  <si>
    <t>ktoe to PJ</t>
  </si>
  <si>
    <t>~FI_T: EUR11</t>
  </si>
  <si>
    <t>Imported Bioenergy delivery costs (€/GJ)</t>
  </si>
  <si>
    <t>DELIV~2020</t>
  </si>
  <si>
    <t>DELIV~2030</t>
  </si>
  <si>
    <t>DELIV~2040</t>
  </si>
  <si>
    <t>DELIV~2050</t>
  </si>
  <si>
    <t>Based on Clancy et al., The economic viability of biomass crops versus conventional agricultural systems and its potential impact on farm incomes in Ireland, Energy Policy 2012
Transport, p[rocessing and fuel adder</t>
  </si>
  <si>
    <t>o=output</t>
  </si>
  <si>
    <t>TIMES Cost in output</t>
  </si>
  <si>
    <t>Meuro/Pjo</t>
  </si>
  <si>
    <t>Cost in output</t>
  </si>
  <si>
    <t>[Euro/GJo]</t>
  </si>
  <si>
    <t>Charge for power sent over (or back) [Euro/MWh]</t>
  </si>
  <si>
    <t>"Max Output"</t>
  </si>
  <si>
    <t>Interconnector CAP [MW]</t>
  </si>
  <si>
    <t>Gas Price [Euro/GJ]</t>
  </si>
  <si>
    <t>"Fuel Consumption"</t>
  </si>
  <si>
    <t>EFF</t>
  </si>
  <si>
    <t>Generator CAP [MW]</t>
  </si>
  <si>
    <t>Dummy Gas Generator</t>
  </si>
  <si>
    <t>TIMES</t>
  </si>
  <si>
    <t>PLEXOS</t>
  </si>
  <si>
    <t>Meuro/PJo</t>
  </si>
  <si>
    <t>EUR to USD</t>
  </si>
  <si>
    <t>USD to EUR</t>
  </si>
  <si>
    <t>$2015/barrel</t>
  </si>
  <si>
    <t>$2015/MBtu</t>
  </si>
  <si>
    <t>$2015/tonne</t>
  </si>
  <si>
    <t>Real Terms (2015 Prices)</t>
  </si>
  <si>
    <t>€2015/barrel</t>
  </si>
  <si>
    <t>€2015/MBtu</t>
  </si>
  <si>
    <t>€2015/tonne</t>
  </si>
  <si>
    <t>€2015/GJ</t>
  </si>
  <si>
    <t>Domestic Bioenergy</t>
  </si>
  <si>
    <t>BIOWOO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</si>
  <si>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</si>
  <si>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</si>
  <si>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</si>
  <si>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</si>
  <si>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</si>
  <si>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</si>
  <si>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</si>
  <si>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MINBIOWOO11</t>
  </si>
  <si>
    <t>MINBIOWOO21</t>
  </si>
  <si>
    <t>MINBIOMSW11</t>
  </si>
  <si>
    <t>MINBIOAGRW41</t>
  </si>
  <si>
    <t>MINBIORVO1</t>
  </si>
  <si>
    <t>MINBIOAGRW11</t>
  </si>
  <si>
    <t>MINBIOAGRW21</t>
  </si>
  <si>
    <t>MINBIOAGRW31</t>
  </si>
  <si>
    <t>MINBIOMSW21</t>
  </si>
  <si>
    <t>MINBIOINDW11</t>
  </si>
  <si>
    <t>MINBIOWOO12</t>
  </si>
  <si>
    <t>MINBIOWOO22</t>
  </si>
  <si>
    <t>MINBIOMSW12</t>
  </si>
  <si>
    <t>MINBIOAGRW42</t>
  </si>
  <si>
    <t>MINBIORVO2</t>
  </si>
  <si>
    <t>MINBIOAGRW12</t>
  </si>
  <si>
    <t>MINBIOAGRW22</t>
  </si>
  <si>
    <t>MINBIOAGRW32</t>
  </si>
  <si>
    <t>MINBIOMSW22</t>
  </si>
  <si>
    <t>MINBIOINDW12</t>
  </si>
  <si>
    <t>MINBIOWOO13</t>
  </si>
  <si>
    <t>MINBIOWOO23</t>
  </si>
  <si>
    <t>MINBIOMSW13</t>
  </si>
  <si>
    <t>MINBIOAGRW43</t>
  </si>
  <si>
    <t>MINBIORVO3</t>
  </si>
  <si>
    <t>MINBIOAGRW13</t>
  </si>
  <si>
    <t>MINBIOAGRW23</t>
  </si>
  <si>
    <t>MINBIOAGRW33</t>
  </si>
  <si>
    <t>MINBIOMSW23</t>
  </si>
  <si>
    <t>MINBIOINDW13</t>
  </si>
  <si>
    <t>BIORVO</t>
  </si>
  <si>
    <t>BIOTLW</t>
  </si>
  <si>
    <t>BIOPIGW</t>
  </si>
  <si>
    <t>BIOCATW</t>
  </si>
  <si>
    <t>BIOMSW1</t>
  </si>
  <si>
    <t>BIOMSW2</t>
  </si>
  <si>
    <t>BIOINDF</t>
  </si>
  <si>
    <t xml:space="preserve">Crop-based feedstocks are modelled within the AGR BY Template. Potentials and costs controlled by scenario files. </t>
  </si>
  <si>
    <t>BIOGAS1G</t>
  </si>
  <si>
    <t>BIOGAS2G</t>
  </si>
  <si>
    <t>Base-year Flexible Refinery</t>
  </si>
  <si>
    <t>Share~UP</t>
  </si>
  <si>
    <t>Life</t>
  </si>
  <si>
    <t>FIXOM</t>
  </si>
  <si>
    <t>\I: Unit</t>
  </si>
  <si>
    <t>Years</t>
  </si>
  <si>
    <t>Euro/kW</t>
  </si>
  <si>
    <t>PRE</t>
  </si>
  <si>
    <t>PJa</t>
  </si>
  <si>
    <t>SREF_Whitegate</t>
  </si>
  <si>
    <t>Refinery - Whitegate</t>
  </si>
  <si>
    <t>Share~UP~2015</t>
  </si>
  <si>
    <t>Energy crops - Delivery Cost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</si>
  <si>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</si>
  <si>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</si>
  <si>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</si>
  <si>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Miscanthus/Willow</t>
  </si>
  <si>
    <t>€(11)/GJ</t>
  </si>
  <si>
    <t>~FI_T: EUR15</t>
  </si>
  <si>
    <t>Based on a Dummy Gas generator in UK and WEO2016 Gas prices</t>
  </si>
  <si>
    <t xml:space="preserve">2012                         Units = ktoe
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</si>
  <si>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</si>
  <si>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</si>
  <si>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</si>
  <si>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</si>
  <si>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</si>
  <si>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</si>
  <si>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</si>
  <si>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</si>
  <si>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</si>
  <si>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</si>
  <si>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</si>
  <si>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</si>
  <si>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</si>
  <si>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</si>
  <si>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</si>
  <si>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</si>
  <si>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</si>
  <si>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</si>
  <si>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</si>
  <si>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</si>
  <si>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</si>
  <si>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</si>
  <si>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</si>
  <si>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</si>
  <si>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</si>
  <si>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</si>
  <si>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</si>
  <si>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</si>
  <si>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</si>
  <si>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</si>
  <si>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</si>
  <si>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</si>
  <si>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</si>
  <si>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</si>
  <si>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</si>
  <si>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</si>
  <si>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</si>
  <si>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</si>
  <si>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</si>
  <si>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Imports</t>
  </si>
  <si>
    <t>Exports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</si>
  <si>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</si>
  <si>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</si>
  <si>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</si>
  <si>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</si>
  <si>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</si>
  <si>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</si>
  <si>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</si>
  <si>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</si>
  <si>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</si>
  <si>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</si>
  <si>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</si>
  <si>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</si>
  <si>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</si>
  <si>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</si>
  <si>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</si>
  <si>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</si>
  <si>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Electricity</t>
  </si>
  <si>
    <t>Heat</t>
  </si>
  <si>
    <t xml:space="preserve">Other </t>
  </si>
  <si>
    <t>Own Use and Distribution Losses</t>
  </si>
  <si>
    <t>Available Final Energy Consumption</t>
  </si>
  <si>
    <t>ACT_BND~2013</t>
  </si>
  <si>
    <t>ACT_BND~2014</t>
  </si>
  <si>
    <t>ACT_BND</t>
  </si>
  <si>
    <t xml:space="preserve">2013                         Units = ktoe
</t>
  </si>
  <si>
    <t xml:space="preserve">2014                         Units = ktoe
</t>
  </si>
  <si>
    <t>Natural gas  - Reserves Step I</t>
  </si>
  <si>
    <t>Natural gas  - Reserves Step II</t>
  </si>
  <si>
    <t>ACT_BND~2050</t>
  </si>
  <si>
    <t>ACT_BND~0</t>
  </si>
  <si>
    <t>Peat - Reserves Step I</t>
  </si>
  <si>
    <t>Peat - Reserves Step II</t>
  </si>
  <si>
    <t>OILRFG</t>
  </si>
  <si>
    <t>OILNAP</t>
  </si>
  <si>
    <t>*</t>
  </si>
  <si>
    <t>Share~UP~2013</t>
  </si>
  <si>
    <t>Share~UP~2014</t>
  </si>
  <si>
    <t>EFF~2013</t>
  </si>
  <si>
    <t>EFF~2014</t>
  </si>
  <si>
    <r>
      <rPr>
        <u/>
        <sz val="10"/>
        <rFont val="Calibri"/>
        <family val="2"/>
        <scheme val="minor"/>
      </rPr>
      <t>Net</t>
    </r>
    <r>
      <rPr>
        <sz val="10"/>
        <rFont val="Calibri"/>
        <family val="2"/>
        <scheme val="minor"/>
      </rPr>
      <t xml:space="preserve"> production shares</t>
    </r>
  </si>
  <si>
    <t>Conversion factors</t>
  </si>
  <si>
    <t>Attribute</t>
  </si>
  <si>
    <t>Used BY costs from Irish TIMES 1.0</t>
  </si>
  <si>
    <t>NUCU</t>
  </si>
  <si>
    <t>IMPNUCU</t>
  </si>
  <si>
    <t>Sawmill residues potential - Step I</t>
  </si>
  <si>
    <t>WEO2016 potential - Current Policies Scenario</t>
  </si>
  <si>
    <t>Natural Gas importspotential -Europe</t>
  </si>
  <si>
    <t>Source: IEApotential -WEO 2016</t>
  </si>
  <si>
    <t>(http://www.usinflationcalculator.com/inflation/consumerpotential -pricepotential -indexpotential -andpotential -annualpotential -percentpotential -changespotential -frompotential -1913potential -topotential -2008/)</t>
  </si>
  <si>
    <t>2005potential -2015</t>
  </si>
  <si>
    <t>Solid BMSW potential - Step I</t>
  </si>
  <si>
    <t>Tallow potential - Step I</t>
  </si>
  <si>
    <t>Straw potential - Step I</t>
  </si>
  <si>
    <t>Cattle waste potential - Step I</t>
  </si>
  <si>
    <t>Pig waste potential - Step I</t>
  </si>
  <si>
    <t>BMSW potential - Step I</t>
  </si>
  <si>
    <t>Industrial Food potential - Step I</t>
  </si>
  <si>
    <t>Sawmill residues potential - Step II</t>
  </si>
  <si>
    <t>Solid BMSW potential - Step II</t>
  </si>
  <si>
    <t>Tallow potential - Step II</t>
  </si>
  <si>
    <t>Straw potential - Step II</t>
  </si>
  <si>
    <t>Cattle waste potential - Step II</t>
  </si>
  <si>
    <t>Pig waste potential - Step II</t>
  </si>
  <si>
    <t>BMSW potential - Step II</t>
  </si>
  <si>
    <t>Industrial Food potential - Step II</t>
  </si>
  <si>
    <t>Sawmill residues potential - Step III</t>
  </si>
  <si>
    <t>Solid BMSW potential - Step III</t>
  </si>
  <si>
    <t>Tallow potential - Step III</t>
  </si>
  <si>
    <t>Straw potential - Step III</t>
  </si>
  <si>
    <t>Cattle waste potential - Step III</t>
  </si>
  <si>
    <t>Pig waste potential - Step III</t>
  </si>
  <si>
    <t>BMSW potential - Step III</t>
  </si>
  <si>
    <t>Industrial Food potential - Step III</t>
  </si>
  <si>
    <t>Post-Consumer Recycled Wood potential - Step I</t>
  </si>
  <si>
    <t>Recovered Vegetable Oil potential - Step I</t>
  </si>
  <si>
    <t>Post-Consumer Recycled Wood potential - Step II</t>
  </si>
  <si>
    <t>Recovered Vegetable Oil potential - Step II</t>
  </si>
  <si>
    <t>Post-Consumer Recycled Wood potential - Step III</t>
  </si>
  <si>
    <t>Recovered Vegetable Oil potential - Step III</t>
  </si>
  <si>
    <t xml:space="preserve">2015                         Units = ktoe
</t>
  </si>
  <si>
    <t>2015 Transport Diesel Consumption</t>
  </si>
  <si>
    <t>Consumption in 2015</t>
  </si>
  <si>
    <t>Table Name: T_060917_163704</t>
  </si>
  <si>
    <t xml:space="preserve">Active Unit:  </t>
  </si>
  <si>
    <t>Scenario</t>
  </si>
  <si>
    <t>Commodity\Period</t>
  </si>
  <si>
    <t>TEST3</t>
  </si>
  <si>
    <t>VAR_FOut</t>
  </si>
  <si>
    <t>TRABDL</t>
  </si>
  <si>
    <t>TRAETH</t>
  </si>
  <si>
    <t>Doubling Step I</t>
  </si>
  <si>
    <t>Doubling Step II</t>
  </si>
  <si>
    <t>Bound not set</t>
  </si>
  <si>
    <t>Max past consumption</t>
  </si>
  <si>
    <t>Share~UP~2050</t>
  </si>
  <si>
    <t>EFF~2015</t>
  </si>
  <si>
    <t>ACT_BND~2015</t>
  </si>
  <si>
    <t>Annual Refined Crude Oil</t>
  </si>
  <si>
    <t>Own Assumption</t>
  </si>
  <si>
    <t>Assumption</t>
  </si>
  <si>
    <t>Calibrated against Energy Balance</t>
  </si>
  <si>
    <t>Old PET values (source: WEC)</t>
  </si>
  <si>
    <t>Fuel Techs - Sectoral infrastructure</t>
  </si>
  <si>
    <t>Share-I</t>
  </si>
  <si>
    <t>Pasti~2012</t>
  </si>
  <si>
    <t>INVCOST</t>
  </si>
  <si>
    <t>NCAP_BND~UP~0</t>
  </si>
  <si>
    <t>€/GJa</t>
  </si>
  <si>
    <t>Interpolation</t>
  </si>
  <si>
    <t xml:space="preserve">Natural Gas </t>
  </si>
  <si>
    <t xml:space="preserve">Liquified Natural Gas </t>
  </si>
  <si>
    <t xml:space="preserve">Bituminous Coal </t>
  </si>
  <si>
    <t xml:space="preserve">Hard Coal / Antracite </t>
  </si>
  <si>
    <t xml:space="preserve">Coke Coal </t>
  </si>
  <si>
    <t xml:space="preserve">Lignite /  Brown Coal </t>
  </si>
  <si>
    <t xml:space="preserve">Peat </t>
  </si>
  <si>
    <t xml:space="preserve">Crude Oil </t>
  </si>
  <si>
    <t xml:space="preserve">Refinery Gas </t>
  </si>
  <si>
    <t xml:space="preserve">Kerosene </t>
  </si>
  <si>
    <t xml:space="preserve">Heavy Fuel Oil </t>
  </si>
  <si>
    <t xml:space="preserve">Diesel Oil </t>
  </si>
  <si>
    <t xml:space="preserve">Liquified Petroleum Gas </t>
  </si>
  <si>
    <t xml:space="preserve">Gasoline </t>
  </si>
  <si>
    <t xml:space="preserve">Petroleum Coke </t>
  </si>
  <si>
    <t xml:space="preserve">Naphta </t>
  </si>
  <si>
    <t xml:space="preserve">Hydro </t>
  </si>
  <si>
    <t xml:space="preserve">Wind </t>
  </si>
  <si>
    <t xml:space="preserve">Solar </t>
  </si>
  <si>
    <t xml:space="preserve">Municipal Solid Waste </t>
  </si>
  <si>
    <t xml:space="preserve">Ocean </t>
  </si>
  <si>
    <t xml:space="preserve">Geothermal </t>
  </si>
  <si>
    <t xml:space="preserve">Ethanol 1st generation </t>
  </si>
  <si>
    <t xml:space="preserve">Ethanol 2nd generation </t>
  </si>
  <si>
    <t xml:space="preserve">Biodiesel 1st generation </t>
  </si>
  <si>
    <t xml:space="preserve">Biodiesel 1nd generation </t>
  </si>
  <si>
    <t xml:space="preserve">Biogas 1st generation </t>
  </si>
  <si>
    <t xml:space="preserve">Biogas 2nd generation </t>
  </si>
  <si>
    <t xml:space="preserve">Biomass potential - generic </t>
  </si>
  <si>
    <t xml:space="preserve">Wood Pellets </t>
  </si>
  <si>
    <t xml:space="preserve">Wood Chip </t>
  </si>
  <si>
    <t xml:space="preserve">Biodegradable Municipal Solid Waste potential - Solid </t>
  </si>
  <si>
    <t xml:space="preserve">Biodegradable Municipal Solid Waste </t>
  </si>
  <si>
    <t xml:space="preserve">Tallow </t>
  </si>
  <si>
    <t xml:space="preserve">Recovered Vegetable Oil </t>
  </si>
  <si>
    <t xml:space="preserve">Cattle Waste </t>
  </si>
  <si>
    <t xml:space="preserve">Pig Waste </t>
  </si>
  <si>
    <t xml:space="preserve">Industrial Food Waste </t>
  </si>
  <si>
    <t>Uranium</t>
  </si>
  <si>
    <t>SUPGAS</t>
  </si>
  <si>
    <t>SUPCOA</t>
  </si>
  <si>
    <t>SUPWAS</t>
  </si>
  <si>
    <t>SUPELC</t>
  </si>
  <si>
    <t>Coal (SUP)</t>
  </si>
  <si>
    <t>Waste (SUP)</t>
  </si>
  <si>
    <t>Electricity (SUP)</t>
  </si>
  <si>
    <t>Fuel tech - Natural Gas (SUP)</t>
  </si>
  <si>
    <t>Fuel tech - Coal (SUP)</t>
  </si>
  <si>
    <t>Fuel tech - Waste (SUP)</t>
  </si>
  <si>
    <t>Fuel tech - Electricity (SUP)</t>
  </si>
  <si>
    <t>Emission - Dynamic coefficients</t>
  </si>
  <si>
    <t>~COMEMI</t>
  </si>
  <si>
    <t>*Unit</t>
  </si>
  <si>
    <t>kt/PJ</t>
  </si>
  <si>
    <t>SUPCO2N</t>
  </si>
  <si>
    <t>SUPCH4N</t>
  </si>
  <si>
    <t>SUPSO2N</t>
  </si>
  <si>
    <t>ENV</t>
  </si>
  <si>
    <t>kt</t>
  </si>
  <si>
    <t>Carbon Dioxide - Combustion (SUP)</t>
  </si>
  <si>
    <t>Methane (SUP)</t>
  </si>
  <si>
    <t>Sulphur Oxides (SUP)</t>
  </si>
  <si>
    <t>SUPNOXN</t>
  </si>
  <si>
    <t>Nitrogen Oxide (SUP)</t>
  </si>
  <si>
    <t>SUPPM10</t>
  </si>
  <si>
    <t>Particulate Matter &lt;10 µm (SUP)</t>
  </si>
  <si>
    <t>SUPPM25</t>
  </si>
  <si>
    <t>Particulate Matter &lt;2.5 µm (SUP)</t>
  </si>
  <si>
    <t>SUPBIO</t>
  </si>
  <si>
    <t>Biomass (SUP)</t>
  </si>
  <si>
    <t>Fuel tech - Biomass (SUP)</t>
  </si>
  <si>
    <t>Hydrogen gasous - centralized (SUP)</t>
  </si>
  <si>
    <t>Hydrogen liquid - centralized (SUP)</t>
  </si>
  <si>
    <t>Hydrogen gasous - decentralized (SUP)</t>
  </si>
  <si>
    <t>Hydrogen liquid - decentralized (SUP)</t>
  </si>
  <si>
    <t>Sink_SUPCO2N</t>
  </si>
  <si>
    <t>Captured CO2 (SUP)</t>
  </si>
  <si>
    <t>COALIG</t>
  </si>
  <si>
    <t>SUPH2GC</t>
  </si>
  <si>
    <t>SUPH2LC</t>
  </si>
  <si>
    <t>SUPH2GD</t>
  </si>
  <si>
    <t>SUPH2LD</t>
  </si>
  <si>
    <t>OILNEU</t>
  </si>
  <si>
    <t>Oil for Non-Energy uses</t>
  </si>
  <si>
    <t>IMPOILNEU</t>
  </si>
  <si>
    <t>Import of Oil for Non-Energy uses</t>
  </si>
  <si>
    <t>COST~2012</t>
  </si>
  <si>
    <t>DELIV~2012</t>
  </si>
  <si>
    <t>FLO_COST~2012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</si>
</sst>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\Te\x\t"/>
    <numFmt numFmtId="166" formatCode="0.0%"/>
    <numFmt numFmtId="167" formatCode="0.0000"/>
    <numFmt numFmtId="168" formatCode="0.000"/>
    <numFmt numFmtId="169" formatCode="[$€-2]\ #,##0;[Red]\-[$€-2]\ #,##0"/>
    <numFmt numFmtId="170" formatCode="#,##0.0;[Red]\-#,##0.0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name val="Arial"/>
      <family val="2"/>
    </font>
    <font>
      <i/>
      <sz val="8"/>
      <color indexed="38"/>
      <name val="Arial"/>
      <family val="2"/>
    </font>
    <font>
      <sz val="10"/>
      <name val="Myriad Pro"/>
      <family val="2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76923C"/>
      <name val="Myriad Pro"/>
      <family val="2"/>
    </font>
    <font>
      <sz val="11"/>
      <color theme="1"/>
      <name val="Myriad Pro"/>
      <family val="2"/>
    </font>
    <font>
      <b/>
      <i/>
      <sz val="11"/>
      <color rgb="FF76923C"/>
      <name val="Myriad Pro"/>
      <family val="2"/>
    </font>
    <font>
      <b/>
      <sz val="10"/>
      <color rgb="FFFFFFFF"/>
      <name val="Myriad Pro"/>
      <family val="2"/>
    </font>
    <font>
      <b/>
      <sz val="10"/>
      <color rgb="FFFFFFFF"/>
      <name val="Calibri"/>
      <family val="2"/>
      <scheme val="minor"/>
    </font>
    <font>
      <b/>
      <i/>
      <sz val="11"/>
      <color theme="5"/>
      <name val="Myriad Pro"/>
      <family val="2"/>
    </font>
    <font>
      <sz val="11"/>
      <color theme="5"/>
      <name val="Calibri"/>
      <family val="2"/>
      <scheme val="minor"/>
    </font>
    <font>
      <sz val="11"/>
      <color rgb="FFFFFFFF"/>
      <name val="Myriad Pro"/>
      <family val="2"/>
    </font>
    <font>
      <sz val="10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1"/>
      <name val="Myriad Pro"/>
      <family val="2"/>
    </font>
    <font>
      <b/>
      <sz val="10"/>
      <name val="Myriad Pro"/>
      <family val="2"/>
    </font>
    <font>
      <u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indexed="12"/>
        <bgColor indexed="64"/>
      </patternFill>
    </fill>
  </fills>
  <borders count="1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37" fillId="20" borderId="0" applyNumberFormat="0" applyBorder="0" applyAlignment="0" applyProtection="0"/>
    <xf numFmtId="0" fontId="38" fillId="21" borderId="23" applyNumberFormat="0" applyAlignment="0" applyProtection="0"/>
  </cellStyleXfs>
  <cellXfs count="554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/>
    <xf numFmtId="165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165" fontId="0" fillId="0" borderId="6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165" fontId="2" fillId="2" borderId="0" xfId="1" applyNumberFormat="1" applyAlignment="1">
      <alignment vertical="center"/>
    </xf>
    <xf numFmtId="165" fontId="0" fillId="0" borderId="0" xfId="0" applyNumberFormat="1" applyAlignment="1">
      <alignment vertical="center"/>
    </xf>
    <xf numFmtId="165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6" borderId="2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 vertical="center"/>
    </xf>
    <xf numFmtId="0" fontId="8" fillId="5" borderId="0" xfId="0" quotePrefix="1" applyNumberFormat="1" applyFont="1" applyFill="1" applyBorder="1" applyAlignment="1" applyProtection="1">
      <alignment horizontal="left" vertical="center"/>
    </xf>
    <xf numFmtId="0" fontId="9" fillId="5" borderId="0" xfId="0" applyNumberFormat="1" applyFont="1" applyFill="1" applyBorder="1" applyAlignment="1" applyProtection="1">
      <alignment horizontal="left" vertical="center"/>
    </xf>
    <xf numFmtId="0" fontId="6" fillId="0" borderId="0" xfId="0" applyFont="1" applyFill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13" fillId="0" borderId="0" xfId="0" applyNumberFormat="1" applyFont="1" applyFill="1" applyBorder="1" applyAlignment="1" applyProtection="1">
      <alignment horizontal="right" vertical="center"/>
    </xf>
    <xf numFmtId="0" fontId="7" fillId="3" borderId="1" xfId="0" applyNumberFormat="1" applyFont="1" applyFill="1" applyBorder="1" applyAlignment="1" applyProtection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8" xfId="0" applyNumberFormat="1" applyFont="1" applyFill="1" applyBorder="1" applyAlignment="1" applyProtection="1">
      <alignment horizontal="left" vertical="center"/>
    </xf>
    <xf numFmtId="0" fontId="5" fillId="3" borderId="8" xfId="0" applyNumberFormat="1" applyFont="1" applyFill="1" applyBorder="1" applyAlignment="1" applyProtection="1">
      <alignment vertical="center" wrapText="1"/>
    </xf>
    <xf numFmtId="0" fontId="14" fillId="3" borderId="8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2" fontId="5" fillId="0" borderId="0" xfId="0" applyNumberFormat="1" applyFont="1" applyFill="1" applyBorder="1" applyAlignment="1" applyProtection="1">
      <alignment horizontal="right" vertical="center"/>
    </xf>
    <xf numFmtId="1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/>
    <xf numFmtId="167" fontId="5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165" fontId="17" fillId="0" borderId="0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/>
    <xf numFmtId="0" fontId="0" fillId="0" borderId="6" xfId="0" applyFont="1" applyBorder="1" applyAlignment="1">
      <alignment vertical="center"/>
    </xf>
    <xf numFmtId="164" fontId="0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7" borderId="0" xfId="0" applyNumberFormat="1" applyFont="1" applyFill="1" applyAlignment="1">
      <alignment horizontal="center" vertical="center"/>
    </xf>
    <xf numFmtId="2" fontId="0" fillId="7" borderId="6" xfId="0" applyNumberFormat="1" applyFill="1" applyBorder="1" applyAlignment="1">
      <alignment horizontal="center"/>
    </xf>
    <xf numFmtId="0" fontId="14" fillId="8" borderId="8" xfId="0" applyNumberFormat="1" applyFont="1" applyFill="1" applyBorder="1" applyAlignment="1" applyProtection="1">
      <alignment horizontal="center" vertical="center" wrapText="1"/>
    </xf>
    <xf numFmtId="0" fontId="17" fillId="9" borderId="7" xfId="0" applyFont="1" applyFill="1" applyBorder="1" applyAlignment="1">
      <alignment vertical="center"/>
    </xf>
    <xf numFmtId="165" fontId="0" fillId="0" borderId="0" xfId="0" applyNumberFormat="1" applyFont="1" applyFill="1" applyAlignment="1">
      <alignment vertical="center"/>
    </xf>
    <xf numFmtId="164" fontId="5" fillId="0" borderId="0" xfId="0" applyNumberFormat="1" applyFont="1" applyBorder="1" applyAlignment="1">
      <alignment horizontal="center" vertical="center"/>
    </xf>
    <xf numFmtId="0" fontId="20" fillId="0" borderId="0" xfId="0" applyFont="1"/>
    <xf numFmtId="0" fontId="0" fillId="0" borderId="3" xfId="0" applyBorder="1"/>
    <xf numFmtId="0" fontId="19" fillId="0" borderId="3" xfId="0" applyFont="1" applyBorder="1" applyAlignment="1">
      <alignment horizontal="center"/>
    </xf>
    <xf numFmtId="168" fontId="0" fillId="0" borderId="3" xfId="0" applyNumberFormat="1" applyFill="1" applyBorder="1" applyAlignment="1">
      <alignment horizontal="right"/>
    </xf>
    <xf numFmtId="2" fontId="0" fillId="0" borderId="3" xfId="0" applyNumberFormat="1" applyBorder="1"/>
    <xf numFmtId="2" fontId="0" fillId="0" borderId="3" xfId="0" applyNumberFormat="1" applyFill="1" applyBorder="1"/>
    <xf numFmtId="0" fontId="0" fillId="0" borderId="0" xfId="0" applyFill="1"/>
    <xf numFmtId="0" fontId="3" fillId="0" borderId="4" xfId="0" applyFont="1" applyBorder="1"/>
    <xf numFmtId="0" fontId="3" fillId="0" borderId="13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4" fillId="11" borderId="15" xfId="0" applyFont="1" applyFill="1" applyBorder="1"/>
    <xf numFmtId="0" fontId="4" fillId="11" borderId="16" xfId="0" applyFont="1" applyFill="1" applyBorder="1"/>
    <xf numFmtId="164" fontId="4" fillId="11" borderId="0" xfId="0" applyNumberFormat="1" applyFont="1" applyFill="1" applyBorder="1"/>
    <xf numFmtId="164" fontId="4" fillId="11" borderId="11" xfId="0" applyNumberFormat="1" applyFont="1" applyFill="1" applyBorder="1"/>
    <xf numFmtId="0" fontId="22" fillId="0" borderId="0" xfId="0" applyFont="1" applyFill="1"/>
    <xf numFmtId="0" fontId="4" fillId="13" borderId="15" xfId="0" applyFont="1" applyFill="1" applyBorder="1"/>
    <xf numFmtId="0" fontId="4" fillId="13" borderId="16" xfId="0" applyFont="1" applyFill="1" applyBorder="1"/>
    <xf numFmtId="164" fontId="4" fillId="13" borderId="0" xfId="0" applyNumberFormat="1" applyFont="1" applyFill="1" applyBorder="1"/>
    <xf numFmtId="164" fontId="4" fillId="13" borderId="16" xfId="0" applyNumberFormat="1" applyFont="1" applyFill="1" applyBorder="1"/>
    <xf numFmtId="164" fontId="4" fillId="13" borderId="11" xfId="0" applyNumberFormat="1" applyFont="1" applyFill="1" applyBorder="1"/>
    <xf numFmtId="2" fontId="0" fillId="0" borderId="0" xfId="0" applyNumberFormat="1" applyFill="1" applyBorder="1"/>
    <xf numFmtId="0" fontId="4" fillId="7" borderId="15" xfId="0" applyFont="1" applyFill="1" applyBorder="1"/>
    <xf numFmtId="0" fontId="4" fillId="7" borderId="16" xfId="0" applyFont="1" applyFill="1" applyBorder="1"/>
    <xf numFmtId="164" fontId="4" fillId="7" borderId="0" xfId="0" applyNumberFormat="1" applyFont="1" applyFill="1" applyBorder="1"/>
    <xf numFmtId="164" fontId="4" fillId="7" borderId="16" xfId="0" applyNumberFormat="1" applyFont="1" applyFill="1" applyBorder="1"/>
    <xf numFmtId="164" fontId="4" fillId="7" borderId="11" xfId="0" applyNumberFormat="1" applyFont="1" applyFill="1" applyBorder="1"/>
    <xf numFmtId="0" fontId="4" fillId="7" borderId="9" xfId="0" applyFont="1" applyFill="1" applyBorder="1"/>
    <xf numFmtId="164" fontId="4" fillId="7" borderId="6" xfId="0" applyNumberFormat="1" applyFont="1" applyFill="1" applyBorder="1"/>
    <xf numFmtId="164" fontId="4" fillId="7" borderId="17" xfId="0" applyNumberFormat="1" applyFont="1" applyFill="1" applyBorder="1"/>
    <xf numFmtId="164" fontId="4" fillId="7" borderId="10" xfId="0" applyNumberFormat="1" applyFont="1" applyFill="1" applyBorder="1"/>
    <xf numFmtId="0" fontId="4" fillId="7" borderId="17" xfId="0" applyFont="1" applyFill="1" applyBorder="1"/>
    <xf numFmtId="0" fontId="10" fillId="0" borderId="0" xfId="0" applyFont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/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10" fillId="0" borderId="3" xfId="0" applyNumberFormat="1" applyFont="1" applyBorder="1" applyAlignment="1">
      <alignment horizontal="left"/>
    </xf>
    <xf numFmtId="1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4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4" fontId="5" fillId="15" borderId="0" xfId="0" applyNumberFormat="1" applyFont="1" applyFill="1" applyAlignment="1">
      <alignment horizontal="left" vertical="center"/>
    </xf>
    <xf numFmtId="164" fontId="5" fillId="15" borderId="0" xfId="0" applyNumberFormat="1" applyFont="1" applyFill="1" applyAlignment="1">
      <alignment horizontal="center" vertical="center"/>
    </xf>
    <xf numFmtId="164" fontId="5" fillId="15" borderId="6" xfId="0" applyNumberFormat="1" applyFont="1" applyFill="1" applyBorder="1" applyAlignment="1">
      <alignment horizontal="left" vertical="center"/>
    </xf>
    <xf numFmtId="164" fontId="5" fillId="15" borderId="6" xfId="0" applyNumberFormat="1" applyFont="1" applyFill="1" applyBorder="1" applyAlignment="1">
      <alignment horizontal="center" vertical="center"/>
    </xf>
    <xf numFmtId="164" fontId="5" fillId="15" borderId="0" xfId="0" applyNumberFormat="1" applyFont="1" applyFill="1" applyBorder="1" applyAlignment="1">
      <alignment horizontal="center" vertical="center"/>
    </xf>
    <xf numFmtId="164" fontId="5" fillId="15" borderId="7" xfId="0" applyNumberFormat="1" applyFont="1" applyFill="1" applyBorder="1" applyAlignment="1">
      <alignment horizontal="center" vertical="center"/>
    </xf>
    <xf numFmtId="2" fontId="5" fillId="15" borderId="0" xfId="0" applyNumberFormat="1" applyFont="1" applyFill="1" applyAlignment="1">
      <alignment horizontal="left" vertical="center"/>
    </xf>
    <xf numFmtId="2" fontId="17" fillId="15" borderId="0" xfId="0" applyNumberFormat="1" applyFont="1" applyFill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9" fillId="0" borderId="0" xfId="0" applyFont="1"/>
    <xf numFmtId="164" fontId="0" fillId="0" borderId="0" xfId="0" applyNumberFormat="1" applyAlignment="1">
      <alignment horizontal="center" vertical="center"/>
    </xf>
    <xf numFmtId="2" fontId="17" fillId="0" borderId="0" xfId="0" applyNumberFormat="1" applyFont="1" applyFill="1" applyAlignment="1">
      <alignment vertical="center"/>
    </xf>
    <xf numFmtId="165" fontId="17" fillId="0" borderId="18" xfId="0" applyNumberFormat="1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65" fontId="17" fillId="0" borderId="6" xfId="0" applyNumberFormat="1" applyFont="1" applyBorder="1" applyAlignment="1">
      <alignment vertical="center"/>
    </xf>
    <xf numFmtId="165" fontId="26" fillId="0" borderId="7" xfId="0" applyNumberFormat="1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165" fontId="26" fillId="0" borderId="2" xfId="0" applyNumberFormat="1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164" fontId="17" fillId="0" borderId="0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2" fontId="5" fillId="15" borderId="0" xfId="0" applyNumberFormat="1" applyFont="1" applyFill="1" applyBorder="1" applyAlignment="1">
      <alignment horizontal="left" vertical="center"/>
    </xf>
    <xf numFmtId="164" fontId="17" fillId="0" borderId="18" xfId="0" applyNumberFormat="1" applyFont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7" fillId="8" borderId="1" xfId="0" applyNumberFormat="1" applyFont="1" applyFill="1" applyBorder="1" applyAlignment="1" applyProtection="1">
      <alignment horizontal="center" vertical="center" wrapText="1"/>
    </xf>
    <xf numFmtId="1" fontId="5" fillId="0" borderId="0" xfId="0" applyNumberFormat="1" applyFont="1" applyFill="1" applyBorder="1" applyAlignment="1" applyProtection="1">
      <alignment horizontal="center" vertical="center"/>
    </xf>
    <xf numFmtId="2" fontId="5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5" fillId="0" borderId="6" xfId="0" applyNumberFormat="1" applyFont="1" applyFill="1" applyBorder="1" applyAlignment="1" applyProtection="1">
      <alignment vertical="center"/>
    </xf>
    <xf numFmtId="0" fontId="5" fillId="0" borderId="6" xfId="0" applyNumberFormat="1" applyFont="1" applyFill="1" applyBorder="1" applyAlignment="1" applyProtection="1">
      <alignment horizontal="left" vertical="center"/>
    </xf>
    <xf numFmtId="0" fontId="5" fillId="0" borderId="6" xfId="0" applyNumberFormat="1" applyFont="1" applyFill="1" applyBorder="1" applyAlignment="1" applyProtection="1">
      <alignment horizontal="center" vertical="center"/>
    </xf>
    <xf numFmtId="0" fontId="19" fillId="10" borderId="5" xfId="0" applyFont="1" applyFill="1" applyBorder="1"/>
    <xf numFmtId="0" fontId="0" fillId="10" borderId="7" xfId="0" applyFill="1" applyBorder="1"/>
    <xf numFmtId="0" fontId="0" fillId="0" borderId="0" xfId="0" applyAlignment="1">
      <alignment vertical="center"/>
    </xf>
    <xf numFmtId="164" fontId="17" fillId="0" borderId="18" xfId="0" applyNumberFormat="1" applyFont="1" applyBorder="1" applyAlignment="1">
      <alignment horizontal="left" vertical="center"/>
    </xf>
    <xf numFmtId="164" fontId="17" fillId="0" borderId="0" xfId="0" applyNumberFormat="1" applyFont="1" applyBorder="1" applyAlignment="1">
      <alignment horizontal="left" vertical="center"/>
    </xf>
    <xf numFmtId="164" fontId="17" fillId="0" borderId="6" xfId="0" applyNumberFormat="1" applyFont="1" applyBorder="1" applyAlignment="1">
      <alignment horizontal="left" vertical="center"/>
    </xf>
    <xf numFmtId="164" fontId="26" fillId="0" borderId="7" xfId="0" applyNumberFormat="1" applyFont="1" applyBorder="1" applyAlignment="1">
      <alignment horizontal="left" vertical="center"/>
    </xf>
    <xf numFmtId="164" fontId="26" fillId="0" borderId="2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 indent="5"/>
    </xf>
    <xf numFmtId="167" fontId="0" fillId="0" borderId="3" xfId="0" applyNumberFormat="1" applyBorder="1"/>
    <xf numFmtId="17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167" fontId="0" fillId="0" borderId="0" xfId="0" applyNumberFormat="1" applyBorder="1"/>
    <xf numFmtId="0" fontId="30" fillId="0" borderId="0" xfId="0" applyFont="1" applyAlignment="1">
      <alignment horizontal="left" vertical="center"/>
    </xf>
    <xf numFmtId="169" fontId="0" fillId="0" borderId="0" xfId="0" quotePrefix="1" applyNumberFormat="1"/>
    <xf numFmtId="0" fontId="31" fillId="17" borderId="19" xfId="0" applyFont="1" applyFill="1" applyBorder="1" applyAlignment="1">
      <alignment vertical="center"/>
    </xf>
    <xf numFmtId="0" fontId="31" fillId="17" borderId="20" xfId="0" applyFont="1" applyFill="1" applyBorder="1" applyAlignment="1">
      <alignment horizontal="right" vertical="center"/>
    </xf>
    <xf numFmtId="0" fontId="32" fillId="5" borderId="0" xfId="0" applyFont="1" applyFill="1" applyBorder="1" applyAlignment="1">
      <alignment horizontal="center" vertical="center"/>
    </xf>
    <xf numFmtId="0" fontId="29" fillId="18" borderId="21" xfId="0" applyFont="1" applyFill="1" applyBorder="1" applyAlignment="1">
      <alignment horizontal="justify" vertical="center"/>
    </xf>
    <xf numFmtId="0" fontId="29" fillId="19" borderId="22" xfId="0" applyFont="1" applyFill="1" applyBorder="1" applyAlignment="1">
      <alignment horizontal="right" vertical="center"/>
    </xf>
    <xf numFmtId="3" fontId="29" fillId="19" borderId="22" xfId="0" applyNumberFormat="1" applyFont="1" applyFill="1" applyBorder="1" applyAlignment="1">
      <alignment horizontal="right" vertical="center"/>
    </xf>
    <xf numFmtId="0" fontId="33" fillId="0" borderId="0" xfId="0" applyFont="1" applyFill="1" applyAlignment="1">
      <alignment horizontal="left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29" fillId="0" borderId="0" xfId="0" applyFont="1" applyAlignment="1">
      <alignment horizontal="justify" vertical="center"/>
    </xf>
    <xf numFmtId="0" fontId="30" fillId="0" borderId="0" xfId="0" applyFont="1" applyFill="1" applyAlignment="1">
      <alignment horizontal="left" vertical="center"/>
    </xf>
    <xf numFmtId="0" fontId="32" fillId="16" borderId="0" xfId="0" applyFont="1" applyFill="1" applyBorder="1" applyAlignment="1">
      <alignment horizontal="center" vertical="center"/>
    </xf>
    <xf numFmtId="164" fontId="0" fillId="0" borderId="0" xfId="0" applyNumberFormat="1"/>
    <xf numFmtId="9" fontId="0" fillId="0" borderId="0" xfId="2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35" fillId="17" borderId="19" xfId="0" applyFont="1" applyFill="1" applyBorder="1" applyAlignment="1">
      <alignment horizontal="justify" vertical="center"/>
    </xf>
    <xf numFmtId="164" fontId="0" fillId="0" borderId="0" xfId="0" applyNumberFormat="1" applyFill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18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37" fillId="20" borderId="0" xfId="3"/>
    <xf numFmtId="164" fontId="37" fillId="20" borderId="0" xfId="3" applyNumberFormat="1"/>
    <xf numFmtId="164" fontId="38" fillId="21" borderId="23" xfId="4" applyNumberFormat="1"/>
    <xf numFmtId="0" fontId="25" fillId="0" borderId="0" xfId="0" applyFont="1"/>
    <xf numFmtId="1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164" fontId="0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7" fillId="3" borderId="7" xfId="0" applyNumberFormat="1" applyFont="1" applyFill="1" applyBorder="1" applyAlignment="1">
      <alignment vertical="center"/>
    </xf>
    <xf numFmtId="165" fontId="5" fillId="6" borderId="8" xfId="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Fill="1" applyAlignment="1">
      <alignment vertical="center"/>
    </xf>
    <xf numFmtId="165" fontId="17" fillId="0" borderId="0" xfId="0" applyNumberFormat="1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0" xfId="0" applyFont="1"/>
    <xf numFmtId="165" fontId="2" fillId="2" borderId="0" xfId="1" applyNumberFormat="1" applyFont="1" applyAlignment="1">
      <alignment vertical="center"/>
    </xf>
    <xf numFmtId="165" fontId="0" fillId="0" borderId="0" xfId="0" applyNumberFormat="1" applyFont="1" applyAlignment="1">
      <alignment vertical="center"/>
    </xf>
    <xf numFmtId="0" fontId="5" fillId="0" borderId="0" xfId="0" applyFont="1"/>
    <xf numFmtId="165" fontId="0" fillId="0" borderId="6" xfId="0" applyNumberFormat="1" applyFont="1" applyFill="1" applyBorder="1" applyAlignment="1">
      <alignment vertical="center"/>
    </xf>
    <xf numFmtId="0" fontId="41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7" fillId="0" borderId="0" xfId="0" quotePrefix="1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/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41" fillId="22" borderId="0" xfId="0" applyNumberFormat="1" applyFont="1" applyFill="1" applyBorder="1" applyAlignment="1" applyProtection="1">
      <alignment vertical="center"/>
    </xf>
    <xf numFmtId="0" fontId="5" fillId="22" borderId="0" xfId="0" applyNumberFormat="1" applyFont="1" applyFill="1" applyBorder="1" applyAlignment="1" applyProtection="1">
      <alignment vertical="center" wrapText="1"/>
    </xf>
    <xf numFmtId="0" fontId="5" fillId="22" borderId="0" xfId="0" applyNumberFormat="1" applyFont="1" applyFill="1" applyBorder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165" fontId="6" fillId="0" borderId="0" xfId="0" applyNumberFormat="1" applyFont="1" applyFill="1" applyBorder="1" applyAlignment="1" applyProtection="1">
      <alignment vertical="center"/>
    </xf>
    <xf numFmtId="165" fontId="5" fillId="0" borderId="0" xfId="0" applyNumberFormat="1" applyFont="1" applyFill="1" applyBorder="1" applyAlignment="1" applyProtection="1">
      <alignment vertical="center"/>
    </xf>
    <xf numFmtId="165" fontId="5" fillId="0" borderId="0" xfId="0" applyNumberFormat="1" applyFont="1" applyFill="1" applyBorder="1" applyAlignment="1" applyProtection="1">
      <alignment vertical="center"/>
    </xf>
    <xf numFmtId="165" fontId="5" fillId="0" borderId="0" xfId="0" applyNumberFormat="1" applyFont="1" applyAlignment="1">
      <alignment vertical="center"/>
    </xf>
    <xf numFmtId="165" fontId="5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Alignment="1" applyProtection="1">
      <alignment vertical="center"/>
    </xf>
    <xf numFmtId="11" fontId="0" fillId="0" borderId="0" xfId="0" applyNumberFormat="1" applyFont="1" applyAlignment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NumberFormat="1" applyFont="1" applyFill="1" applyBorder="1" applyAlignment="1" applyProtection="1">
      <alignment horizontal="center" vertical="center"/>
    </xf>
    <xf numFmtId="0" fontId="6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0" fillId="0" borderId="2" xfId="0" applyFont="1" applyFill="1" applyBorder="1" applyAlignment="1">
      <alignment vertical="center"/>
    </xf>
    <xf numFmtId="0" fontId="4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8" xfId="0" applyFont="1" applyFill="1" applyBorder="1" applyAlignment="1">
      <alignment vertical="center"/>
    </xf>
    <xf numFmtId="38" fontId="46" fillId="0" borderId="0" xfId="0" applyNumberFormat="1" applyFont="1" applyAlignment="1">
      <alignment horizontal="left" wrapText="1"/>
    </xf>
    <xf numFmtId="38" fontId="47" fillId="0" borderId="25" xfId="0" applyNumberFormat="1" applyFont="1" applyBorder="1" applyAlignment="1">
      <alignment horizontal="center" wrapText="1"/>
    </xf>
    <xf numFmtId="38" fontId="47" fillId="0" borderId="26" xfId="0" applyNumberFormat="1" applyFont="1" applyFill="1" applyBorder="1" applyAlignment="1">
      <alignment horizontal="center" textRotation="90" wrapText="1"/>
    </xf>
    <xf numFmtId="38" fontId="47" fillId="0" borderId="27" xfId="0" applyNumberFormat="1" applyFont="1" applyFill="1" applyBorder="1" applyAlignment="1">
      <alignment horizontal="center" textRotation="90" wrapText="1"/>
    </xf>
    <xf numFmtId="38" fontId="47" fillId="0" borderId="28" xfId="0" applyNumberFormat="1" applyFont="1" applyFill="1" applyBorder="1" applyAlignment="1">
      <alignment horizontal="center" textRotation="90" wrapText="1"/>
    </xf>
    <xf numFmtId="38" fontId="47" fillId="0" borderId="29" xfId="0" applyNumberFormat="1" applyFont="1" applyFill="1" applyBorder="1" applyAlignment="1">
      <alignment horizontal="center" textRotation="90" wrapText="1"/>
    </xf>
    <xf numFmtId="38" fontId="47" fillId="0" borderId="30" xfId="0" applyNumberFormat="1" applyFont="1" applyFill="1" applyBorder="1" applyAlignment="1">
      <alignment horizontal="center" textRotation="90" wrapText="1"/>
    </xf>
    <xf numFmtId="38" fontId="47" fillId="0" borderId="8" xfId="0" applyNumberFormat="1" applyFont="1" applyFill="1" applyBorder="1" applyAlignment="1">
      <alignment horizontal="center" textRotation="90" wrapText="1"/>
    </xf>
    <xf numFmtId="38" fontId="47" fillId="0" borderId="31" xfId="0" applyNumberFormat="1" applyFont="1" applyFill="1" applyBorder="1" applyAlignment="1">
      <alignment horizontal="center" textRotation="90" wrapText="1"/>
    </xf>
    <xf numFmtId="38" fontId="47" fillId="0" borderId="32" xfId="0" applyNumberFormat="1" applyFont="1" applyFill="1" applyBorder="1" applyAlignment="1">
      <alignment horizontal="center" textRotation="90" wrapText="1"/>
    </xf>
    <xf numFmtId="38" fontId="12" fillId="0" borderId="0" xfId="0" applyNumberFormat="1" applyFont="1" applyAlignment="1"/>
    <xf numFmtId="38" fontId="12" fillId="0" borderId="33" xfId="0" applyNumberFormat="1" applyFont="1" applyFill="1" applyBorder="1" applyAlignment="1">
      <alignment horizontal="left"/>
    </xf>
    <xf numFmtId="38" fontId="47" fillId="0" borderId="34" xfId="0" applyNumberFormat="1" applyFont="1" applyFill="1" applyBorder="1" applyAlignment="1">
      <alignment horizontal="center"/>
    </xf>
    <xf numFmtId="38" fontId="47" fillId="0" borderId="35" xfId="0" applyNumberFormat="1" applyFont="1" applyFill="1" applyBorder="1" applyAlignment="1">
      <alignment horizontal="center"/>
    </xf>
    <xf numFmtId="38" fontId="47" fillId="0" borderId="36" xfId="0" applyNumberFormat="1" applyFont="1" applyFill="1" applyBorder="1" applyAlignment="1">
      <alignment horizontal="center"/>
    </xf>
    <xf numFmtId="38" fontId="47" fillId="0" borderId="37" xfId="0" applyNumberFormat="1" applyFont="1" applyFill="1" applyBorder="1" applyAlignment="1">
      <alignment horizontal="center"/>
    </xf>
    <xf numFmtId="38" fontId="12" fillId="0" borderId="38" xfId="0" applyNumberFormat="1" applyFont="1" applyFill="1" applyBorder="1" applyAlignment="1">
      <alignment horizontal="center"/>
    </xf>
    <xf numFmtId="38" fontId="47" fillId="0" borderId="39" xfId="0" applyNumberFormat="1" applyFont="1" applyFill="1" applyBorder="1" applyAlignment="1">
      <alignment horizontal="center"/>
    </xf>
    <xf numFmtId="38" fontId="12" fillId="0" borderId="36" xfId="0" applyNumberFormat="1" applyFont="1" applyFill="1" applyBorder="1" applyAlignment="1">
      <alignment horizontal="center"/>
    </xf>
    <xf numFmtId="38" fontId="12" fillId="0" borderId="37" xfId="0" applyNumberFormat="1" applyFont="1" applyFill="1" applyBorder="1" applyAlignment="1">
      <alignment horizontal="center"/>
    </xf>
    <xf numFmtId="38" fontId="12" fillId="0" borderId="40" xfId="0" applyNumberFormat="1" applyFont="1" applyFill="1" applyBorder="1" applyAlignment="1">
      <alignment horizontal="center"/>
    </xf>
    <xf numFmtId="38" fontId="47" fillId="0" borderId="33" xfId="0" applyNumberFormat="1" applyFont="1" applyFill="1" applyBorder="1" applyAlignment="1">
      <alignment horizontal="center"/>
    </xf>
    <xf numFmtId="38" fontId="12" fillId="0" borderId="41" xfId="0" applyNumberFormat="1" applyFont="1" applyFill="1" applyBorder="1" applyAlignment="1">
      <alignment horizontal="center"/>
    </xf>
    <xf numFmtId="38" fontId="12" fillId="0" borderId="39" xfId="0" applyNumberFormat="1" applyFont="1" applyFill="1" applyBorder="1" applyAlignment="1">
      <alignment horizontal="center"/>
    </xf>
    <xf numFmtId="38" fontId="12" fillId="0" borderId="42" xfId="0" applyNumberFormat="1" applyFont="1" applyFill="1" applyBorder="1" applyAlignment="1">
      <alignment horizontal="center"/>
    </xf>
    <xf numFmtId="38" fontId="12" fillId="0" borderId="0" xfId="0" applyNumberFormat="1" applyFont="1" applyFill="1"/>
    <xf numFmtId="38" fontId="12" fillId="0" borderId="43" xfId="0" applyNumberFormat="1" applyFont="1" applyFill="1" applyBorder="1" applyAlignment="1">
      <alignment horizontal="left"/>
    </xf>
    <xf numFmtId="38" fontId="47" fillId="0" borderId="44" xfId="0" applyNumberFormat="1" applyFont="1" applyFill="1" applyBorder="1" applyAlignment="1">
      <alignment horizontal="center"/>
    </xf>
    <xf numFmtId="38" fontId="47" fillId="0" borderId="45" xfId="0" applyNumberFormat="1" applyFont="1" applyFill="1" applyBorder="1" applyAlignment="1">
      <alignment horizontal="center"/>
    </xf>
    <xf numFmtId="38" fontId="47" fillId="0" borderId="46" xfId="0" applyNumberFormat="1" applyFont="1" applyFill="1" applyBorder="1" applyAlignment="1">
      <alignment horizontal="center"/>
    </xf>
    <xf numFmtId="38" fontId="47" fillId="0" borderId="47" xfId="0" applyNumberFormat="1" applyFont="1" applyFill="1" applyBorder="1" applyAlignment="1">
      <alignment horizontal="center"/>
    </xf>
    <xf numFmtId="38" fontId="12" fillId="0" borderId="47" xfId="0" applyNumberFormat="1" applyFont="1" applyFill="1" applyBorder="1" applyAlignment="1">
      <alignment horizontal="center"/>
    </xf>
    <xf numFmtId="38" fontId="47" fillId="0" borderId="48" xfId="0" applyNumberFormat="1" applyFont="1" applyFill="1" applyBorder="1" applyAlignment="1">
      <alignment horizontal="center"/>
    </xf>
    <xf numFmtId="38" fontId="12" fillId="0" borderId="46" xfId="0" applyNumberFormat="1" applyFont="1" applyFill="1" applyBorder="1" applyAlignment="1">
      <alignment horizontal="center"/>
    </xf>
    <xf numFmtId="38" fontId="12" fillId="0" borderId="49" xfId="0" applyNumberFormat="1" applyFont="1" applyFill="1" applyBorder="1" applyAlignment="1">
      <alignment horizontal="center"/>
    </xf>
    <xf numFmtId="38" fontId="47" fillId="0" borderId="43" xfId="0" applyNumberFormat="1" applyFont="1" applyFill="1" applyBorder="1" applyAlignment="1">
      <alignment horizontal="center"/>
    </xf>
    <xf numFmtId="38" fontId="12" fillId="0" borderId="50" xfId="0" applyNumberFormat="1" applyFont="1" applyFill="1" applyBorder="1" applyAlignment="1">
      <alignment horizontal="center"/>
    </xf>
    <xf numFmtId="38" fontId="12" fillId="0" borderId="48" xfId="0" applyNumberFormat="1" applyFont="1" applyFill="1" applyBorder="1" applyAlignment="1">
      <alignment horizontal="center"/>
    </xf>
    <xf numFmtId="38" fontId="12" fillId="0" borderId="51" xfId="0" applyNumberFormat="1" applyFont="1" applyFill="1" applyBorder="1" applyAlignment="1">
      <alignment horizontal="center"/>
    </xf>
    <xf numFmtId="38" fontId="47" fillId="0" borderId="49" xfId="0" applyNumberFormat="1" applyFont="1" applyFill="1" applyBorder="1" applyAlignment="1">
      <alignment horizontal="center"/>
    </xf>
    <xf numFmtId="38" fontId="12" fillId="0" borderId="52" xfId="0" applyNumberFormat="1" applyFont="1" applyFill="1" applyBorder="1" applyAlignment="1">
      <alignment horizontal="left"/>
    </xf>
    <xf numFmtId="38" fontId="47" fillId="0" borderId="53" xfId="0" applyNumberFormat="1" applyFont="1" applyFill="1" applyBorder="1" applyAlignment="1">
      <alignment horizontal="center"/>
    </xf>
    <xf numFmtId="38" fontId="47" fillId="0" borderId="54" xfId="0" applyNumberFormat="1" applyFont="1" applyFill="1" applyBorder="1" applyAlignment="1">
      <alignment horizontal="center"/>
    </xf>
    <xf numFmtId="38" fontId="12" fillId="0" borderId="55" xfId="0" applyNumberFormat="1" applyFont="1" applyFill="1" applyBorder="1" applyAlignment="1">
      <alignment horizontal="center"/>
    </xf>
    <xf numFmtId="38" fontId="47" fillId="0" borderId="56" xfId="0" applyNumberFormat="1" applyFont="1" applyFill="1" applyBorder="1" applyAlignment="1">
      <alignment horizontal="center"/>
    </xf>
    <xf numFmtId="38" fontId="12" fillId="0" borderId="54" xfId="0" applyNumberFormat="1" applyFont="1" applyFill="1" applyBorder="1" applyAlignment="1">
      <alignment horizontal="center"/>
    </xf>
    <xf numFmtId="38" fontId="47" fillId="0" borderId="52" xfId="0" applyNumberFormat="1" applyFont="1" applyFill="1" applyBorder="1" applyAlignment="1">
      <alignment horizontal="center"/>
    </xf>
    <xf numFmtId="38" fontId="12" fillId="0" borderId="57" xfId="0" applyNumberFormat="1" applyFont="1" applyFill="1" applyBorder="1" applyAlignment="1">
      <alignment horizontal="center"/>
    </xf>
    <xf numFmtId="38" fontId="12" fillId="0" borderId="58" xfId="0" applyNumberFormat="1" applyFont="1" applyFill="1" applyBorder="1" applyAlignment="1">
      <alignment horizontal="center"/>
    </xf>
    <xf numFmtId="38" fontId="12" fillId="0" borderId="56" xfId="0" applyNumberFormat="1" applyFont="1" applyFill="1" applyBorder="1" applyAlignment="1">
      <alignment horizontal="center"/>
    </xf>
    <xf numFmtId="38" fontId="12" fillId="0" borderId="59" xfId="0" applyNumberFormat="1" applyFont="1" applyFill="1" applyBorder="1" applyAlignment="1">
      <alignment horizontal="center"/>
    </xf>
    <xf numFmtId="38" fontId="47" fillId="0" borderId="18" xfId="0" applyNumberFormat="1" applyFont="1" applyFill="1" applyBorder="1" applyAlignment="1">
      <alignment horizontal="left"/>
    </xf>
    <xf numFmtId="38" fontId="47" fillId="0" borderId="60" xfId="0" applyNumberFormat="1" applyFont="1" applyFill="1" applyBorder="1" applyAlignment="1">
      <alignment horizontal="center"/>
    </xf>
    <xf numFmtId="38" fontId="47" fillId="0" borderId="61" xfId="0" applyNumberFormat="1" applyFont="1" applyFill="1" applyBorder="1" applyAlignment="1">
      <alignment horizontal="center"/>
    </xf>
    <xf numFmtId="38" fontId="47" fillId="0" borderId="18" xfId="0" applyNumberFormat="1" applyFont="1" applyFill="1" applyBorder="1" applyAlignment="1">
      <alignment horizontal="center"/>
    </xf>
    <xf numFmtId="38" fontId="47" fillId="0" borderId="40" xfId="0" applyNumberFormat="1" applyFont="1" applyFill="1" applyBorder="1" applyAlignment="1">
      <alignment horizontal="center"/>
    </xf>
    <xf numFmtId="38" fontId="47" fillId="0" borderId="62" xfId="0" applyNumberFormat="1" applyFont="1" applyFill="1" applyBorder="1" applyAlignment="1">
      <alignment horizontal="center"/>
    </xf>
    <xf numFmtId="38" fontId="47" fillId="0" borderId="63" xfId="0" applyNumberFormat="1" applyFont="1" applyFill="1" applyBorder="1" applyAlignment="1">
      <alignment horizontal="center"/>
    </xf>
    <xf numFmtId="38" fontId="47" fillId="0" borderId="64" xfId="0" applyNumberFormat="1" applyFont="1" applyFill="1" applyBorder="1" applyAlignment="1">
      <alignment horizontal="center"/>
    </xf>
    <xf numFmtId="38" fontId="47" fillId="0" borderId="65" xfId="0" applyNumberFormat="1" applyFont="1" applyFill="1" applyBorder="1" applyAlignment="1">
      <alignment horizontal="center"/>
    </xf>
    <xf numFmtId="38" fontId="47" fillId="0" borderId="0" xfId="0" applyNumberFormat="1" applyFont="1" applyFill="1"/>
    <xf numFmtId="38" fontId="47" fillId="0" borderId="2" xfId="0" applyNumberFormat="1" applyFont="1" applyFill="1" applyBorder="1" applyAlignment="1">
      <alignment horizontal="left"/>
    </xf>
    <xf numFmtId="38" fontId="47" fillId="0" borderId="66" xfId="0" applyNumberFormat="1" applyFont="1" applyFill="1" applyBorder="1" applyAlignment="1">
      <alignment horizontal="center"/>
    </xf>
    <xf numFmtId="38" fontId="47" fillId="0" borderId="24" xfId="0" applyNumberFormat="1" applyFont="1" applyFill="1" applyBorder="1" applyAlignment="1">
      <alignment horizontal="center"/>
    </xf>
    <xf numFmtId="38" fontId="47" fillId="0" borderId="2" xfId="0" applyNumberFormat="1" applyFont="1" applyFill="1" applyBorder="1" applyAlignment="1">
      <alignment horizontal="center"/>
    </xf>
    <xf numFmtId="38" fontId="47" fillId="0" borderId="67" xfId="0" applyNumberFormat="1" applyFont="1" applyFill="1" applyBorder="1" applyAlignment="1">
      <alignment horizontal="center"/>
    </xf>
    <xf numFmtId="38" fontId="47" fillId="0" borderId="68" xfId="0" applyNumberFormat="1" applyFont="1" applyFill="1" applyBorder="1" applyAlignment="1">
      <alignment horizontal="center"/>
    </xf>
    <xf numFmtId="38" fontId="47" fillId="0" borderId="69" xfId="0" applyNumberFormat="1" applyFont="1" applyFill="1" applyBorder="1" applyAlignment="1">
      <alignment horizontal="center"/>
    </xf>
    <xf numFmtId="38" fontId="12" fillId="0" borderId="69" xfId="0" applyNumberFormat="1" applyFont="1" applyFill="1" applyBorder="1" applyAlignment="1">
      <alignment horizontal="center"/>
    </xf>
    <xf numFmtId="38" fontId="47" fillId="0" borderId="70" xfId="0" applyNumberFormat="1" applyFont="1" applyFill="1" applyBorder="1" applyAlignment="1">
      <alignment horizontal="center"/>
    </xf>
    <xf numFmtId="38" fontId="47" fillId="0" borderId="71" xfId="0" applyNumberFormat="1" applyFont="1" applyFill="1" applyBorder="1" applyAlignment="1">
      <alignment horizontal="center"/>
    </xf>
    <xf numFmtId="38" fontId="47" fillId="0" borderId="72" xfId="0" applyNumberFormat="1" applyFont="1" applyFill="1" applyBorder="1" applyAlignment="1">
      <alignment horizontal="center"/>
    </xf>
    <xf numFmtId="38" fontId="47" fillId="0" borderId="73" xfId="0" applyNumberFormat="1" applyFont="1" applyFill="1" applyBorder="1" applyAlignment="1">
      <alignment horizontal="center"/>
    </xf>
    <xf numFmtId="38" fontId="47" fillId="0" borderId="74" xfId="0" applyNumberFormat="1" applyFont="1" applyFill="1" applyBorder="1" applyAlignment="1">
      <alignment horizontal="center"/>
    </xf>
    <xf numFmtId="38" fontId="12" fillId="0" borderId="75" xfId="0" applyNumberFormat="1" applyFont="1" applyFill="1" applyBorder="1" applyAlignment="1">
      <alignment horizontal="left"/>
    </xf>
    <xf numFmtId="38" fontId="47" fillId="0" borderId="76" xfId="0" applyNumberFormat="1" applyFont="1" applyFill="1" applyBorder="1" applyAlignment="1">
      <alignment horizontal="center"/>
    </xf>
    <xf numFmtId="38" fontId="47" fillId="0" borderId="77" xfId="0" applyNumberFormat="1" applyFont="1" applyFill="1" applyBorder="1" applyAlignment="1">
      <alignment horizontal="center"/>
    </xf>
    <xf numFmtId="38" fontId="12" fillId="0" borderId="78" xfId="0" applyNumberFormat="1" applyFont="1" applyFill="1" applyBorder="1" applyAlignment="1">
      <alignment horizontal="center"/>
    </xf>
    <xf numFmtId="38" fontId="12" fillId="0" borderId="79" xfId="0" applyNumberFormat="1" applyFont="1" applyFill="1" applyBorder="1" applyAlignment="1">
      <alignment horizontal="center"/>
    </xf>
    <xf numFmtId="38" fontId="12" fillId="0" borderId="80" xfId="0" applyNumberFormat="1" applyFont="1" applyFill="1" applyBorder="1" applyAlignment="1">
      <alignment horizontal="center"/>
    </xf>
    <xf numFmtId="38" fontId="47" fillId="0" borderId="81" xfId="0" applyNumberFormat="1" applyFont="1" applyFill="1" applyBorder="1" applyAlignment="1">
      <alignment horizontal="center"/>
    </xf>
    <xf numFmtId="38" fontId="47" fillId="0" borderId="75" xfId="0" applyNumberFormat="1" applyFont="1" applyFill="1" applyBorder="1" applyAlignment="1">
      <alignment horizontal="center"/>
    </xf>
    <xf numFmtId="38" fontId="12" fillId="0" borderId="82" xfId="0" applyNumberFormat="1" applyFont="1" applyFill="1" applyBorder="1" applyAlignment="1">
      <alignment horizontal="center"/>
    </xf>
    <xf numFmtId="38" fontId="12" fillId="0" borderId="81" xfId="0" applyNumberFormat="1" applyFont="1" applyFill="1" applyBorder="1" applyAlignment="1">
      <alignment horizontal="center"/>
    </xf>
    <xf numFmtId="38" fontId="12" fillId="0" borderId="83" xfId="0" applyNumberFormat="1" applyFont="1" applyFill="1" applyBorder="1" applyAlignment="1">
      <alignment horizontal="center"/>
    </xf>
    <xf numFmtId="38" fontId="12" fillId="0" borderId="84" xfId="0" applyNumberFormat="1" applyFont="1" applyFill="1" applyBorder="1" applyAlignment="1">
      <alignment horizontal="center"/>
    </xf>
    <xf numFmtId="38" fontId="12" fillId="0" borderId="85" xfId="0" applyNumberFormat="1" applyFont="1" applyFill="1" applyBorder="1" applyAlignment="1">
      <alignment horizontal="left"/>
    </xf>
    <xf numFmtId="38" fontId="47" fillId="0" borderId="86" xfId="0" applyNumberFormat="1" applyFont="1" applyFill="1" applyBorder="1" applyAlignment="1">
      <alignment horizontal="center"/>
    </xf>
    <xf numFmtId="38" fontId="47" fillId="0" borderId="87" xfId="0" applyNumberFormat="1" applyFont="1" applyFill="1" applyBorder="1" applyAlignment="1">
      <alignment horizontal="center"/>
    </xf>
    <xf numFmtId="38" fontId="12" fillId="0" borderId="88" xfId="0" applyNumberFormat="1" applyFont="1" applyFill="1" applyBorder="1" applyAlignment="1">
      <alignment horizontal="center"/>
    </xf>
    <xf numFmtId="38" fontId="12" fillId="0" borderId="89" xfId="0" applyNumberFormat="1" applyFont="1" applyFill="1" applyBorder="1" applyAlignment="1">
      <alignment horizontal="center"/>
    </xf>
    <xf numFmtId="38" fontId="12" fillId="0" borderId="90" xfId="0" applyNumberFormat="1" applyFont="1" applyFill="1" applyBorder="1" applyAlignment="1">
      <alignment horizontal="center"/>
    </xf>
    <xf numFmtId="38" fontId="47" fillId="0" borderId="91" xfId="0" applyNumberFormat="1" applyFont="1" applyFill="1" applyBorder="1" applyAlignment="1">
      <alignment horizontal="center"/>
    </xf>
    <xf numFmtId="38" fontId="47" fillId="0" borderId="85" xfId="0" applyNumberFormat="1" applyFont="1" applyFill="1" applyBorder="1" applyAlignment="1">
      <alignment horizontal="center"/>
    </xf>
    <xf numFmtId="38" fontId="12" fillId="0" borderId="92" xfId="0" applyNumberFormat="1" applyFont="1" applyFill="1" applyBorder="1" applyAlignment="1">
      <alignment horizontal="center"/>
    </xf>
    <xf numFmtId="38" fontId="12" fillId="0" borderId="91" xfId="0" applyNumberFormat="1" applyFont="1" applyFill="1" applyBorder="1" applyAlignment="1">
      <alignment horizontal="center"/>
    </xf>
    <xf numFmtId="38" fontId="12" fillId="0" borderId="93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left"/>
    </xf>
    <xf numFmtId="38" fontId="47" fillId="0" borderId="25" xfId="0" applyNumberFormat="1" applyFont="1" applyFill="1" applyBorder="1" applyAlignment="1">
      <alignment horizontal="center"/>
    </xf>
    <xf numFmtId="38" fontId="47" fillId="0" borderId="94" xfId="0" applyNumberFormat="1" applyFont="1" applyFill="1" applyBorder="1" applyAlignment="1">
      <alignment horizontal="center"/>
    </xf>
    <xf numFmtId="38" fontId="47" fillId="0" borderId="95" xfId="0" applyNumberFormat="1" applyFont="1" applyFill="1" applyBorder="1" applyAlignment="1">
      <alignment horizontal="center"/>
    </xf>
    <xf numFmtId="38" fontId="47" fillId="0" borderId="96" xfId="0" applyNumberFormat="1" applyFont="1" applyFill="1" applyBorder="1" applyAlignment="1">
      <alignment horizontal="center"/>
    </xf>
    <xf numFmtId="38" fontId="47" fillId="0" borderId="97" xfId="0" applyNumberFormat="1" applyFont="1" applyFill="1" applyBorder="1" applyAlignment="1">
      <alignment horizontal="center"/>
    </xf>
    <xf numFmtId="38" fontId="47" fillId="0" borderId="15" xfId="0" applyNumberFormat="1" applyFont="1" applyFill="1" applyBorder="1" applyAlignment="1">
      <alignment horizontal="center"/>
    </xf>
    <xf numFmtId="38" fontId="47" fillId="0" borderId="0" xfId="0" applyNumberFormat="1" applyFont="1" applyFill="1" applyBorder="1" applyAlignment="1">
      <alignment horizontal="center"/>
    </xf>
    <xf numFmtId="38" fontId="47" fillId="0" borderId="16" xfId="0" applyNumberFormat="1" applyFont="1" applyFill="1" applyBorder="1" applyAlignment="1">
      <alignment horizontal="center"/>
    </xf>
    <xf numFmtId="38" fontId="47" fillId="0" borderId="98" xfId="0" applyNumberFormat="1" applyFont="1" applyFill="1" applyBorder="1" applyAlignment="1">
      <alignment horizontal="center"/>
    </xf>
    <xf numFmtId="38" fontId="47" fillId="0" borderId="99" xfId="0" applyNumberFormat="1" applyFont="1" applyFill="1" applyBorder="1" applyAlignment="1">
      <alignment horizontal="center"/>
    </xf>
    <xf numFmtId="38" fontId="12" fillId="0" borderId="100" xfId="0" applyNumberFormat="1" applyFont="1" applyFill="1" applyBorder="1" applyAlignment="1">
      <alignment horizontal="center"/>
    </xf>
    <xf numFmtId="38" fontId="12" fillId="0" borderId="0" xfId="0" applyNumberFormat="1" applyFont="1" applyFill="1" applyBorder="1"/>
    <xf numFmtId="1" fontId="12" fillId="0" borderId="48" xfId="0" applyNumberFormat="1" applyFont="1" applyFill="1" applyBorder="1" applyAlignment="1">
      <alignment horizontal="center"/>
    </xf>
    <xf numFmtId="38" fontId="47" fillId="0" borderId="1" xfId="0" applyNumberFormat="1" applyFont="1" applyFill="1" applyBorder="1" applyAlignment="1">
      <alignment horizontal="left"/>
    </xf>
    <xf numFmtId="38" fontId="47" fillId="0" borderId="101" xfId="0" applyNumberFormat="1" applyFont="1" applyFill="1" applyBorder="1" applyAlignment="1">
      <alignment horizontal="center"/>
    </xf>
    <xf numFmtId="38" fontId="47" fillId="0" borderId="102" xfId="0" applyNumberFormat="1" applyFont="1" applyFill="1" applyBorder="1" applyAlignment="1">
      <alignment horizontal="center"/>
    </xf>
    <xf numFmtId="38" fontId="12" fillId="0" borderId="103" xfId="0" applyNumberFormat="1" applyFont="1" applyFill="1" applyBorder="1" applyAlignment="1">
      <alignment horizontal="center"/>
    </xf>
    <xf numFmtId="38" fontId="12" fillId="0" borderId="104" xfId="0" applyNumberFormat="1" applyFont="1" applyFill="1" applyBorder="1" applyAlignment="1">
      <alignment horizontal="center"/>
    </xf>
    <xf numFmtId="38" fontId="12" fillId="0" borderId="105" xfId="0" applyNumberFormat="1" applyFont="1" applyFill="1" applyBorder="1" applyAlignment="1">
      <alignment horizontal="center"/>
    </xf>
    <xf numFmtId="38" fontId="47" fillId="0" borderId="4" xfId="0" applyNumberFormat="1" applyFont="1" applyFill="1" applyBorder="1" applyAlignment="1">
      <alignment horizontal="center"/>
    </xf>
    <xf numFmtId="38" fontId="47" fillId="0" borderId="1" xfId="0" applyNumberFormat="1" applyFont="1" applyFill="1" applyBorder="1" applyAlignment="1">
      <alignment horizontal="center"/>
    </xf>
    <xf numFmtId="38" fontId="12" fillId="0" borderId="13" xfId="0" applyNumberFormat="1" applyFont="1" applyFill="1" applyBorder="1" applyAlignment="1">
      <alignment horizontal="center"/>
    </xf>
    <xf numFmtId="38" fontId="12" fillId="0" borderId="98" xfId="0" applyNumberFormat="1" applyFont="1" applyFill="1" applyBorder="1" applyAlignment="1">
      <alignment horizontal="center"/>
    </xf>
    <xf numFmtId="38" fontId="12" fillId="0" borderId="4" xfId="0" applyNumberFormat="1" applyFont="1" applyFill="1" applyBorder="1" applyAlignment="1">
      <alignment horizontal="center"/>
    </xf>
    <xf numFmtId="38" fontId="12" fillId="0" borderId="106" xfId="0" applyNumberFormat="1" applyFont="1" applyFill="1" applyBorder="1" applyAlignment="1">
      <alignment horizontal="center"/>
    </xf>
    <xf numFmtId="38" fontId="47" fillId="0" borderId="107" xfId="0" applyNumberFormat="1" applyFont="1" applyFill="1" applyBorder="1" applyAlignment="1">
      <alignment horizontal="center"/>
    </xf>
    <xf numFmtId="38" fontId="47" fillId="0" borderId="108" xfId="0" applyNumberFormat="1" applyFont="1" applyFill="1" applyBorder="1" applyAlignment="1">
      <alignment horizontal="center"/>
    </xf>
    <xf numFmtId="38" fontId="47" fillId="0" borderId="79" xfId="0" applyNumberFormat="1" applyFont="1" applyFill="1" applyBorder="1" applyAlignment="1">
      <alignment horizontal="center"/>
    </xf>
    <xf numFmtId="38" fontId="12" fillId="0" borderId="75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left"/>
    </xf>
    <xf numFmtId="38" fontId="47" fillId="0" borderId="11" xfId="0" applyNumberFormat="1" applyFont="1" applyFill="1" applyBorder="1" applyAlignment="1">
      <alignment horizontal="center"/>
    </xf>
    <xf numFmtId="38" fontId="47" fillId="0" borderId="109" xfId="0" applyNumberFormat="1" applyFont="1" applyFill="1" applyBorder="1" applyAlignment="1">
      <alignment horizontal="center"/>
    </xf>
    <xf numFmtId="38" fontId="12" fillId="0" borderId="97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center"/>
    </xf>
    <xf numFmtId="38" fontId="12" fillId="0" borderId="96" xfId="0" applyNumberFormat="1" applyFont="1" applyFill="1" applyBorder="1" applyAlignment="1">
      <alignment horizontal="center"/>
    </xf>
    <xf numFmtId="38" fontId="12" fillId="0" borderId="16" xfId="0" applyNumberFormat="1" applyFont="1" applyFill="1" applyBorder="1" applyAlignment="1">
      <alignment horizontal="center"/>
    </xf>
    <xf numFmtId="38" fontId="12" fillId="0" borderId="95" xfId="0" applyNumberFormat="1" applyFont="1" applyFill="1" applyBorder="1" applyAlignment="1">
      <alignment horizontal="center"/>
    </xf>
    <xf numFmtId="38" fontId="12" fillId="0" borderId="15" xfId="0" applyNumberFormat="1" applyFont="1" applyFill="1" applyBorder="1" applyAlignment="1">
      <alignment horizontal="center"/>
    </xf>
    <xf numFmtId="38" fontId="12" fillId="0" borderId="99" xfId="0" applyNumberFormat="1" applyFont="1" applyFill="1" applyBorder="1" applyAlignment="1">
      <alignment horizontal="center"/>
    </xf>
    <xf numFmtId="38" fontId="47" fillId="0" borderId="110" xfId="0" applyNumberFormat="1" applyFont="1" applyFill="1" applyBorder="1" applyAlignment="1">
      <alignment horizontal="center"/>
    </xf>
    <xf numFmtId="38" fontId="12" fillId="0" borderId="111" xfId="0" applyNumberFormat="1" applyFont="1" applyFill="1" applyBorder="1" applyAlignment="1">
      <alignment horizontal="center"/>
    </xf>
    <xf numFmtId="38" fontId="12" fillId="0" borderId="52" xfId="0" applyNumberFormat="1" applyFont="1" applyFill="1" applyBorder="1" applyAlignment="1">
      <alignment horizontal="center"/>
    </xf>
    <xf numFmtId="38" fontId="47" fillId="0" borderId="112" xfId="0" applyNumberFormat="1" applyFont="1" applyFill="1" applyBorder="1" applyAlignment="1">
      <alignment horizontal="left"/>
    </xf>
    <xf numFmtId="38" fontId="47" fillId="0" borderId="113" xfId="0" applyNumberFormat="1" applyFont="1" applyFill="1" applyBorder="1" applyAlignment="1">
      <alignment horizontal="center"/>
    </xf>
    <xf numFmtId="38" fontId="47" fillId="0" borderId="114" xfId="0" applyNumberFormat="1" applyFont="1" applyFill="1" applyBorder="1" applyAlignment="1">
      <alignment horizontal="center"/>
    </xf>
    <xf numFmtId="38" fontId="47" fillId="0" borderId="115" xfId="0" applyNumberFormat="1" applyFont="1" applyFill="1" applyBorder="1" applyAlignment="1">
      <alignment horizontal="center"/>
    </xf>
    <xf numFmtId="38" fontId="47" fillId="0" borderId="116" xfId="0" applyNumberFormat="1" applyFont="1" applyFill="1" applyBorder="1" applyAlignment="1">
      <alignment horizontal="center"/>
    </xf>
    <xf numFmtId="38" fontId="47" fillId="0" borderId="117" xfId="0" applyNumberFormat="1" applyFont="1" applyFill="1" applyBorder="1" applyAlignment="1">
      <alignment horizontal="center"/>
    </xf>
    <xf numFmtId="38" fontId="47" fillId="0" borderId="112" xfId="0" applyNumberFormat="1" applyFont="1" applyFill="1" applyBorder="1" applyAlignment="1">
      <alignment horizontal="center"/>
    </xf>
    <xf numFmtId="38" fontId="47" fillId="0" borderId="118" xfId="0" applyNumberFormat="1" applyFont="1" applyFill="1" applyBorder="1" applyAlignment="1">
      <alignment horizontal="center"/>
    </xf>
    <xf numFmtId="38" fontId="47" fillId="0" borderId="119" xfId="0" applyNumberFormat="1" applyFont="1" applyFill="1" applyBorder="1" applyAlignment="1">
      <alignment horizontal="center"/>
    </xf>
    <xf numFmtId="38" fontId="12" fillId="0" borderId="0" xfId="0" applyNumberFormat="1" applyFont="1"/>
    <xf numFmtId="38" fontId="12" fillId="0" borderId="0" xfId="0" applyNumberFormat="1" applyFont="1" applyFill="1"/>
    <xf numFmtId="38" fontId="47" fillId="0" borderId="0" xfId="0" applyNumberFormat="1" applyFont="1" applyFill="1"/>
    <xf numFmtId="38" fontId="47" fillId="0" borderId="0" xfId="0" applyNumberFormat="1" applyFont="1" applyBorder="1"/>
    <xf numFmtId="38" fontId="12" fillId="0" borderId="0" xfId="0" applyNumberFormat="1" applyFont="1" applyAlignment="1">
      <alignment horizontal="left"/>
    </xf>
    <xf numFmtId="38" fontId="47" fillId="0" borderId="0" xfId="0" applyNumberFormat="1" applyFont="1" applyFill="1" applyAlignment="1">
      <alignment horizontal="center"/>
    </xf>
    <xf numFmtId="38" fontId="12" fillId="0" borderId="0" xfId="0" applyNumberFormat="1" applyFont="1" applyFill="1" applyAlignment="1">
      <alignment horizontal="center"/>
    </xf>
    <xf numFmtId="38" fontId="47" fillId="0" borderId="0" xfId="0" applyNumberFormat="1" applyFont="1" applyFill="1" applyBorder="1"/>
    <xf numFmtId="38" fontId="12" fillId="0" borderId="0" xfId="0" applyNumberFormat="1" applyFont="1" applyAlignment="1"/>
    <xf numFmtId="38" fontId="12" fillId="0" borderId="0" xfId="0" applyNumberFormat="1" applyFont="1" applyFill="1"/>
    <xf numFmtId="0" fontId="12" fillId="0" borderId="0" xfId="0" applyFont="1" applyFill="1"/>
    <xf numFmtId="38" fontId="47" fillId="0" borderId="0" xfId="0" applyNumberFormat="1" applyFont="1" applyFill="1"/>
    <xf numFmtId="38" fontId="12" fillId="0" borderId="0" xfId="0" applyNumberFormat="1" applyFont="1" applyFill="1" applyBorder="1"/>
    <xf numFmtId="2" fontId="5" fillId="7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38" fontId="47" fillId="14" borderId="39" xfId="0" applyNumberFormat="1" applyFont="1" applyFill="1" applyBorder="1" applyAlignment="1">
      <alignment horizontal="center"/>
    </xf>
    <xf numFmtId="38" fontId="12" fillId="14" borderId="85" xfId="0" applyNumberFormat="1" applyFont="1" applyFill="1" applyBorder="1" applyAlignment="1">
      <alignment horizontal="left"/>
    </xf>
    <xf numFmtId="38" fontId="47" fillId="14" borderId="86" xfId="0" applyNumberFormat="1" applyFont="1" applyFill="1" applyBorder="1" applyAlignment="1">
      <alignment horizontal="center"/>
    </xf>
    <xf numFmtId="38" fontId="47" fillId="14" borderId="87" xfId="0" applyNumberFormat="1" applyFont="1" applyFill="1" applyBorder="1" applyAlignment="1">
      <alignment horizontal="center"/>
    </xf>
    <xf numFmtId="38" fontId="12" fillId="14" borderId="88" xfId="0" applyNumberFormat="1" applyFont="1" applyFill="1" applyBorder="1" applyAlignment="1">
      <alignment horizontal="center"/>
    </xf>
    <xf numFmtId="38" fontId="12" fillId="14" borderId="89" xfId="0" applyNumberFormat="1" applyFont="1" applyFill="1" applyBorder="1" applyAlignment="1">
      <alignment horizontal="center"/>
    </xf>
    <xf numFmtId="38" fontId="12" fillId="14" borderId="90" xfId="0" applyNumberFormat="1" applyFont="1" applyFill="1" applyBorder="1" applyAlignment="1">
      <alignment horizontal="center"/>
    </xf>
    <xf numFmtId="38" fontId="47" fillId="14" borderId="91" xfId="0" applyNumberFormat="1" applyFont="1" applyFill="1" applyBorder="1" applyAlignment="1">
      <alignment horizontal="center"/>
    </xf>
    <xf numFmtId="38" fontId="47" fillId="14" borderId="85" xfId="0" applyNumberFormat="1" applyFont="1" applyFill="1" applyBorder="1" applyAlignment="1">
      <alignment horizontal="center"/>
    </xf>
    <xf numFmtId="38" fontId="12" fillId="14" borderId="92" xfId="0" applyNumberFormat="1" applyFont="1" applyFill="1" applyBorder="1" applyAlignment="1">
      <alignment horizontal="center"/>
    </xf>
    <xf numFmtId="38" fontId="12" fillId="14" borderId="91" xfId="0" applyNumberFormat="1" applyFont="1" applyFill="1" applyBorder="1" applyAlignment="1">
      <alignment horizontal="center"/>
    </xf>
    <xf numFmtId="38" fontId="12" fillId="14" borderId="93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left" vertical="center"/>
    </xf>
    <xf numFmtId="166" fontId="17" fillId="0" borderId="0" xfId="2" applyNumberFormat="1" applyFont="1" applyAlignment="1">
      <alignment horizontal="center" vertical="center"/>
    </xf>
    <xf numFmtId="38" fontId="17" fillId="0" borderId="0" xfId="0" applyNumberFormat="1" applyFont="1" applyAlignment="1">
      <alignment horizontal="center" vertical="center"/>
    </xf>
    <xf numFmtId="170" fontId="17" fillId="0" borderId="0" xfId="0" applyNumberFormat="1" applyFont="1" applyAlignment="1">
      <alignment horizontal="center" vertical="center"/>
    </xf>
    <xf numFmtId="0" fontId="49" fillId="0" borderId="0" xfId="0" applyFont="1" applyAlignment="1">
      <alignment vertical="center"/>
    </xf>
    <xf numFmtId="0" fontId="0" fillId="0" borderId="7" xfId="0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5" fillId="0" borderId="0" xfId="0" applyFont="1"/>
    <xf numFmtId="0" fontId="5" fillId="0" borderId="6" xfId="0" applyFont="1" applyBorder="1"/>
    <xf numFmtId="0" fontId="5" fillId="0" borderId="0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5" fillId="0" borderId="7" xfId="0" applyFont="1" applyBorder="1"/>
    <xf numFmtId="0" fontId="0" fillId="0" borderId="0" xfId="0"/>
    <xf numFmtId="166" fontId="17" fillId="8" borderId="0" xfId="2" applyNumberFormat="1" applyFont="1" applyFill="1" applyAlignment="1">
      <alignment horizontal="center" vertical="center"/>
    </xf>
    <xf numFmtId="38" fontId="17" fillId="8" borderId="0" xfId="0" applyNumberFormat="1" applyFont="1" applyFill="1" applyAlignment="1">
      <alignment horizontal="center" vertical="center"/>
    </xf>
    <xf numFmtId="164" fontId="5" fillId="0" borderId="12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4" fillId="0" borderId="8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/>
    </xf>
    <xf numFmtId="38" fontId="47" fillId="0" borderId="126" xfId="0" applyNumberFormat="1" applyFont="1" applyFill="1" applyBorder="1" applyAlignment="1">
      <alignment horizontal="center"/>
    </xf>
    <xf numFmtId="9" fontId="0" fillId="8" borderId="0" xfId="0" applyNumberFormat="1" applyFont="1" applyFill="1" applyAlignment="1">
      <alignment horizontal="center" vertical="center"/>
    </xf>
    <xf numFmtId="38" fontId="12" fillId="0" borderId="128" xfId="0" applyNumberFormat="1" applyFont="1" applyFill="1" applyBorder="1" applyAlignment="1">
      <alignment horizontal="center"/>
    </xf>
    <xf numFmtId="38" fontId="12" fillId="0" borderId="125" xfId="0" applyNumberFormat="1" applyFont="1" applyFill="1" applyBorder="1" applyAlignment="1">
      <alignment horizontal="center"/>
    </xf>
    <xf numFmtId="164" fontId="17" fillId="7" borderId="0" xfId="0" applyNumberFormat="1" applyFont="1" applyFill="1" applyBorder="1" applyAlignment="1">
      <alignment horizontal="center" vertical="center"/>
    </xf>
    <xf numFmtId="38" fontId="12" fillId="14" borderId="49" xfId="0" applyNumberFormat="1" applyFont="1" applyFill="1" applyBorder="1" applyAlignment="1">
      <alignment horizontal="center"/>
    </xf>
    <xf numFmtId="38" fontId="47" fillId="0" borderId="122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38" fontId="12" fillId="0" borderId="126" xfId="0" applyNumberFormat="1" applyFont="1" applyFill="1" applyBorder="1" applyAlignment="1">
      <alignment horizontal="center"/>
    </xf>
    <xf numFmtId="38" fontId="47" fillId="0" borderId="120" xfId="0" applyNumberFormat="1" applyFont="1" applyFill="1" applyBorder="1" applyAlignment="1">
      <alignment horizontal="center"/>
    </xf>
    <xf numFmtId="38" fontId="12" fillId="0" borderId="124" xfId="0" applyNumberFormat="1" applyFont="1" applyFill="1" applyBorder="1" applyAlignment="1">
      <alignment horizontal="center"/>
    </xf>
    <xf numFmtId="165" fontId="0" fillId="0" borderId="6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4" fontId="17" fillId="7" borderId="6" xfId="0" applyNumberFormat="1" applyFont="1" applyFill="1" applyBorder="1" applyAlignment="1">
      <alignment horizontal="center" vertical="center"/>
    </xf>
    <xf numFmtId="38" fontId="12" fillId="0" borderId="127" xfId="0" applyNumberFormat="1" applyFont="1" applyFill="1" applyBorder="1" applyAlignment="1">
      <alignment horizontal="center"/>
    </xf>
    <xf numFmtId="38" fontId="12" fillId="0" borderId="123" xfId="0" applyNumberFormat="1" applyFont="1" applyFill="1" applyBorder="1" applyAlignment="1">
      <alignment horizontal="center"/>
    </xf>
    <xf numFmtId="38" fontId="47" fillId="0" borderId="120" xfId="0" applyNumberFormat="1" applyFont="1" applyFill="1" applyBorder="1" applyAlignment="1">
      <alignment horizontal="left"/>
    </xf>
    <xf numFmtId="38" fontId="12" fillId="0" borderId="0" xfId="0" applyNumberFormat="1" applyFont="1" applyFill="1" applyBorder="1"/>
    <xf numFmtId="165" fontId="0" fillId="0" borderId="0" xfId="0" applyNumberFormat="1" applyFont="1" applyAlignment="1">
      <alignment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8" fontId="47" fillId="0" borderId="12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2" borderId="7" xfId="0" applyFont="1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  <xf numFmtId="165" fontId="0" fillId="0" borderId="18" xfId="0" applyNumberFormat="1" applyFill="1" applyBorder="1" applyAlignment="1">
      <alignment vertical="center"/>
    </xf>
    <xf numFmtId="0" fontId="4" fillId="0" borderId="0" xfId="0" applyFont="1"/>
    <xf numFmtId="0" fontId="4" fillId="0" borderId="6" xfId="0" applyFont="1" applyBorder="1"/>
    <xf numFmtId="0" fontId="51" fillId="5" borderId="0" xfId="0" applyFont="1" applyFill="1"/>
    <xf numFmtId="0" fontId="50" fillId="5" borderId="0" xfId="0" applyFont="1" applyFill="1"/>
    <xf numFmtId="0" fontId="0" fillId="5" borderId="0" xfId="0" applyFont="1" applyFill="1" applyAlignment="1">
      <alignment vertical="center"/>
    </xf>
    <xf numFmtId="0" fontId="3" fillId="4" borderId="129" xfId="0" applyFont="1" applyFill="1" applyBorder="1" applyAlignment="1">
      <alignment vertical="center"/>
    </xf>
    <xf numFmtId="0" fontId="3" fillId="4" borderId="129" xfId="0" applyFont="1" applyFill="1" applyBorder="1" applyAlignment="1">
      <alignment horizontal="center" vertical="center"/>
    </xf>
    <xf numFmtId="0" fontId="3" fillId="4" borderId="12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 wrapText="1"/>
    </xf>
    <xf numFmtId="165" fontId="0" fillId="0" borderId="0" xfId="0" applyNumberFormat="1"/>
    <xf numFmtId="166" fontId="0" fillId="0" borderId="0" xfId="0" applyNumberFormat="1" applyFont="1" applyAlignment="1">
      <alignment horizontal="center" vertical="center"/>
    </xf>
    <xf numFmtId="0" fontId="0" fillId="0" borderId="0" xfId="0" applyFont="1" applyFill="1" applyBorder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6" xfId="0" applyFont="1" applyFill="1" applyBorder="1"/>
    <xf numFmtId="0" fontId="0" fillId="0" borderId="6" xfId="0" applyBorder="1"/>
    <xf numFmtId="0" fontId="4" fillId="0" borderId="6" xfId="0" applyFont="1" applyBorder="1"/>
    <xf numFmtId="0" fontId="0" fillId="0" borderId="0" xfId="0"/>
    <xf numFmtId="0" fontId="4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0" fillId="0" borderId="6" xfId="0" applyFont="1" applyBorder="1" applyAlignment="1">
      <alignment vertical="center"/>
    </xf>
    <xf numFmtId="0" fontId="0" fillId="0" borderId="129" xfId="0" applyFont="1" applyBorder="1" applyAlignment="1">
      <alignment vertical="center"/>
    </xf>
    <xf numFmtId="0" fontId="5" fillId="0" borderId="129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164" fontId="17" fillId="0" borderId="18" xfId="0" applyNumberFormat="1" applyFont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center" vertical="center" wrapText="1"/>
    </xf>
    <xf numFmtId="164" fontId="17" fillId="0" borderId="6" xfId="0" applyNumberFormat="1" applyFont="1" applyBorder="1" applyAlignment="1">
      <alignment horizontal="center" vertical="center" wrapText="1"/>
    </xf>
    <xf numFmtId="0" fontId="17" fillId="9" borderId="129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/>
    </xf>
    <xf numFmtId="2" fontId="17" fillId="9" borderId="129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5">
    <cellStyle name="Accent1" xfId="1" builtinId="29"/>
    <cellStyle name="Calculation" xfId="4" builtinId="22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'SEAI-AEA_BioData'!$A$16</c:f>
              <c:strCache>
                <c:ptCount val="1"/>
                <c:pt idx="0">
                  <c:v>Table A. 4: Medium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'SEAI-AEA_BioData'!$J$23:$N$23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18.176172733352441</c:v>
                </c:pt>
                <c:pt idx="2">
                  <c:v>17.579057991783699</c:v>
                </c:pt>
                <c:pt idx="3">
                  <c:v>16.599789815610968</c:v>
                </c:pt>
                <c:pt idx="4">
                  <c:v>15.883252125728479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804-A363-2C5EADDCE506}"/>
            </c:ext>
          </c:extLst>
        </c:ser>
        <c:ser>
          <c:idx val="1"/>
          <c:order val="1"/>
          <c:tx>
            <c:strRef>
              <c:f>'SEAI-AEA_BioData'!$A$48</c:f>
              <c:strCache>
                <c:ptCount val="1"/>
                <c:pt idx="0">
                  <c:v>Table A. 7: Ambitious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'SEAI-AEA_BioData'!$J$55:$N$55</c:f>
              <c:numCache>
                <c:formatCode>0.0</c:formatCode>
                <c:ptCount val="5"/>
                <c:pt idx="0">
                  <c:v>18.606095347281933</c:v>
                </c:pt>
                <c:pt idx="1">
                  <c:v>20.636285468615647</c:v>
                </c:pt>
                <c:pt idx="2">
                  <c:v>22.714244769274863</c:v>
                </c:pt>
                <c:pt idx="3">
                  <c:v>25.174357504538072</c:v>
                </c:pt>
                <c:pt idx="4">
                  <c:v>28.757045953950509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2-4804-A363-2C5EADDCE506}"/>
            </c:ext>
          </c:extLst>
        </c:ser>
        <c:ser>
          <c:idx val="2"/>
          <c:order val="2"/>
          <c:tx>
            <c:strRef>
              <c:f>'SEAI-AEA_BioData'!$A$26</c:f>
              <c:strCache>
                <c:ptCount val="1"/>
                <c:pt idx="0">
                  <c:v>Table A. 5: Ambitious supply/reference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'SEAI-AEA_BioData'!$J$33:$N$33</c:f>
              <c:numCache>
                <c:formatCode>0.0</c:formatCode>
                <c:ptCount val="5"/>
                <c:pt idx="0">
                  <c:v>18.606095347281933</c:v>
                </c:pt>
                <c:pt idx="1">
                  <c:v>18.916595012897677</c:v>
                </c:pt>
                <c:pt idx="2">
                  <c:v>19.083787140536923</c:v>
                </c:pt>
                <c:pt idx="3">
                  <c:v>18.916595012897677</c:v>
                </c:pt>
                <c:pt idx="4">
                  <c:v>19.131556319862423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2-4804-A363-2C5EADDCE506}"/>
            </c:ext>
          </c:extLst>
        </c:ser>
        <c:ser>
          <c:idx val="3"/>
          <c:order val="3"/>
          <c:tx>
            <c:strRef>
              <c:f>'SEAI-AEA_BioData'!$A$37</c:f>
              <c:strCache>
                <c:ptCount val="1"/>
                <c:pt idx="0">
                  <c:v>Table A. 6: Medium supply/high demand</c:v>
                </c:pt>
              </c:strCache>
            </c:strRef>
          </c:tx>
          <c:marker>
            <c:symbol val="none"/>
          </c:marker>
          <c:cat>
            <c:numRef>
              <c:f>'SEAI-AEA_BioData'!$J$38:$N$38</c:f>
              <c:numCache>
                <c:formatCode>General</c:formatCode>
                <c:ptCount val="5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</c:numCache>
            </c:numRef>
          </c:cat>
          <c:val>
            <c:numRef>
              <c:f>'SEAI-AEA_BioData'!$J$44:$N$44</c:f>
              <c:numCache>
                <c:formatCode>0.0</c:formatCode>
                <c:ptCount val="5"/>
                <c:pt idx="0">
                  <c:v>18.606095347281933</c:v>
                </c:pt>
                <c:pt idx="1">
                  <c:v>19.680901882105665</c:v>
                </c:pt>
                <c:pt idx="2">
                  <c:v>20.684054647941146</c:v>
                </c:pt>
                <c:pt idx="3">
                  <c:v>21.758861182764878</c:v>
                </c:pt>
                <c:pt idx="4">
                  <c:v>23.550205407471097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2-4804-A363-2C5EADDCE506}"/>
            </c:ext>
          </c:extLst>
        </c:ser>
        <c:ser>
          <c:idx val="4"/>
          <c:order val="4"/>
          <c:tx>
            <c:strRef>
              <c:f>'SEAI-AEA_BioData'!$A$5</c:f>
              <c:strCache>
                <c:ptCount val="1"/>
                <c:pt idx="0">
                  <c:v>Table A. 3: Restricted supply/reference demand</c:v>
                </c:pt>
              </c:strCache>
            </c:strRef>
          </c:tx>
          <c:marker>
            <c:symbol val="none"/>
          </c:marker>
          <c:val>
            <c:numRef>
              <c:f>'SEAI-AEA_BioData'!$J$12:$N$12</c:f>
              <c:numCache>
                <c:formatCode>0.0</c:formatCode>
                <c:ptCount val="5"/>
                <c:pt idx="0">
                  <c:v>18.606095347281933</c:v>
                </c:pt>
                <c:pt idx="1">
                  <c:v>17.674596350434697</c:v>
                </c:pt>
                <c:pt idx="2">
                  <c:v>16.552020636285469</c:v>
                </c:pt>
                <c:pt idx="3">
                  <c:v>15.047291487532243</c:v>
                </c:pt>
                <c:pt idx="4">
                  <c:v>13.781408235406515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2-4804-A363-2C5EADDC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42080"/>
        <c:axId val="196956160"/>
      </c:lineChart>
      <c:catAx>
        <c:axId val="1969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56160"/>
        <c:crosses val="autoZero"/>
        <c:auto val="1"/>
        <c:lblAlgn val="ctr"/>
        <c:lblOffset val="100"/>
        <c:noMultiLvlLbl val="0"/>
      </c:catAx>
      <c:valAx>
        <c:axId val="1969561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6942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36</xdr:row>
      <xdr:rowOff>96723</xdr:rowOff>
    </xdr:from>
    <xdr:to>
      <xdr:col>6</xdr:col>
      <xdr:colOff>466725</xdr:colOff>
      <xdr:row>60</xdr:row>
      <xdr:rowOff>113638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2E8AC-7424-4397-8FE4-C0C40773B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145223"/>
          <a:ext cx="6410325" cy="4893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84663</xdr:colOff>
      <xdr:row>3</xdr:row>
      <xdr:rowOff>10584</xdr:rowOff>
    </xdr:from>
    <xdr:to>
      <xdr:col>36</xdr:col>
      <xdr:colOff>201080</xdr:colOff>
      <xdr:row>19</xdr:row>
      <xdr:rowOff>191557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59"/>
  <sheetViews>
    <sheetView workbookViewId="0">
      <selection activeCell="D21" sqref="D21"/>
    </sheetView>
  </sheetViews>
  <sheetFormatPr defaultColWidth="9.1328125" defaultRowHeight="14.25"/>
  <cols>
    <col min="1" max="2" width="9.1328125" style="222"/>
    <col min="3" max="3" width="18.265625" style="222" bestFit="1" customWidth="1"/>
    <col min="4" max="4" width="49.86328125" style="222" customWidth="1"/>
    <col min="5" max="16384" width="9.1328125" style="222"/>
  </cols>
  <sheetData>
    <row r="2" spans="2:12">
      <c r="B2" s="223" t="s">
        <v>54</v>
      </c>
      <c r="C2" s="223"/>
      <c r="D2" s="224"/>
      <c r="E2" s="224"/>
      <c r="F2" s="224"/>
      <c r="G2" s="224"/>
      <c r="H2" s="224"/>
      <c r="I2" s="224"/>
    </row>
    <row r="3" spans="2:12" ht="14.65" thickBot="1">
      <c r="B3" s="13" t="s">
        <v>55</v>
      </c>
      <c r="C3" s="13" t="s">
        <v>56</v>
      </c>
      <c r="D3" s="13" t="s">
        <v>57</v>
      </c>
      <c r="E3" s="13" t="s">
        <v>58</v>
      </c>
      <c r="F3" s="13" t="s">
        <v>59</v>
      </c>
      <c r="G3" s="13" t="s">
        <v>60</v>
      </c>
      <c r="H3" s="13" t="s">
        <v>61</v>
      </c>
      <c r="I3" s="13" t="s">
        <v>62</v>
      </c>
    </row>
    <row r="4" spans="2:12">
      <c r="B4" s="1" t="s">
        <v>63</v>
      </c>
      <c r="C4" s="1" t="s">
        <v>12</v>
      </c>
      <c r="D4" s="1" t="s">
        <v>475</v>
      </c>
      <c r="E4" s="1" t="s">
        <v>11</v>
      </c>
      <c r="F4" s="456"/>
      <c r="G4" s="503" t="s">
        <v>140</v>
      </c>
      <c r="H4" s="456"/>
      <c r="I4" s="456"/>
    </row>
    <row r="5" spans="2:12">
      <c r="B5" s="457"/>
      <c r="C5" s="12" t="s">
        <v>68</v>
      </c>
      <c r="D5" s="12" t="s">
        <v>476</v>
      </c>
      <c r="E5" s="12" t="s">
        <v>11</v>
      </c>
      <c r="F5" s="457"/>
      <c r="G5" s="504" t="s">
        <v>140</v>
      </c>
      <c r="H5" s="457"/>
      <c r="I5" s="457"/>
    </row>
    <row r="6" spans="2:12">
      <c r="B6" s="456"/>
      <c r="C6" s="1" t="s">
        <v>65</v>
      </c>
      <c r="D6" s="1" t="s">
        <v>477</v>
      </c>
      <c r="E6" s="1" t="s">
        <v>11</v>
      </c>
      <c r="F6" s="456"/>
      <c r="G6" s="456"/>
      <c r="H6" s="456"/>
      <c r="I6" s="456"/>
    </row>
    <row r="7" spans="2:12">
      <c r="B7" s="456"/>
      <c r="C7" s="1" t="s">
        <v>67</v>
      </c>
      <c r="D7" s="1" t="s">
        <v>478</v>
      </c>
      <c r="E7" s="1" t="s">
        <v>11</v>
      </c>
      <c r="F7" s="456"/>
      <c r="G7" s="456"/>
      <c r="H7" s="456"/>
      <c r="I7" s="456"/>
    </row>
    <row r="8" spans="2:12">
      <c r="B8" s="456"/>
      <c r="C8" s="1" t="s">
        <v>66</v>
      </c>
      <c r="D8" s="1" t="s">
        <v>479</v>
      </c>
      <c r="E8" s="1" t="s">
        <v>11</v>
      </c>
      <c r="F8" s="456"/>
      <c r="G8" s="456"/>
      <c r="H8" s="456"/>
      <c r="I8" s="456"/>
    </row>
    <row r="9" spans="2:12">
      <c r="B9" s="457"/>
      <c r="C9" s="529" t="s">
        <v>552</v>
      </c>
      <c r="D9" s="12" t="s">
        <v>480</v>
      </c>
      <c r="E9" s="12" t="s">
        <v>11</v>
      </c>
      <c r="F9" s="457"/>
      <c r="G9" s="457"/>
      <c r="H9" s="457"/>
      <c r="I9" s="457"/>
    </row>
    <row r="10" spans="2:12">
      <c r="B10" s="457"/>
      <c r="C10" s="12" t="s">
        <v>14</v>
      </c>
      <c r="D10" s="12" t="s">
        <v>481</v>
      </c>
      <c r="E10" s="12" t="s">
        <v>11</v>
      </c>
      <c r="F10" s="457"/>
      <c r="G10" s="457"/>
      <c r="H10" s="457"/>
      <c r="I10" s="457"/>
      <c r="K10" s="245"/>
      <c r="L10" s="245"/>
    </row>
    <row r="11" spans="2:12">
      <c r="B11" s="456"/>
      <c r="C11" s="1" t="s">
        <v>69</v>
      </c>
      <c r="D11" s="1" t="s">
        <v>482</v>
      </c>
      <c r="E11" s="1" t="s">
        <v>11</v>
      </c>
      <c r="F11" s="456"/>
      <c r="G11" s="456"/>
      <c r="H11" s="456"/>
      <c r="I11" s="456"/>
      <c r="K11" s="245"/>
      <c r="L11" s="245"/>
    </row>
    <row r="12" spans="2:12">
      <c r="B12" s="458"/>
      <c r="C12" s="11" t="s">
        <v>397</v>
      </c>
      <c r="D12" s="11" t="s">
        <v>483</v>
      </c>
      <c r="E12" s="11" t="s">
        <v>11</v>
      </c>
      <c r="F12" s="458"/>
      <c r="G12" s="458"/>
      <c r="H12" s="458"/>
      <c r="I12" s="458"/>
      <c r="J12" s="459"/>
      <c r="K12" s="245"/>
      <c r="L12" s="245"/>
    </row>
    <row r="13" spans="2:12">
      <c r="B13" s="458"/>
      <c r="C13" s="11" t="s">
        <v>73</v>
      </c>
      <c r="D13" s="11" t="s">
        <v>484</v>
      </c>
      <c r="E13" s="11" t="s">
        <v>11</v>
      </c>
      <c r="F13" s="458"/>
      <c r="G13" s="455"/>
      <c r="H13" s="458"/>
      <c r="I13" s="458"/>
      <c r="J13" s="459"/>
      <c r="K13" s="245"/>
      <c r="L13" s="245"/>
    </row>
    <row r="14" spans="2:12">
      <c r="B14" s="456"/>
      <c r="C14" s="1" t="s">
        <v>72</v>
      </c>
      <c r="D14" s="1" t="s">
        <v>485</v>
      </c>
      <c r="E14" s="1" t="s">
        <v>11</v>
      </c>
      <c r="F14" s="456"/>
      <c r="G14" s="16"/>
      <c r="H14" s="456"/>
      <c r="I14" s="456"/>
      <c r="K14" s="245"/>
      <c r="L14" s="245"/>
    </row>
    <row r="15" spans="2:12">
      <c r="B15" s="456"/>
      <c r="C15" s="1" t="s">
        <v>70</v>
      </c>
      <c r="D15" s="1" t="s">
        <v>486</v>
      </c>
      <c r="E15" s="1" t="s">
        <v>11</v>
      </c>
      <c r="F15" s="456"/>
      <c r="G15" s="456"/>
      <c r="H15" s="456"/>
      <c r="I15" s="456"/>
      <c r="K15" s="245"/>
      <c r="L15" s="245"/>
    </row>
    <row r="16" spans="2:12">
      <c r="B16" s="456"/>
      <c r="C16" s="1" t="s">
        <v>74</v>
      </c>
      <c r="D16" s="1" t="s">
        <v>487</v>
      </c>
      <c r="E16" s="1" t="s">
        <v>11</v>
      </c>
      <c r="F16" s="456"/>
      <c r="G16" s="456"/>
      <c r="H16" s="456"/>
      <c r="I16" s="456"/>
      <c r="K16" s="245"/>
      <c r="L16" s="245"/>
    </row>
    <row r="17" spans="2:12">
      <c r="B17" s="456"/>
      <c r="C17" s="1" t="s">
        <v>71</v>
      </c>
      <c r="D17" s="1" t="s">
        <v>488</v>
      </c>
      <c r="E17" s="1" t="s">
        <v>11</v>
      </c>
      <c r="F17" s="456"/>
      <c r="G17" s="456"/>
      <c r="H17" s="456"/>
      <c r="I17" s="456"/>
      <c r="K17" s="245"/>
      <c r="L17" s="245"/>
    </row>
    <row r="18" spans="2:12">
      <c r="B18" s="456"/>
      <c r="C18" s="1" t="s">
        <v>161</v>
      </c>
      <c r="D18" s="1" t="s">
        <v>489</v>
      </c>
      <c r="E18" s="1" t="s">
        <v>11</v>
      </c>
      <c r="F18" s="456"/>
      <c r="G18" s="456"/>
      <c r="H18" s="456"/>
      <c r="I18" s="456"/>
      <c r="K18" s="245"/>
      <c r="L18" s="245"/>
    </row>
    <row r="19" spans="2:12">
      <c r="B19" s="458"/>
      <c r="C19" s="525" t="s">
        <v>398</v>
      </c>
      <c r="D19" s="525" t="s">
        <v>490</v>
      </c>
      <c r="E19" s="525" t="s">
        <v>11</v>
      </c>
      <c r="F19" s="458"/>
      <c r="G19" s="458"/>
      <c r="H19" s="458"/>
      <c r="I19" s="458"/>
      <c r="K19" s="245"/>
      <c r="L19" s="245"/>
    </row>
    <row r="20" spans="2:12">
      <c r="B20" s="457"/>
      <c r="C20" s="529" t="s">
        <v>557</v>
      </c>
      <c r="D20" s="529" t="s">
        <v>558</v>
      </c>
      <c r="E20" s="529" t="s">
        <v>11</v>
      </c>
      <c r="F20" s="457"/>
      <c r="G20" s="457"/>
      <c r="H20" s="457"/>
      <c r="I20" s="457"/>
    </row>
    <row r="21" spans="2:12">
      <c r="B21" s="461"/>
      <c r="C21" s="454" t="s">
        <v>408</v>
      </c>
      <c r="D21" s="454" t="s">
        <v>513</v>
      </c>
      <c r="E21" s="454" t="s">
        <v>11</v>
      </c>
      <c r="F21" s="462"/>
      <c r="G21" s="462"/>
      <c r="H21" s="462"/>
      <c r="I21" s="462"/>
    </row>
    <row r="22" spans="2:12">
      <c r="C22" s="1" t="s">
        <v>75</v>
      </c>
      <c r="D22" s="1" t="s">
        <v>491</v>
      </c>
      <c r="E22" s="1" t="s">
        <v>11</v>
      </c>
      <c r="F22" s="456"/>
      <c r="G22" s="456"/>
      <c r="H22" s="456"/>
      <c r="I22" s="456"/>
      <c r="K22" s="245"/>
      <c r="L22" s="245"/>
    </row>
    <row r="23" spans="2:12">
      <c r="C23" s="1" t="s">
        <v>76</v>
      </c>
      <c r="D23" s="1" t="s">
        <v>492</v>
      </c>
      <c r="E23" s="1" t="s">
        <v>11</v>
      </c>
      <c r="F23" s="456"/>
      <c r="G23" s="456"/>
      <c r="H23" s="456"/>
      <c r="I23" s="456"/>
      <c r="K23" s="245"/>
      <c r="L23" s="245"/>
    </row>
    <row r="24" spans="2:12">
      <c r="C24" s="1" t="s">
        <v>77</v>
      </c>
      <c r="D24" s="1" t="s">
        <v>493</v>
      </c>
      <c r="E24" s="1" t="s">
        <v>11</v>
      </c>
      <c r="F24" s="456"/>
      <c r="G24" s="456"/>
      <c r="H24" s="456"/>
      <c r="I24" s="456"/>
      <c r="K24" s="245"/>
      <c r="L24" s="245"/>
    </row>
    <row r="25" spans="2:12">
      <c r="C25" s="1" t="s">
        <v>100</v>
      </c>
      <c r="D25" s="1" t="s">
        <v>494</v>
      </c>
      <c r="E25" s="1" t="s">
        <v>11</v>
      </c>
      <c r="F25" s="456"/>
      <c r="G25" s="456"/>
      <c r="H25" s="456"/>
      <c r="I25" s="456"/>
    </row>
    <row r="26" spans="2:12">
      <c r="C26" s="1" t="s">
        <v>78</v>
      </c>
      <c r="D26" s="1" t="s">
        <v>495</v>
      </c>
      <c r="E26" s="1" t="s">
        <v>11</v>
      </c>
      <c r="F26" s="456"/>
      <c r="G26" s="456"/>
      <c r="H26" s="456"/>
      <c r="I26" s="456"/>
    </row>
    <row r="27" spans="2:12">
      <c r="B27" s="460"/>
      <c r="C27" s="12" t="s">
        <v>79</v>
      </c>
      <c r="D27" s="12" t="s">
        <v>496</v>
      </c>
      <c r="E27" s="12" t="s">
        <v>11</v>
      </c>
      <c r="F27" s="457"/>
      <c r="G27" s="457"/>
      <c r="H27" s="457"/>
      <c r="I27" s="457"/>
    </row>
    <row r="28" spans="2:12">
      <c r="C28" s="57" t="s">
        <v>141</v>
      </c>
      <c r="D28" s="57" t="s">
        <v>497</v>
      </c>
      <c r="E28" s="1" t="s">
        <v>11</v>
      </c>
    </row>
    <row r="29" spans="2:12">
      <c r="C29" s="57" t="s">
        <v>143</v>
      </c>
      <c r="D29" s="57" t="s">
        <v>498</v>
      </c>
      <c r="E29" s="1" t="s">
        <v>11</v>
      </c>
    </row>
    <row r="30" spans="2:12">
      <c r="C30" s="222" t="s">
        <v>142</v>
      </c>
      <c r="D30" s="57" t="s">
        <v>499</v>
      </c>
      <c r="E30" s="1" t="s">
        <v>11</v>
      </c>
    </row>
    <row r="31" spans="2:12">
      <c r="C31" s="222" t="s">
        <v>144</v>
      </c>
      <c r="D31" s="57" t="s">
        <v>500</v>
      </c>
      <c r="E31" s="1" t="s">
        <v>11</v>
      </c>
    </row>
    <row r="32" spans="2:12">
      <c r="B32" s="459"/>
      <c r="C32" s="459" t="s">
        <v>301</v>
      </c>
      <c r="D32" s="57" t="s">
        <v>501</v>
      </c>
      <c r="E32" s="11" t="s">
        <v>11</v>
      </c>
      <c r="F32" s="459"/>
      <c r="G32" s="459"/>
      <c r="H32" s="459"/>
      <c r="I32" s="459"/>
    </row>
    <row r="33" spans="2:9">
      <c r="B33" s="459"/>
      <c r="C33" s="459" t="s">
        <v>302</v>
      </c>
      <c r="D33" s="57" t="s">
        <v>502</v>
      </c>
      <c r="E33" s="11" t="s">
        <v>11</v>
      </c>
      <c r="F33" s="459"/>
      <c r="G33" s="459"/>
      <c r="H33" s="459"/>
      <c r="I33" s="459"/>
    </row>
    <row r="34" spans="2:9">
      <c r="C34" s="222" t="s">
        <v>255</v>
      </c>
      <c r="D34" s="57" t="s">
        <v>503</v>
      </c>
      <c r="E34" s="1" t="s">
        <v>11</v>
      </c>
    </row>
    <row r="35" spans="2:9">
      <c r="C35" s="222" t="s">
        <v>109</v>
      </c>
      <c r="D35" s="57" t="s">
        <v>504</v>
      </c>
      <c r="E35" s="1" t="s">
        <v>11</v>
      </c>
    </row>
    <row r="36" spans="2:9">
      <c r="C36" s="222" t="s">
        <v>122</v>
      </c>
      <c r="D36" s="57" t="s">
        <v>505</v>
      </c>
      <c r="E36" s="1" t="s">
        <v>11</v>
      </c>
    </row>
    <row r="37" spans="2:9">
      <c r="C37" s="222" t="s">
        <v>297</v>
      </c>
      <c r="D37" s="222" t="s">
        <v>506</v>
      </c>
      <c r="E37" s="1" t="s">
        <v>11</v>
      </c>
    </row>
    <row r="38" spans="2:9">
      <c r="C38" s="222" t="s">
        <v>298</v>
      </c>
      <c r="D38" s="222" t="s">
        <v>507</v>
      </c>
      <c r="E38" s="1" t="s">
        <v>11</v>
      </c>
    </row>
    <row r="39" spans="2:9">
      <c r="C39" s="222" t="s">
        <v>294</v>
      </c>
      <c r="D39" s="57" t="s">
        <v>508</v>
      </c>
      <c r="E39" s="1" t="s">
        <v>11</v>
      </c>
    </row>
    <row r="40" spans="2:9">
      <c r="C40" s="222" t="s">
        <v>293</v>
      </c>
      <c r="D40" s="57" t="s">
        <v>509</v>
      </c>
      <c r="E40" s="1" t="s">
        <v>11</v>
      </c>
    </row>
    <row r="41" spans="2:9">
      <c r="C41" s="222" t="s">
        <v>296</v>
      </c>
      <c r="D41" s="57" t="s">
        <v>510</v>
      </c>
      <c r="E41" s="1" t="s">
        <v>11</v>
      </c>
    </row>
    <row r="42" spans="2:9">
      <c r="C42" s="222" t="s">
        <v>295</v>
      </c>
      <c r="D42" s="57" t="s">
        <v>511</v>
      </c>
      <c r="E42" s="1" t="s">
        <v>11</v>
      </c>
    </row>
    <row r="43" spans="2:9">
      <c r="B43" s="460"/>
      <c r="C43" s="460" t="s">
        <v>299</v>
      </c>
      <c r="D43" s="221" t="s">
        <v>512</v>
      </c>
      <c r="E43" s="12" t="s">
        <v>11</v>
      </c>
      <c r="F43" s="460"/>
      <c r="G43" s="460"/>
      <c r="H43" s="460"/>
      <c r="I43" s="460"/>
    </row>
    <row r="44" spans="2:9">
      <c r="C44" s="514" t="s">
        <v>514</v>
      </c>
      <c r="D44" s="57" t="s">
        <v>64</v>
      </c>
      <c r="E44" s="57" t="s">
        <v>11</v>
      </c>
    </row>
    <row r="45" spans="2:9">
      <c r="C45" s="514" t="s">
        <v>515</v>
      </c>
      <c r="D45" s="57" t="s">
        <v>518</v>
      </c>
      <c r="E45" s="57" t="s">
        <v>11</v>
      </c>
    </row>
    <row r="46" spans="2:9" s="497" customFormat="1">
      <c r="B46" s="222"/>
      <c r="C46" s="514" t="s">
        <v>516</v>
      </c>
      <c r="D46" s="57" t="s">
        <v>519</v>
      </c>
      <c r="E46" s="57" t="s">
        <v>11</v>
      </c>
      <c r="F46" s="222"/>
      <c r="G46" s="222"/>
      <c r="H46" s="222"/>
      <c r="I46" s="222"/>
    </row>
    <row r="47" spans="2:9">
      <c r="B47" s="497"/>
      <c r="C47" s="514" t="s">
        <v>543</v>
      </c>
      <c r="D47" s="57" t="s">
        <v>544</v>
      </c>
      <c r="E47" s="57" t="s">
        <v>11</v>
      </c>
      <c r="F47" s="497"/>
      <c r="G47" s="497"/>
      <c r="H47" s="497"/>
      <c r="I47" s="497"/>
    </row>
    <row r="48" spans="2:9">
      <c r="B48" s="460"/>
      <c r="C48" s="519" t="s">
        <v>517</v>
      </c>
      <c r="D48" s="221" t="s">
        <v>520</v>
      </c>
      <c r="E48" s="12" t="s">
        <v>11</v>
      </c>
      <c r="F48" s="460"/>
      <c r="G48" s="460"/>
      <c r="H48" s="460"/>
      <c r="I48" s="460"/>
    </row>
    <row r="49" spans="2:9">
      <c r="B49" s="526"/>
      <c r="C49" s="523" t="s">
        <v>553</v>
      </c>
      <c r="D49" s="525" t="s">
        <v>546</v>
      </c>
      <c r="E49" s="523" t="s">
        <v>11</v>
      </c>
      <c r="F49" s="527"/>
      <c r="G49" s="528" t="s">
        <v>140</v>
      </c>
      <c r="H49" s="527"/>
      <c r="I49" s="527"/>
    </row>
    <row r="50" spans="2:9">
      <c r="B50" s="522"/>
      <c r="C50" s="523" t="s">
        <v>554</v>
      </c>
      <c r="D50" s="525" t="s">
        <v>547</v>
      </c>
      <c r="E50" s="523" t="s">
        <v>11</v>
      </c>
      <c r="F50" s="522"/>
      <c r="G50" s="528" t="s">
        <v>140</v>
      </c>
      <c r="H50" s="522"/>
      <c r="I50" s="522"/>
    </row>
    <row r="51" spans="2:9">
      <c r="B51" s="524"/>
      <c r="C51" s="523" t="s">
        <v>555</v>
      </c>
      <c r="D51" s="525" t="s">
        <v>548</v>
      </c>
      <c r="E51" s="523" t="s">
        <v>11</v>
      </c>
      <c r="F51" s="522"/>
      <c r="G51" s="528" t="s">
        <v>140</v>
      </c>
      <c r="H51" s="524"/>
      <c r="I51" s="524"/>
    </row>
    <row r="52" spans="2:9">
      <c r="B52" s="520"/>
      <c r="C52" s="521" t="s">
        <v>556</v>
      </c>
      <c r="D52" s="12" t="s">
        <v>549</v>
      </c>
      <c r="E52" s="521" t="s">
        <v>11</v>
      </c>
      <c r="F52" s="520"/>
      <c r="G52" s="504" t="s">
        <v>140</v>
      </c>
      <c r="H52" s="520"/>
      <c r="I52" s="520"/>
    </row>
    <row r="53" spans="2:9">
      <c r="B53" s="499" t="s">
        <v>532</v>
      </c>
      <c r="C53" s="499" t="s">
        <v>529</v>
      </c>
      <c r="D53" s="499" t="s">
        <v>534</v>
      </c>
      <c r="E53" s="499" t="s">
        <v>533</v>
      </c>
    </row>
    <row r="54" spans="2:9">
      <c r="B54" s="499"/>
      <c r="C54" s="499" t="s">
        <v>530</v>
      </c>
      <c r="D54" s="499" t="s">
        <v>535</v>
      </c>
      <c r="E54" s="499" t="s">
        <v>533</v>
      </c>
    </row>
    <row r="55" spans="2:9">
      <c r="B55" s="499"/>
      <c r="C55" s="499" t="s">
        <v>531</v>
      </c>
      <c r="D55" s="499" t="s">
        <v>536</v>
      </c>
      <c r="E55" s="499" t="s">
        <v>533</v>
      </c>
    </row>
    <row r="56" spans="2:9">
      <c r="B56" s="499"/>
      <c r="C56" s="499" t="s">
        <v>537</v>
      </c>
      <c r="D56" s="499" t="s">
        <v>538</v>
      </c>
      <c r="E56" s="499" t="s">
        <v>533</v>
      </c>
    </row>
    <row r="57" spans="2:9">
      <c r="B57" s="463"/>
      <c r="C57" s="499" t="s">
        <v>539</v>
      </c>
      <c r="D57" s="499" t="s">
        <v>540</v>
      </c>
      <c r="E57" s="463" t="s">
        <v>533</v>
      </c>
    </row>
    <row r="58" spans="2:9">
      <c r="B58" s="463"/>
      <c r="C58" s="499" t="s">
        <v>541</v>
      </c>
      <c r="D58" s="499" t="s">
        <v>542</v>
      </c>
      <c r="E58" s="463" t="s">
        <v>533</v>
      </c>
    </row>
    <row r="59" spans="2:9">
      <c r="B59" s="523"/>
      <c r="C59" s="523" t="s">
        <v>550</v>
      </c>
      <c r="D59" s="523" t="s">
        <v>551</v>
      </c>
      <c r="E59" s="523" t="s">
        <v>533</v>
      </c>
      <c r="F59" s="522"/>
      <c r="G59" s="522"/>
      <c r="H59" s="52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tabColor rgb="FFFF0000"/>
  </sheetPr>
  <dimension ref="A1:Z57"/>
  <sheetViews>
    <sheetView zoomScale="90" zoomScaleNormal="90" workbookViewId="0">
      <pane xSplit="1" topLeftCell="B1" activePane="topRight" state="frozen"/>
      <selection activeCell="D3" sqref="D3"/>
      <selection pane="topRight" activeCell="A3" sqref="A3"/>
    </sheetView>
  </sheetViews>
  <sheetFormatPr defaultRowHeight="14.25"/>
  <cols>
    <col min="1" max="1" width="20.3984375" customWidth="1"/>
    <col min="2" max="7" width="12" customWidth="1"/>
  </cols>
  <sheetData>
    <row r="1" spans="1:22">
      <c r="A1" s="168" t="s">
        <v>195</v>
      </c>
      <c r="B1" s="161" t="s">
        <v>196</v>
      </c>
      <c r="C1" s="161"/>
      <c r="D1" s="161"/>
      <c r="E1" s="161"/>
      <c r="F1" s="161"/>
      <c r="G1" s="161"/>
      <c r="H1" s="161"/>
      <c r="I1" s="161"/>
      <c r="J1" s="136" t="s">
        <v>197</v>
      </c>
      <c r="P1" s="553" t="s">
        <v>198</v>
      </c>
      <c r="Q1" s="553"/>
    </row>
    <row r="2" spans="1:22">
      <c r="H2" s="161"/>
      <c r="I2" s="161"/>
      <c r="J2" s="77" t="s">
        <v>199</v>
      </c>
      <c r="K2" s="80">
        <v>41.868000000000002</v>
      </c>
      <c r="L2" s="77" t="s">
        <v>200</v>
      </c>
      <c r="P2" s="169" t="s">
        <v>201</v>
      </c>
      <c r="Q2" s="170">
        <v>2010</v>
      </c>
    </row>
    <row r="3" spans="1:22" ht="14.65" thickBot="1">
      <c r="A3" s="171" t="s">
        <v>202</v>
      </c>
      <c r="B3" s="183"/>
      <c r="H3" s="161"/>
      <c r="I3" s="161"/>
      <c r="J3" s="77" t="s">
        <v>203</v>
      </c>
      <c r="K3" s="172">
        <v>4.1868000000000002E-2</v>
      </c>
      <c r="L3" s="77" t="s">
        <v>11</v>
      </c>
      <c r="P3" s="173">
        <v>36861</v>
      </c>
      <c r="Q3" s="174">
        <v>127.61664564943254</v>
      </c>
    </row>
    <row r="4" spans="1:22">
      <c r="A4" s="175" t="s">
        <v>204</v>
      </c>
      <c r="H4" s="161"/>
      <c r="I4" s="161"/>
      <c r="J4" s="56"/>
      <c r="K4" s="176"/>
      <c r="L4" s="56"/>
      <c r="P4" s="161" t="s">
        <v>205</v>
      </c>
      <c r="Q4" s="161"/>
    </row>
    <row r="5" spans="1:22" ht="14.65" thickBot="1">
      <c r="A5" s="177" t="s">
        <v>206</v>
      </c>
      <c r="H5" s="161"/>
      <c r="I5" s="178" t="s">
        <v>207</v>
      </c>
      <c r="J5" s="161"/>
    </row>
    <row r="6" spans="1:22" ht="14.65" thickBot="1">
      <c r="A6" s="179"/>
      <c r="B6" s="180" t="s">
        <v>58</v>
      </c>
      <c r="C6" s="180">
        <v>2010</v>
      </c>
      <c r="D6" s="180">
        <v>2015</v>
      </c>
      <c r="E6" s="180">
        <v>2020</v>
      </c>
      <c r="F6" s="180">
        <v>2025</v>
      </c>
      <c r="G6" s="180">
        <v>2030</v>
      </c>
      <c r="H6" s="161"/>
      <c r="I6" s="181" t="s">
        <v>58</v>
      </c>
      <c r="J6" s="181">
        <v>2010</v>
      </c>
      <c r="K6" s="181">
        <v>2015</v>
      </c>
      <c r="L6" s="181">
        <v>2020</v>
      </c>
      <c r="M6" s="181">
        <v>2025</v>
      </c>
      <c r="N6" s="181">
        <v>2030</v>
      </c>
      <c r="P6" s="177" t="s">
        <v>206</v>
      </c>
    </row>
    <row r="7" spans="1:22" ht="14.65" thickBot="1">
      <c r="A7" s="182" t="s">
        <v>208</v>
      </c>
      <c r="B7" s="183" t="s">
        <v>209</v>
      </c>
      <c r="C7" s="184">
        <v>9358</v>
      </c>
      <c r="D7" s="183">
        <v>0</v>
      </c>
      <c r="E7" s="184">
        <v>24163</v>
      </c>
      <c r="F7" s="184">
        <v>139233</v>
      </c>
      <c r="G7" s="184">
        <v>470124</v>
      </c>
      <c r="H7" s="161"/>
      <c r="I7" s="155" t="s">
        <v>11</v>
      </c>
      <c r="J7" s="137">
        <f>C7*$K$3/1000</f>
        <v>0.39180074400000003</v>
      </c>
      <c r="K7" s="137">
        <f t="shared" ref="K7:N7" si="0">D7*$K$3/1000</f>
        <v>0</v>
      </c>
      <c r="L7" s="137">
        <f t="shared" si="0"/>
        <v>1.0116564840000002</v>
      </c>
      <c r="M7" s="137">
        <f t="shared" si="0"/>
        <v>5.8294072440000004</v>
      </c>
      <c r="N7" s="137">
        <f t="shared" si="0"/>
        <v>19.683151632000001</v>
      </c>
      <c r="P7" s="185" t="s">
        <v>210</v>
      </c>
      <c r="Q7" s="186"/>
      <c r="R7" s="186"/>
      <c r="S7" s="186"/>
    </row>
    <row r="8" spans="1:22" ht="14.65" thickBot="1">
      <c r="A8" s="182" t="s">
        <v>208</v>
      </c>
      <c r="B8" s="183" t="s">
        <v>211</v>
      </c>
      <c r="C8" s="183">
        <v>288</v>
      </c>
      <c r="D8" s="183">
        <v>162</v>
      </c>
      <c r="E8" s="183">
        <v>126</v>
      </c>
      <c r="F8" s="183">
        <v>106</v>
      </c>
      <c r="G8" s="183">
        <v>98</v>
      </c>
      <c r="H8" s="161"/>
      <c r="I8" s="155" t="s">
        <v>92</v>
      </c>
      <c r="J8" s="137">
        <f>C8/$K$2</f>
        <v>6.8787618228718825</v>
      </c>
      <c r="K8" s="137">
        <f t="shared" ref="K8:N8" si="1">D8/$K$2</f>
        <v>3.8693035253654342</v>
      </c>
      <c r="L8" s="137">
        <f t="shared" si="1"/>
        <v>3.0094582975064488</v>
      </c>
      <c r="M8" s="137">
        <f t="shared" si="1"/>
        <v>2.5317665042514568</v>
      </c>
      <c r="N8" s="137">
        <f t="shared" si="1"/>
        <v>2.3406897869494601</v>
      </c>
      <c r="P8" s="187" t="s">
        <v>212</v>
      </c>
      <c r="Q8" s="186"/>
      <c r="R8" s="186"/>
      <c r="S8" s="186"/>
    </row>
    <row r="9" spans="1:22" ht="14.65" thickBot="1">
      <c r="A9" s="182" t="s">
        <v>213</v>
      </c>
      <c r="B9" s="183" t="s">
        <v>209</v>
      </c>
      <c r="C9" s="184">
        <v>28075</v>
      </c>
      <c r="D9" s="183">
        <v>0</v>
      </c>
      <c r="E9" s="184">
        <v>72490</v>
      </c>
      <c r="F9" s="184">
        <v>417699</v>
      </c>
      <c r="G9" s="184">
        <v>1410371</v>
      </c>
      <c r="H9" s="161"/>
      <c r="I9" s="155" t="s">
        <v>11</v>
      </c>
      <c r="J9" s="137">
        <f>C9*$K$3/1000</f>
        <v>1.1754441000000002</v>
      </c>
      <c r="K9" s="137">
        <f t="shared" ref="K9:N9" si="2">D9*$K$3/1000</f>
        <v>0</v>
      </c>
      <c r="L9" s="137">
        <f t="shared" si="2"/>
        <v>3.0350113200000002</v>
      </c>
      <c r="M9" s="137">
        <f t="shared" si="2"/>
        <v>17.488221732000003</v>
      </c>
      <c r="N9" s="137">
        <f t="shared" si="2"/>
        <v>59.049413028000004</v>
      </c>
      <c r="P9" s="185" t="s">
        <v>214</v>
      </c>
      <c r="Q9" s="186"/>
      <c r="R9" s="186"/>
      <c r="S9" s="186"/>
    </row>
    <row r="10" spans="1:22" ht="14.65" thickBot="1">
      <c r="A10" s="182" t="s">
        <v>213</v>
      </c>
      <c r="B10" s="183" t="s">
        <v>211</v>
      </c>
      <c r="C10" s="183">
        <v>590</v>
      </c>
      <c r="D10" s="183">
        <v>385</v>
      </c>
      <c r="E10" s="183">
        <v>300</v>
      </c>
      <c r="F10" s="183">
        <v>251</v>
      </c>
      <c r="G10" s="183">
        <v>232</v>
      </c>
      <c r="H10" s="161"/>
      <c r="I10" s="155" t="s">
        <v>92</v>
      </c>
      <c r="J10" s="137">
        <f>C10/$K$2</f>
        <v>14.09190790102226</v>
      </c>
      <c r="K10" s="137">
        <f t="shared" ref="K10:N10" si="3">D10/$K$2</f>
        <v>9.1955670201585935</v>
      </c>
      <c r="L10" s="137">
        <f t="shared" si="3"/>
        <v>7.1653768988248778</v>
      </c>
      <c r="M10" s="137">
        <f t="shared" si="3"/>
        <v>5.995032005350148</v>
      </c>
      <c r="N10" s="137">
        <f t="shared" si="3"/>
        <v>5.5412248017579051</v>
      </c>
      <c r="P10" s="187" t="s">
        <v>215</v>
      </c>
      <c r="Q10" s="186"/>
      <c r="R10" s="186"/>
      <c r="S10" s="186"/>
    </row>
    <row r="11" spans="1:22" ht="14.65" thickBot="1">
      <c r="A11" s="182" t="s">
        <v>193</v>
      </c>
      <c r="B11" s="183" t="s">
        <v>209</v>
      </c>
      <c r="C11" s="184">
        <v>535616</v>
      </c>
      <c r="D11" s="184">
        <v>310101</v>
      </c>
      <c r="E11" s="184">
        <v>6531</v>
      </c>
      <c r="F11" s="184">
        <v>43493</v>
      </c>
      <c r="G11" s="184">
        <v>130927</v>
      </c>
      <c r="H11" s="161"/>
      <c r="I11" s="155" t="s">
        <v>11</v>
      </c>
      <c r="J11" s="137">
        <f>C11*$K$3/1000</f>
        <v>22.425170688000001</v>
      </c>
      <c r="K11" s="137">
        <f t="shared" ref="K11:N11" si="4">D11*$K$3/1000</f>
        <v>12.983308668000001</v>
      </c>
      <c r="L11" s="137">
        <f t="shared" si="4"/>
        <v>0.27343990800000001</v>
      </c>
      <c r="M11" s="137">
        <f t="shared" si="4"/>
        <v>1.8209649240000001</v>
      </c>
      <c r="N11" s="137">
        <f t="shared" si="4"/>
        <v>5.4816516360000005</v>
      </c>
    </row>
    <row r="12" spans="1:22" ht="14.65" thickBot="1">
      <c r="A12" s="182" t="s">
        <v>193</v>
      </c>
      <c r="B12" s="183" t="s">
        <v>211</v>
      </c>
      <c r="C12" s="183">
        <v>779</v>
      </c>
      <c r="D12" s="183">
        <v>740</v>
      </c>
      <c r="E12" s="183">
        <v>693</v>
      </c>
      <c r="F12" s="183">
        <v>630</v>
      </c>
      <c r="G12" s="183">
        <v>577</v>
      </c>
      <c r="H12" s="161"/>
      <c r="I12" s="155" t="s">
        <v>92</v>
      </c>
      <c r="J12" s="137">
        <f>C12/$K$2</f>
        <v>18.606095347281933</v>
      </c>
      <c r="K12" s="137">
        <f t="shared" ref="K12:N12" si="5">D12/$K$2</f>
        <v>17.674596350434697</v>
      </c>
      <c r="L12" s="137">
        <f t="shared" si="5"/>
        <v>16.552020636285469</v>
      </c>
      <c r="M12" s="137">
        <f t="shared" si="5"/>
        <v>15.047291487532243</v>
      </c>
      <c r="N12" s="137">
        <f t="shared" si="5"/>
        <v>13.781408235406515</v>
      </c>
    </row>
    <row r="13" spans="1:22" ht="14.65" thickBot="1">
      <c r="A13" s="182" t="s">
        <v>194</v>
      </c>
      <c r="B13" s="183" t="s">
        <v>209</v>
      </c>
      <c r="C13" s="184">
        <v>106129</v>
      </c>
      <c r="D13" s="183">
        <v>75725</v>
      </c>
      <c r="E13" s="183">
        <v>0</v>
      </c>
      <c r="F13" s="183">
        <v>0</v>
      </c>
      <c r="G13" s="183">
        <v>0</v>
      </c>
      <c r="H13" s="161"/>
      <c r="I13" s="155" t="s">
        <v>11</v>
      </c>
      <c r="J13" s="137">
        <f>C13*$K$3/1000</f>
        <v>4.4434089720000003</v>
      </c>
      <c r="K13" s="137">
        <f>D13*$K$3/1000</f>
        <v>3.1704543000000003</v>
      </c>
      <c r="L13" s="137">
        <f t="shared" ref="L13:N13" si="6">E13*$K$3/1000</f>
        <v>0</v>
      </c>
      <c r="M13" s="137">
        <f t="shared" si="6"/>
        <v>0</v>
      </c>
      <c r="N13" s="137">
        <f t="shared" si="6"/>
        <v>0</v>
      </c>
    </row>
    <row r="14" spans="1:22" ht="14.65" thickBot="1">
      <c r="A14" s="182" t="s">
        <v>194</v>
      </c>
      <c r="B14" s="183" t="s">
        <v>211</v>
      </c>
      <c r="C14" s="184">
        <v>1209</v>
      </c>
      <c r="D14" s="184">
        <v>1276</v>
      </c>
      <c r="E14" s="184">
        <v>1312</v>
      </c>
      <c r="F14" s="184">
        <v>1218</v>
      </c>
      <c r="G14" s="184">
        <v>1156</v>
      </c>
      <c r="H14" s="161"/>
      <c r="I14" s="155" t="s">
        <v>92</v>
      </c>
      <c r="J14" s="137">
        <f>C14/$K$2</f>
        <v>28.876468902264257</v>
      </c>
      <c r="K14" s="137">
        <f t="shared" ref="K14:N14" si="7">D14/$K$2</f>
        <v>30.476736409668479</v>
      </c>
      <c r="L14" s="137">
        <f t="shared" si="7"/>
        <v>31.336581637527466</v>
      </c>
      <c r="M14" s="137">
        <f t="shared" si="7"/>
        <v>29.091430209229003</v>
      </c>
      <c r="N14" s="137">
        <f t="shared" si="7"/>
        <v>27.610585650138528</v>
      </c>
    </row>
    <row r="15" spans="1:22">
      <c r="A15" s="188"/>
      <c r="H15" s="161"/>
      <c r="I15" s="161"/>
      <c r="J15" s="161"/>
    </row>
    <row r="16" spans="1:22" ht="14.65" thickBot="1">
      <c r="A16" s="189" t="s">
        <v>210</v>
      </c>
      <c r="B16" s="82"/>
      <c r="C16" s="82"/>
      <c r="D16" s="82"/>
      <c r="E16" s="82"/>
      <c r="F16" s="82"/>
      <c r="G16" s="82"/>
      <c r="H16" s="161"/>
      <c r="I16" s="178" t="s">
        <v>207</v>
      </c>
      <c r="J16" s="161"/>
      <c r="P16" t="s">
        <v>216</v>
      </c>
      <c r="V16" s="178" t="s">
        <v>217</v>
      </c>
    </row>
    <row r="17" spans="1:26" ht="14.65" thickBot="1">
      <c r="A17" s="179"/>
      <c r="B17" s="180" t="s">
        <v>58</v>
      </c>
      <c r="C17" s="180">
        <v>2010</v>
      </c>
      <c r="D17" s="180">
        <v>2015</v>
      </c>
      <c r="E17" s="180">
        <v>2020</v>
      </c>
      <c r="F17" s="180">
        <v>2025</v>
      </c>
      <c r="G17" s="180">
        <v>2030</v>
      </c>
      <c r="H17" s="161"/>
      <c r="I17" s="181" t="s">
        <v>58</v>
      </c>
      <c r="J17" s="181">
        <v>2010</v>
      </c>
      <c r="K17" s="181">
        <v>2015</v>
      </c>
      <c r="L17" s="181">
        <v>2020</v>
      </c>
      <c r="M17" s="181">
        <v>2025</v>
      </c>
      <c r="N17" s="181">
        <v>2030</v>
      </c>
      <c r="P17" s="190">
        <v>2010</v>
      </c>
      <c r="Q17" s="190">
        <v>2015</v>
      </c>
      <c r="R17" s="190">
        <v>2020</v>
      </c>
      <c r="S17" s="190">
        <v>2025</v>
      </c>
      <c r="T17" s="190">
        <v>2030</v>
      </c>
      <c r="V17" s="190">
        <v>2010</v>
      </c>
      <c r="W17" s="190">
        <v>2015</v>
      </c>
      <c r="X17" s="190">
        <v>2020</v>
      </c>
      <c r="Y17" s="190">
        <v>2025</v>
      </c>
      <c r="Z17" s="190">
        <v>2030</v>
      </c>
    </row>
    <row r="18" spans="1:26" ht="14.65" thickBot="1">
      <c r="A18" s="182" t="s">
        <v>208</v>
      </c>
      <c r="B18" s="183" t="s">
        <v>209</v>
      </c>
      <c r="C18" s="184">
        <v>7640</v>
      </c>
      <c r="D18" s="184">
        <v>7551</v>
      </c>
      <c r="E18" s="184">
        <v>141276</v>
      </c>
      <c r="F18" s="184">
        <v>452161</v>
      </c>
      <c r="G18" s="184">
        <v>1150679</v>
      </c>
      <c r="H18" s="161"/>
      <c r="I18" s="155" t="s">
        <v>11</v>
      </c>
      <c r="J18" s="137">
        <f>C18*$K$3/1000</f>
        <v>0.31987152000000002</v>
      </c>
      <c r="K18" s="137">
        <f t="shared" ref="K18:N18" si="8">D18*$K$3/1000</f>
        <v>0.31614526800000003</v>
      </c>
      <c r="L18" s="137">
        <f t="shared" si="8"/>
        <v>5.9149435680000009</v>
      </c>
      <c r="M18" s="137">
        <f t="shared" si="8"/>
        <v>18.931076747999999</v>
      </c>
      <c r="N18" s="137">
        <f t="shared" si="8"/>
        <v>48.176628371999996</v>
      </c>
      <c r="O18" s="161"/>
      <c r="P18" s="191"/>
    </row>
    <row r="19" spans="1:26" ht="14.65" thickBot="1">
      <c r="A19" s="182" t="s">
        <v>208</v>
      </c>
      <c r="B19" s="183" t="s">
        <v>211</v>
      </c>
      <c r="C19" s="183">
        <v>288</v>
      </c>
      <c r="D19" s="183">
        <v>218</v>
      </c>
      <c r="E19" s="183">
        <v>174</v>
      </c>
      <c r="F19" s="183">
        <v>149</v>
      </c>
      <c r="G19" s="183">
        <v>142</v>
      </c>
      <c r="H19" s="161"/>
      <c r="I19" s="155" t="s">
        <v>92</v>
      </c>
      <c r="J19" s="137">
        <f>C19/$K$2</f>
        <v>6.8787618228718825</v>
      </c>
      <c r="K19" s="137">
        <f t="shared" ref="K19:N19" si="9">D19/$K$2</f>
        <v>5.2068405464794116</v>
      </c>
      <c r="L19" s="137">
        <f t="shared" si="9"/>
        <v>4.1559186013184295</v>
      </c>
      <c r="M19" s="137">
        <f t="shared" si="9"/>
        <v>3.5588038597496894</v>
      </c>
      <c r="N19" s="137">
        <f t="shared" si="9"/>
        <v>3.3916117321104422</v>
      </c>
      <c r="P19" s="192">
        <f>J19/$J19</f>
        <v>1</v>
      </c>
      <c r="Q19" s="192">
        <f>K19/$J19</f>
        <v>0.75694444444444453</v>
      </c>
      <c r="R19" s="192">
        <f t="shared" ref="R19:T19" si="10">L19/$J19</f>
        <v>0.60416666666666674</v>
      </c>
      <c r="S19" s="192">
        <f t="shared" si="10"/>
        <v>0.51736111111111116</v>
      </c>
      <c r="T19" s="192">
        <f t="shared" si="10"/>
        <v>0.49305555555555558</v>
      </c>
      <c r="V19" s="193">
        <f>J19*100/$Q$3</f>
        <v>5.3901760133768803</v>
      </c>
      <c r="W19" s="193">
        <f t="shared" ref="W19:Z19" si="11">K19*100/$Q$3</f>
        <v>4.0800637879033328</v>
      </c>
      <c r="X19" s="193">
        <f t="shared" si="11"/>
        <v>3.2565646747485322</v>
      </c>
      <c r="Y19" s="193">
        <f t="shared" si="11"/>
        <v>2.788667451365122</v>
      </c>
      <c r="Z19" s="193">
        <f t="shared" si="11"/>
        <v>2.6576562288177672</v>
      </c>
    </row>
    <row r="20" spans="1:26" ht="14.65" thickBot="1">
      <c r="A20" s="182" t="s">
        <v>213</v>
      </c>
      <c r="B20" s="183" t="s">
        <v>209</v>
      </c>
      <c r="C20" s="184">
        <v>22921</v>
      </c>
      <c r="D20" s="184">
        <v>22653</v>
      </c>
      <c r="E20" s="184">
        <v>423827</v>
      </c>
      <c r="F20" s="184">
        <v>1356482</v>
      </c>
      <c r="G20" s="184">
        <v>3452038</v>
      </c>
      <c r="H20" s="161"/>
      <c r="I20" s="155" t="s">
        <v>11</v>
      </c>
      <c r="J20" s="137">
        <f>C20*$K$3/1000</f>
        <v>0.95965642799999995</v>
      </c>
      <c r="K20" s="137">
        <f t="shared" ref="K20:N20" si="12">D20*$K$3/1000</f>
        <v>0.94843580400000005</v>
      </c>
      <c r="L20" s="137">
        <f t="shared" si="12"/>
        <v>17.744788836000001</v>
      </c>
      <c r="M20" s="137">
        <f t="shared" si="12"/>
        <v>56.793188376000003</v>
      </c>
      <c r="N20" s="137">
        <f t="shared" si="12"/>
        <v>144.52992698400001</v>
      </c>
    </row>
    <row r="21" spans="1:26" ht="14.65" thickBot="1">
      <c r="A21" s="182" t="s">
        <v>213</v>
      </c>
      <c r="B21" s="183" t="s">
        <v>211</v>
      </c>
      <c r="C21" s="183">
        <v>590</v>
      </c>
      <c r="D21" s="183">
        <v>446</v>
      </c>
      <c r="E21" s="183">
        <v>356</v>
      </c>
      <c r="F21" s="183">
        <v>305</v>
      </c>
      <c r="G21" s="183">
        <v>291</v>
      </c>
      <c r="H21" s="161"/>
      <c r="I21" s="155" t="s">
        <v>92</v>
      </c>
      <c r="J21" s="137">
        <f>C21/$K$2</f>
        <v>14.09190790102226</v>
      </c>
      <c r="K21" s="137">
        <f t="shared" ref="K21:N21" si="13">D21/$K$2</f>
        <v>10.652526989586319</v>
      </c>
      <c r="L21" s="137">
        <f t="shared" si="13"/>
        <v>8.5029139199388553</v>
      </c>
      <c r="M21" s="137">
        <f t="shared" si="13"/>
        <v>7.2847998471386255</v>
      </c>
      <c r="N21" s="137">
        <f t="shared" si="13"/>
        <v>6.9504155918601311</v>
      </c>
      <c r="P21" s="192">
        <f>J21/$J21</f>
        <v>1</v>
      </c>
      <c r="Q21" s="192">
        <f t="shared" ref="Q21:T21" si="14">K21/$J21</f>
        <v>0.75593220338983047</v>
      </c>
      <c r="R21" s="192">
        <f t="shared" si="14"/>
        <v>0.60338983050847461</v>
      </c>
      <c r="S21" s="192">
        <f t="shared" si="14"/>
        <v>0.51694915254237284</v>
      </c>
      <c r="T21" s="192">
        <f t="shared" si="14"/>
        <v>0.49322033898305079</v>
      </c>
      <c r="V21" s="193">
        <f>J21*100/$Q$3</f>
        <v>11.04237447184847</v>
      </c>
      <c r="W21" s="193">
        <f t="shared" ref="W21:Z21" si="15">K21*100/$Q$3</f>
        <v>8.3472864651600283</v>
      </c>
      <c r="X21" s="193">
        <f t="shared" si="15"/>
        <v>6.6628564609797554</v>
      </c>
      <c r="Y21" s="193">
        <f t="shared" si="15"/>
        <v>5.7083461252775987</v>
      </c>
      <c r="Z21" s="193">
        <f t="shared" si="15"/>
        <v>5.4463236801828891</v>
      </c>
    </row>
    <row r="22" spans="1:26" ht="14.65" thickBot="1">
      <c r="A22" s="182" t="s">
        <v>193</v>
      </c>
      <c r="B22" s="183" t="s">
        <v>209</v>
      </c>
      <c r="C22" s="184">
        <v>781304</v>
      </c>
      <c r="D22" s="184">
        <v>791507</v>
      </c>
      <c r="E22" s="184">
        <v>441100</v>
      </c>
      <c r="F22" s="184">
        <v>807242</v>
      </c>
      <c r="G22" s="184">
        <v>1351788</v>
      </c>
      <c r="H22" s="161"/>
      <c r="I22" s="155" t="s">
        <v>11</v>
      </c>
      <c r="J22" s="137">
        <f>C22*$K$3/1000</f>
        <v>32.711635872000002</v>
      </c>
      <c r="K22" s="137">
        <f t="shared" ref="K22:N22" si="16">D22*$K$3/1000</f>
        <v>33.138815076</v>
      </c>
      <c r="L22" s="137">
        <f t="shared" si="16"/>
        <v>18.4679748</v>
      </c>
      <c r="M22" s="137">
        <f t="shared" si="16"/>
        <v>33.797608056000001</v>
      </c>
      <c r="N22" s="137">
        <f t="shared" si="16"/>
        <v>56.596659984000006</v>
      </c>
      <c r="P22" s="191"/>
    </row>
    <row r="23" spans="1:26" ht="14.65" thickBot="1">
      <c r="A23" s="182" t="s">
        <v>193</v>
      </c>
      <c r="B23" s="183" t="s">
        <v>211</v>
      </c>
      <c r="C23" s="183">
        <v>779</v>
      </c>
      <c r="D23" s="183">
        <v>761</v>
      </c>
      <c r="E23" s="183">
        <v>736</v>
      </c>
      <c r="F23" s="183">
        <v>695</v>
      </c>
      <c r="G23" s="183">
        <v>665</v>
      </c>
      <c r="H23" s="161"/>
      <c r="I23" s="155" t="s">
        <v>92</v>
      </c>
      <c r="J23" s="137">
        <f>C23/$K$2</f>
        <v>18.606095347281933</v>
      </c>
      <c r="K23" s="137">
        <f t="shared" ref="K23:N23" si="17">D23/$K$2</f>
        <v>18.176172733352441</v>
      </c>
      <c r="L23" s="137">
        <f t="shared" si="17"/>
        <v>17.579057991783699</v>
      </c>
      <c r="M23" s="137">
        <f t="shared" si="17"/>
        <v>16.599789815610968</v>
      </c>
      <c r="N23" s="137">
        <f t="shared" si="17"/>
        <v>15.883252125728479</v>
      </c>
      <c r="P23" s="192">
        <f>J23/$J23</f>
        <v>1</v>
      </c>
      <c r="Q23" s="192">
        <f t="shared" ref="Q23:T23" si="18">K23/$J23</f>
        <v>0.97689345314505782</v>
      </c>
      <c r="R23" s="192">
        <f t="shared" si="18"/>
        <v>0.9448010269576379</v>
      </c>
      <c r="S23" s="192">
        <f t="shared" si="18"/>
        <v>0.89216944801026965</v>
      </c>
      <c r="T23" s="192">
        <f t="shared" si="18"/>
        <v>0.85365853658536583</v>
      </c>
      <c r="V23" s="193">
        <f>J23*100/$Q$3</f>
        <v>14.579677480627048</v>
      </c>
      <c r="W23" s="193">
        <f t="shared" ref="W23:Z23" si="19">K23*100/$Q$3</f>
        <v>14.242791479790993</v>
      </c>
      <c r="X23" s="193">
        <f t="shared" si="19"/>
        <v>13.774894256407583</v>
      </c>
      <c r="Y23" s="193">
        <f t="shared" si="19"/>
        <v>13.007542810058791</v>
      </c>
      <c r="Z23" s="193">
        <f t="shared" si="19"/>
        <v>12.446066141998699</v>
      </c>
    </row>
    <row r="24" spans="1:26" ht="14.65" thickBot="1">
      <c r="A24" s="182" t="s">
        <v>194</v>
      </c>
      <c r="B24" s="183" t="s">
        <v>209</v>
      </c>
      <c r="C24" s="184">
        <v>101544</v>
      </c>
      <c r="D24" s="184">
        <v>112421</v>
      </c>
      <c r="E24" s="183">
        <v>0</v>
      </c>
      <c r="F24" s="183">
        <v>0</v>
      </c>
      <c r="G24" s="184">
        <v>92339</v>
      </c>
      <c r="H24" s="161"/>
      <c r="I24" s="155" t="s">
        <v>11</v>
      </c>
      <c r="J24" s="137">
        <f>C24*$K$3/1000</f>
        <v>4.2514441920000001</v>
      </c>
      <c r="K24" s="137">
        <f t="shared" ref="K24:N24" si="20">D24*$K$3/1000</f>
        <v>4.7068424279999999</v>
      </c>
      <c r="L24" s="137">
        <f t="shared" si="20"/>
        <v>0</v>
      </c>
      <c r="M24" s="137">
        <f t="shared" si="20"/>
        <v>0</v>
      </c>
      <c r="N24" s="137">
        <f t="shared" si="20"/>
        <v>3.8660492520000003</v>
      </c>
    </row>
    <row r="25" spans="1:26" ht="14.65" thickBot="1">
      <c r="A25" s="182" t="s">
        <v>194</v>
      </c>
      <c r="B25" s="183" t="s">
        <v>211</v>
      </c>
      <c r="C25" s="184">
        <v>1209</v>
      </c>
      <c r="D25" s="184">
        <v>1313</v>
      </c>
      <c r="E25" s="184">
        <v>1389</v>
      </c>
      <c r="F25" s="184">
        <v>1334</v>
      </c>
      <c r="G25" s="184">
        <v>1312</v>
      </c>
      <c r="H25" s="161"/>
      <c r="I25" s="155" t="s">
        <v>92</v>
      </c>
      <c r="J25" s="137">
        <f>C25/$K$2</f>
        <v>28.876468902264257</v>
      </c>
      <c r="K25" s="137">
        <f t="shared" ref="K25:N25" si="21">D25/$K$2</f>
        <v>31.360466227190216</v>
      </c>
      <c r="L25" s="137">
        <f t="shared" si="21"/>
        <v>33.175695041559187</v>
      </c>
      <c r="M25" s="137">
        <f t="shared" si="21"/>
        <v>31.862042610107956</v>
      </c>
      <c r="N25" s="137">
        <f t="shared" si="21"/>
        <v>31.336581637527466</v>
      </c>
      <c r="P25" s="192">
        <f>J25/$J25</f>
        <v>1</v>
      </c>
      <c r="Q25" s="192">
        <f t="shared" ref="Q25:T25" si="22">K25/$J25</f>
        <v>1.086021505376344</v>
      </c>
      <c r="R25" s="192">
        <f t="shared" si="22"/>
        <v>1.1488833746898264</v>
      </c>
      <c r="S25" s="192">
        <f t="shared" si="22"/>
        <v>1.1033912324234905</v>
      </c>
      <c r="T25" s="192">
        <f t="shared" si="22"/>
        <v>1.0851943755169562</v>
      </c>
      <c r="V25" s="193">
        <f>J25*100/$Q$3</f>
        <v>22.627509722821692</v>
      </c>
      <c r="W25" s="193">
        <f t="shared" ref="W25:Z25" si="23">K25*100/$Q$3</f>
        <v>24.573962172096682</v>
      </c>
      <c r="X25" s="193">
        <f t="shared" si="23"/>
        <v>25.996369731182249</v>
      </c>
      <c r="Y25" s="193">
        <f t="shared" si="23"/>
        <v>24.966995839738743</v>
      </c>
      <c r="Z25" s="193">
        <f t="shared" si="23"/>
        <v>24.555246283161342</v>
      </c>
    </row>
    <row r="26" spans="1:26" ht="14.65" thickBot="1">
      <c r="A26" s="177" t="s">
        <v>212</v>
      </c>
      <c r="H26" s="161"/>
      <c r="I26" s="178" t="s">
        <v>207</v>
      </c>
      <c r="J26" s="167"/>
      <c r="K26" s="155"/>
      <c r="L26" s="155"/>
      <c r="M26" s="155"/>
      <c r="N26" s="155"/>
      <c r="P26" t="s">
        <v>216</v>
      </c>
    </row>
    <row r="27" spans="1:26" ht="14.65" thickBot="1">
      <c r="A27" s="194"/>
      <c r="B27" s="180" t="s">
        <v>58</v>
      </c>
      <c r="C27" s="180">
        <v>2010</v>
      </c>
      <c r="D27" s="180">
        <v>2015</v>
      </c>
      <c r="E27" s="180">
        <v>2020</v>
      </c>
      <c r="F27" s="180">
        <v>2025</v>
      </c>
      <c r="G27" s="180">
        <v>2030</v>
      </c>
      <c r="H27" s="161"/>
      <c r="I27" s="181" t="s">
        <v>58</v>
      </c>
      <c r="J27" s="181">
        <v>2010</v>
      </c>
      <c r="K27" s="181">
        <v>2015</v>
      </c>
      <c r="L27" s="181">
        <v>2020</v>
      </c>
      <c r="M27" s="181">
        <v>2025</v>
      </c>
      <c r="N27" s="181">
        <v>2030</v>
      </c>
      <c r="P27" s="190">
        <v>2010</v>
      </c>
      <c r="Q27" s="190">
        <v>2015</v>
      </c>
      <c r="R27" s="190">
        <v>2020</v>
      </c>
      <c r="S27" s="190">
        <v>2025</v>
      </c>
      <c r="T27" s="190">
        <v>2030</v>
      </c>
      <c r="V27" s="190">
        <v>2010</v>
      </c>
      <c r="W27" s="190">
        <v>2015</v>
      </c>
      <c r="X27" s="190">
        <v>2020</v>
      </c>
      <c r="Y27" s="190">
        <v>2025</v>
      </c>
      <c r="Z27" s="190">
        <v>2030</v>
      </c>
    </row>
    <row r="28" spans="1:26" ht="14.65" thickBot="1">
      <c r="A28" s="182" t="s">
        <v>208</v>
      </c>
      <c r="B28" s="183" t="s">
        <v>209</v>
      </c>
      <c r="C28" s="184">
        <v>6382</v>
      </c>
      <c r="D28" s="184">
        <v>29323</v>
      </c>
      <c r="E28" s="184">
        <v>214410</v>
      </c>
      <c r="F28" s="184">
        <v>666226</v>
      </c>
      <c r="G28" s="184">
        <v>1885232</v>
      </c>
      <c r="H28" s="161"/>
      <c r="I28" s="155" t="s">
        <v>11</v>
      </c>
      <c r="J28" s="137">
        <f>C28*$K$3/1000</f>
        <v>0.267201576</v>
      </c>
      <c r="K28" s="137">
        <f t="shared" ref="K28:N28" si="24">D28*$K$3/1000</f>
        <v>1.2276953640000001</v>
      </c>
      <c r="L28" s="137">
        <f t="shared" si="24"/>
        <v>8.9769178800000002</v>
      </c>
      <c r="M28" s="137">
        <f t="shared" si="24"/>
        <v>27.893550168000001</v>
      </c>
      <c r="N28" s="137">
        <f t="shared" si="24"/>
        <v>78.930893376</v>
      </c>
      <c r="P28" s="191"/>
    </row>
    <row r="29" spans="1:26" ht="14.65" thickBot="1">
      <c r="A29" s="182" t="s">
        <v>208</v>
      </c>
      <c r="B29" s="183" t="s">
        <v>211</v>
      </c>
      <c r="C29" s="183">
        <v>288</v>
      </c>
      <c r="D29" s="183">
        <v>257</v>
      </c>
      <c r="E29" s="183">
        <v>211</v>
      </c>
      <c r="F29" s="183">
        <v>187</v>
      </c>
      <c r="G29" s="183">
        <v>183</v>
      </c>
      <c r="H29" s="161"/>
      <c r="I29" s="155" t="s">
        <v>92</v>
      </c>
      <c r="J29" s="137">
        <f>C29/$K$2</f>
        <v>6.8787618228718825</v>
      </c>
      <c r="K29" s="137">
        <f t="shared" ref="K29:N29" si="25">D29/$K$2</f>
        <v>6.1383395433266452</v>
      </c>
      <c r="L29" s="137">
        <f t="shared" si="25"/>
        <v>5.039648418840164</v>
      </c>
      <c r="M29" s="137">
        <f t="shared" si="25"/>
        <v>4.4664182669341734</v>
      </c>
      <c r="N29" s="137">
        <f t="shared" si="25"/>
        <v>4.3708799082831753</v>
      </c>
      <c r="P29" s="192">
        <f>J29/$J29</f>
        <v>1</v>
      </c>
      <c r="Q29" s="192">
        <f t="shared" ref="Q29:T29" si="26">K29/$J29</f>
        <v>0.89236111111111116</v>
      </c>
      <c r="R29" s="192">
        <f t="shared" si="26"/>
        <v>0.73263888888888895</v>
      </c>
      <c r="S29" s="192">
        <f t="shared" si="26"/>
        <v>0.64930555555555547</v>
      </c>
      <c r="T29" s="192">
        <f t="shared" si="26"/>
        <v>0.63541666666666663</v>
      </c>
      <c r="V29" s="193">
        <f>J29*100/$Q$3</f>
        <v>5.3901760133768803</v>
      </c>
      <c r="W29" s="193">
        <f t="shared" ref="W29:Z29" si="27">K29*100/$Q$3</f>
        <v>4.8099834563814525</v>
      </c>
      <c r="X29" s="193">
        <f t="shared" si="27"/>
        <v>3.949052565355978</v>
      </c>
      <c r="Y29" s="193">
        <f t="shared" si="27"/>
        <v>3.4998712309079045</v>
      </c>
      <c r="Z29" s="193">
        <f t="shared" si="27"/>
        <v>3.425007675166559</v>
      </c>
    </row>
    <row r="30" spans="1:26" ht="14.65" thickBot="1">
      <c r="A30" s="182" t="s">
        <v>213</v>
      </c>
      <c r="B30" s="183" t="s">
        <v>209</v>
      </c>
      <c r="C30" s="183" t="s">
        <v>218</v>
      </c>
      <c r="D30" s="184">
        <v>87968</v>
      </c>
      <c r="E30" s="184">
        <v>643231</v>
      </c>
      <c r="F30" s="184">
        <v>1998677</v>
      </c>
      <c r="G30" s="184">
        <v>5655695</v>
      </c>
      <c r="H30" s="161"/>
      <c r="I30" s="155" t="s">
        <v>11</v>
      </c>
      <c r="J30" s="137" t="e">
        <f>C30*$K$3/1000</f>
        <v>#VALUE!</v>
      </c>
      <c r="K30" s="137">
        <f t="shared" ref="K30:N30" si="28">D30*$K$3/1000</f>
        <v>3.6830442240000001</v>
      </c>
      <c r="L30" s="137">
        <f t="shared" si="28"/>
        <v>26.930795508000003</v>
      </c>
      <c r="M30" s="137">
        <f t="shared" si="28"/>
        <v>83.680608636000002</v>
      </c>
      <c r="N30" s="137">
        <f t="shared" si="28"/>
        <v>236.79263826000002</v>
      </c>
    </row>
    <row r="31" spans="1:26" ht="14.65" thickBot="1">
      <c r="A31" s="182" t="s">
        <v>213</v>
      </c>
      <c r="B31" s="183" t="s">
        <v>211</v>
      </c>
      <c r="C31" s="183">
        <v>590</v>
      </c>
      <c r="D31" s="183">
        <v>514</v>
      </c>
      <c r="E31" s="183">
        <v>423</v>
      </c>
      <c r="F31" s="183">
        <v>374</v>
      </c>
      <c r="G31" s="183">
        <v>367</v>
      </c>
      <c r="H31" s="161"/>
      <c r="I31" s="155" t="s">
        <v>92</v>
      </c>
      <c r="J31" s="137">
        <f>C31/$K$2</f>
        <v>14.09190790102226</v>
      </c>
      <c r="K31" s="137">
        <f t="shared" ref="K31:N31" si="29">D31/$K$2</f>
        <v>12.27667908665329</v>
      </c>
      <c r="L31" s="137">
        <f t="shared" si="29"/>
        <v>10.103181427343078</v>
      </c>
      <c r="M31" s="137">
        <f t="shared" si="29"/>
        <v>8.9328365338683469</v>
      </c>
      <c r="N31" s="137">
        <f t="shared" si="29"/>
        <v>8.7656444062291001</v>
      </c>
      <c r="P31" s="192">
        <f>J31/$J31</f>
        <v>1</v>
      </c>
      <c r="Q31" s="192">
        <f t="shared" ref="Q31:T31" si="30">K31/$J31</f>
        <v>0.87118644067796602</v>
      </c>
      <c r="R31" s="192">
        <f t="shared" si="30"/>
        <v>0.71694915254237279</v>
      </c>
      <c r="S31" s="192">
        <f t="shared" si="30"/>
        <v>0.63389830508474565</v>
      </c>
      <c r="T31" s="192">
        <f t="shared" si="30"/>
        <v>0.62203389830508471</v>
      </c>
      <c r="V31" s="193">
        <f>J31*100/$Q$3</f>
        <v>11.04237447184847</v>
      </c>
      <c r="W31" s="193">
        <f t="shared" ref="W31:Z31" si="31">K31*100/$Q$3</f>
        <v>9.6199669127629051</v>
      </c>
      <c r="X31" s="193">
        <f t="shared" si="31"/>
        <v>7.9168210196472932</v>
      </c>
      <c r="Y31" s="193">
        <f t="shared" si="31"/>
        <v>6.9997424618158091</v>
      </c>
      <c r="Z31" s="193">
        <f t="shared" si="31"/>
        <v>6.8687312392684552</v>
      </c>
    </row>
    <row r="32" spans="1:26" ht="14.65" thickBot="1">
      <c r="A32" s="182" t="s">
        <v>193</v>
      </c>
      <c r="B32" s="183" t="s">
        <v>209</v>
      </c>
      <c r="C32" s="184">
        <v>779549</v>
      </c>
      <c r="D32" s="184">
        <v>795568</v>
      </c>
      <c r="E32" s="184">
        <v>452796</v>
      </c>
      <c r="F32" s="184">
        <v>823157</v>
      </c>
      <c r="G32" s="184">
        <v>1376225</v>
      </c>
      <c r="H32" s="161"/>
      <c r="I32" s="155" t="s">
        <v>11</v>
      </c>
      <c r="J32" s="137">
        <f>C32*$K$3/1000</f>
        <v>32.638157532000001</v>
      </c>
      <c r="K32" s="137">
        <f t="shared" ref="K32:N32" si="32">D32*$K$3/1000</f>
        <v>33.308841024000003</v>
      </c>
      <c r="L32" s="137">
        <f t="shared" si="32"/>
        <v>18.957662928000001</v>
      </c>
      <c r="M32" s="137">
        <f t="shared" si="32"/>
        <v>34.463937276000003</v>
      </c>
      <c r="N32" s="137">
        <f t="shared" si="32"/>
        <v>57.619788300000003</v>
      </c>
      <c r="P32" s="191"/>
    </row>
    <row r="33" spans="1:26" ht="14.65" thickBot="1">
      <c r="A33" s="182" t="s">
        <v>193</v>
      </c>
      <c r="B33" s="183" t="s">
        <v>211</v>
      </c>
      <c r="C33" s="183">
        <v>779</v>
      </c>
      <c r="D33" s="183">
        <v>792</v>
      </c>
      <c r="E33" s="183">
        <v>799</v>
      </c>
      <c r="F33" s="183">
        <v>792</v>
      </c>
      <c r="G33" s="183">
        <v>801</v>
      </c>
      <c r="H33" s="161"/>
      <c r="I33" s="155" t="s">
        <v>92</v>
      </c>
      <c r="J33" s="137">
        <f>C33/$K$2</f>
        <v>18.606095347281933</v>
      </c>
      <c r="K33" s="137">
        <f t="shared" ref="K33:N33" si="33">D33/$K$2</f>
        <v>18.916595012897677</v>
      </c>
      <c r="L33" s="137">
        <f t="shared" si="33"/>
        <v>19.083787140536923</v>
      </c>
      <c r="M33" s="137">
        <f t="shared" si="33"/>
        <v>18.916595012897677</v>
      </c>
      <c r="N33" s="137">
        <f t="shared" si="33"/>
        <v>19.131556319862423</v>
      </c>
      <c r="P33" s="192">
        <f>J33/$J33</f>
        <v>1</v>
      </c>
      <c r="Q33" s="192">
        <f t="shared" ref="Q33:T33" si="34">K33/$J33</f>
        <v>1.0166880616174583</v>
      </c>
      <c r="R33" s="192">
        <f t="shared" si="34"/>
        <v>1.0256739409499358</v>
      </c>
      <c r="S33" s="192">
        <f t="shared" si="34"/>
        <v>1.0166880616174583</v>
      </c>
      <c r="T33" s="192">
        <f t="shared" si="34"/>
        <v>1.0282413350449293</v>
      </c>
      <c r="V33" s="193">
        <f>J33*100/$Q$3</f>
        <v>14.579677480627048</v>
      </c>
      <c r="W33" s="193">
        <f t="shared" ref="W33:Z33" si="35">K33*100/$Q$3</f>
        <v>14.822984036786419</v>
      </c>
      <c r="X33" s="193">
        <f t="shared" si="35"/>
        <v>14.953995259333775</v>
      </c>
      <c r="Y33" s="193">
        <f t="shared" si="35"/>
        <v>14.822984036786419</v>
      </c>
      <c r="Z33" s="193">
        <f t="shared" si="35"/>
        <v>14.991427037204447</v>
      </c>
    </row>
    <row r="34" spans="1:26" ht="14.65" thickBot="1">
      <c r="A34" s="182" t="s">
        <v>194</v>
      </c>
      <c r="B34" s="183" t="s">
        <v>209</v>
      </c>
      <c r="C34" s="184">
        <v>101448</v>
      </c>
      <c r="D34" s="184">
        <v>117598</v>
      </c>
      <c r="E34" s="183">
        <v>0</v>
      </c>
      <c r="F34" s="183">
        <v>0</v>
      </c>
      <c r="G34" s="184">
        <v>104602</v>
      </c>
      <c r="H34" s="161"/>
      <c r="I34" s="155" t="s">
        <v>11</v>
      </c>
      <c r="J34" s="137">
        <f>C34*$K$3/1000</f>
        <v>4.247424864000001</v>
      </c>
      <c r="K34" s="137">
        <f t="shared" ref="K34:N34" si="36">D34*$K$3/1000</f>
        <v>4.9235930640000003</v>
      </c>
      <c r="L34" s="137">
        <f t="shared" si="36"/>
        <v>0</v>
      </c>
      <c r="M34" s="137">
        <f t="shared" si="36"/>
        <v>0</v>
      </c>
      <c r="N34" s="137">
        <f t="shared" si="36"/>
        <v>4.3794765360000003</v>
      </c>
    </row>
    <row r="35" spans="1:26" ht="14.65" thickBot="1">
      <c r="A35" s="182" t="s">
        <v>194</v>
      </c>
      <c r="B35" s="183" t="s">
        <v>211</v>
      </c>
      <c r="C35" s="184">
        <v>1209</v>
      </c>
      <c r="D35" s="184">
        <v>1367</v>
      </c>
      <c r="E35" s="184">
        <v>1500</v>
      </c>
      <c r="F35" s="184">
        <v>1506</v>
      </c>
      <c r="G35" s="184">
        <v>1550</v>
      </c>
      <c r="H35" s="161"/>
      <c r="I35" s="155" t="s">
        <v>92</v>
      </c>
      <c r="J35" s="137">
        <f>C35/$K$2</f>
        <v>28.876468902264257</v>
      </c>
      <c r="K35" s="137">
        <f t="shared" ref="K35:N35" si="37">D35/$K$2</f>
        <v>32.650234068978691</v>
      </c>
      <c r="L35" s="137">
        <f t="shared" si="37"/>
        <v>35.826884494124393</v>
      </c>
      <c r="M35" s="137">
        <f t="shared" si="37"/>
        <v>35.97019203210089</v>
      </c>
      <c r="N35" s="137">
        <f t="shared" si="37"/>
        <v>37.021113977261869</v>
      </c>
      <c r="P35" s="192">
        <f>J35/$J35</f>
        <v>1</v>
      </c>
      <c r="Q35" s="192">
        <f t="shared" ref="Q35:T35" si="38">K35/$J35</f>
        <v>1.1306865177832919</v>
      </c>
      <c r="R35" s="192">
        <f>L35/$J35</f>
        <v>1.240694789081886</v>
      </c>
      <c r="S35" s="192">
        <f t="shared" si="38"/>
        <v>1.2456575682382136</v>
      </c>
      <c r="T35" s="192">
        <f t="shared" si="38"/>
        <v>1.2820512820512822</v>
      </c>
      <c r="V35" s="193">
        <f>J35*100/$Q$3</f>
        <v>22.627509722821692</v>
      </c>
      <c r="W35" s="193">
        <f t="shared" ref="W35:Z35" si="39">K35*100/$Q$3</f>
        <v>25.58462017460484</v>
      </c>
      <c r="X35" s="193">
        <f t="shared" si="39"/>
        <v>28.073833403004585</v>
      </c>
      <c r="Y35" s="193">
        <f t="shared" si="39"/>
        <v>28.186128736616606</v>
      </c>
      <c r="Z35" s="193">
        <f t="shared" si="39"/>
        <v>29.009627849771405</v>
      </c>
    </row>
    <row r="36" spans="1:26">
      <c r="A36" s="188"/>
      <c r="H36" s="161"/>
      <c r="I36" s="167"/>
      <c r="J36" s="167"/>
      <c r="K36" s="155"/>
      <c r="L36" s="155"/>
      <c r="M36" s="155"/>
      <c r="N36" s="155"/>
    </row>
    <row r="37" spans="1:26" ht="14.65" thickBot="1">
      <c r="A37" s="189" t="s">
        <v>214</v>
      </c>
      <c r="B37" s="82"/>
      <c r="C37" s="82"/>
      <c r="D37" s="82"/>
      <c r="E37" s="82"/>
      <c r="F37" s="82"/>
      <c r="G37" s="82"/>
      <c r="H37" s="161"/>
      <c r="I37" s="178" t="s">
        <v>207</v>
      </c>
      <c r="J37" s="167"/>
      <c r="K37" s="155"/>
      <c r="L37" s="155"/>
      <c r="M37" s="155"/>
      <c r="N37" s="155"/>
      <c r="P37" t="s">
        <v>216</v>
      </c>
      <c r="V37" s="178" t="s">
        <v>217</v>
      </c>
    </row>
    <row r="38" spans="1:26" ht="14.65" thickBot="1">
      <c r="A38" s="179"/>
      <c r="B38" s="180" t="s">
        <v>58</v>
      </c>
      <c r="C38" s="180">
        <v>2010</v>
      </c>
      <c r="D38" s="180">
        <v>2015</v>
      </c>
      <c r="E38" s="180">
        <v>2020</v>
      </c>
      <c r="F38" s="180">
        <v>2025</v>
      </c>
      <c r="G38" s="180">
        <v>2030</v>
      </c>
      <c r="H38" s="161"/>
      <c r="I38" s="181" t="s">
        <v>58</v>
      </c>
      <c r="J38" s="181">
        <v>2010</v>
      </c>
      <c r="K38" s="181">
        <v>2015</v>
      </c>
      <c r="L38" s="181">
        <v>2020</v>
      </c>
      <c r="M38" s="181">
        <v>2025</v>
      </c>
      <c r="N38" s="181">
        <v>2030</v>
      </c>
      <c r="P38" s="190">
        <v>2010</v>
      </c>
      <c r="Q38" s="190">
        <v>2015</v>
      </c>
      <c r="R38" s="190">
        <v>2020</v>
      </c>
      <c r="S38" s="190">
        <v>2025</v>
      </c>
      <c r="T38" s="190">
        <v>2030</v>
      </c>
      <c r="V38" s="190">
        <v>2010</v>
      </c>
      <c r="W38" s="190">
        <v>2015</v>
      </c>
      <c r="X38" s="190">
        <v>2020</v>
      </c>
      <c r="Y38" s="190">
        <v>2025</v>
      </c>
      <c r="Z38" s="190">
        <v>2030</v>
      </c>
    </row>
    <row r="39" spans="1:26" ht="14.65" thickBot="1">
      <c r="A39" s="182" t="s">
        <v>208</v>
      </c>
      <c r="B39" s="183" t="s">
        <v>209</v>
      </c>
      <c r="C39" s="184">
        <v>7640</v>
      </c>
      <c r="D39" s="183">
        <v>0</v>
      </c>
      <c r="E39" s="183">
        <v>0</v>
      </c>
      <c r="F39" s="183">
        <v>0</v>
      </c>
      <c r="G39" s="184">
        <v>142382</v>
      </c>
      <c r="H39" s="161"/>
      <c r="I39" s="155" t="s">
        <v>11</v>
      </c>
      <c r="J39" s="137">
        <f>C39*$K$3/1000</f>
        <v>0.31987152000000002</v>
      </c>
      <c r="K39" s="137">
        <f t="shared" ref="K39:N39" si="40">D39*$K$3/1000</f>
        <v>0</v>
      </c>
      <c r="L39" s="137">
        <f t="shared" si="40"/>
        <v>0</v>
      </c>
      <c r="M39" s="137">
        <f t="shared" si="40"/>
        <v>0</v>
      </c>
      <c r="N39" s="137">
        <f t="shared" si="40"/>
        <v>5.9612495760000002</v>
      </c>
      <c r="P39" s="191"/>
    </row>
    <row r="40" spans="1:26" ht="14.65" thickBot="1">
      <c r="A40" s="182" t="s">
        <v>208</v>
      </c>
      <c r="B40" s="183" t="s">
        <v>211</v>
      </c>
      <c r="C40" s="183">
        <v>288</v>
      </c>
      <c r="D40" s="183">
        <v>226</v>
      </c>
      <c r="E40" s="183">
        <v>185</v>
      </c>
      <c r="F40" s="183">
        <v>165</v>
      </c>
      <c r="G40" s="183">
        <v>162</v>
      </c>
      <c r="H40" s="161"/>
      <c r="I40" s="155" t="s">
        <v>92</v>
      </c>
      <c r="J40" s="137">
        <f>C40/$K$2</f>
        <v>6.8787618228718825</v>
      </c>
      <c r="K40" s="137">
        <f t="shared" ref="K40:N40" si="41">D40/$K$2</f>
        <v>5.3979172637814079</v>
      </c>
      <c r="L40" s="137">
        <f t="shared" si="41"/>
        <v>4.4186490876086744</v>
      </c>
      <c r="M40" s="137">
        <f t="shared" si="41"/>
        <v>3.9409572943536828</v>
      </c>
      <c r="N40" s="137">
        <f t="shared" si="41"/>
        <v>3.8693035253654342</v>
      </c>
      <c r="P40" s="192">
        <f>J40/$J40</f>
        <v>1</v>
      </c>
      <c r="Q40" s="192">
        <f t="shared" ref="Q40:T40" si="42">K40/$J40</f>
        <v>0.78472222222222221</v>
      </c>
      <c r="R40" s="192">
        <f t="shared" si="42"/>
        <v>0.64236111111111105</v>
      </c>
      <c r="S40" s="192">
        <f t="shared" si="42"/>
        <v>0.57291666666666663</v>
      </c>
      <c r="T40" s="192">
        <f t="shared" si="42"/>
        <v>0.5625</v>
      </c>
      <c r="V40" s="193">
        <f>J40*100/$Q$3</f>
        <v>5.3901760133768803</v>
      </c>
      <c r="W40" s="193">
        <f t="shared" ref="W40:Z40" si="43">K40*100/$Q$3</f>
        <v>4.2297908993860238</v>
      </c>
      <c r="X40" s="193">
        <f t="shared" si="43"/>
        <v>3.4624394530372316</v>
      </c>
      <c r="Y40" s="193">
        <f t="shared" si="43"/>
        <v>3.0881216743305044</v>
      </c>
      <c r="Z40" s="193">
        <f t="shared" si="43"/>
        <v>3.0319740075244952</v>
      </c>
    </row>
    <row r="41" spans="1:26" ht="14.65" thickBot="1">
      <c r="A41" s="182" t="s">
        <v>213</v>
      </c>
      <c r="B41" s="183" t="s">
        <v>209</v>
      </c>
      <c r="C41" s="184">
        <v>22921</v>
      </c>
      <c r="D41" s="183">
        <v>0</v>
      </c>
      <c r="E41" s="183">
        <v>0</v>
      </c>
      <c r="F41" s="183">
        <v>0</v>
      </c>
      <c r="G41" s="184">
        <v>427146</v>
      </c>
      <c r="H41" s="161"/>
      <c r="I41" s="155" t="s">
        <v>11</v>
      </c>
      <c r="J41" s="137">
        <f>C41*$K$3/1000</f>
        <v>0.95965642799999995</v>
      </c>
      <c r="K41" s="137">
        <f t="shared" ref="K41:N41" si="44">D41*$K$3/1000</f>
        <v>0</v>
      </c>
      <c r="L41" s="137">
        <f t="shared" si="44"/>
        <v>0</v>
      </c>
      <c r="M41" s="137">
        <f t="shared" si="44"/>
        <v>0</v>
      </c>
      <c r="N41" s="137">
        <f t="shared" si="44"/>
        <v>17.883748728000004</v>
      </c>
    </row>
    <row r="42" spans="1:26" ht="14.65" thickBot="1">
      <c r="A42" s="182" t="s">
        <v>213</v>
      </c>
      <c r="B42" s="183" t="s">
        <v>211</v>
      </c>
      <c r="C42" s="183">
        <v>590</v>
      </c>
      <c r="D42" s="183">
        <v>462</v>
      </c>
      <c r="E42" s="183">
        <v>379</v>
      </c>
      <c r="F42" s="183">
        <v>338</v>
      </c>
      <c r="G42" s="183">
        <v>331</v>
      </c>
      <c r="H42" s="161"/>
      <c r="I42" s="155" t="s">
        <v>92</v>
      </c>
      <c r="J42" s="137">
        <f>C42/$K$2</f>
        <v>14.09190790102226</v>
      </c>
      <c r="K42" s="137">
        <f t="shared" ref="K42:N42" si="45">D42/$K$2</f>
        <v>11.034680424190311</v>
      </c>
      <c r="L42" s="137">
        <f t="shared" si="45"/>
        <v>9.0522594821820963</v>
      </c>
      <c r="M42" s="137">
        <f t="shared" si="45"/>
        <v>8.0729913060093619</v>
      </c>
      <c r="N42" s="137">
        <f t="shared" si="45"/>
        <v>7.9057991783701151</v>
      </c>
      <c r="P42" s="192">
        <f>J42/$J42</f>
        <v>1</v>
      </c>
      <c r="Q42" s="192">
        <f t="shared" ref="Q42:T42" si="46">K42/$J42</f>
        <v>0.78305084745762699</v>
      </c>
      <c r="R42" s="192">
        <f t="shared" si="46"/>
        <v>0.64237288135593218</v>
      </c>
      <c r="S42" s="192">
        <f t="shared" si="46"/>
        <v>0.57288135593220335</v>
      </c>
      <c r="T42" s="192">
        <f t="shared" si="46"/>
        <v>0.5610169491525423</v>
      </c>
      <c r="V42" s="193">
        <f>J42*100/$Q$3</f>
        <v>11.04237447184847</v>
      </c>
      <c r="W42" s="193">
        <f t="shared" ref="W42:Z42" si="47">K42*100/$Q$3</f>
        <v>8.6467406881254103</v>
      </c>
      <c r="X42" s="193">
        <f t="shared" si="47"/>
        <v>7.0933219064924922</v>
      </c>
      <c r="Y42" s="193">
        <f t="shared" si="47"/>
        <v>6.3259704601436999</v>
      </c>
      <c r="Z42" s="193">
        <f t="shared" si="47"/>
        <v>6.1949592375963451</v>
      </c>
    </row>
    <row r="43" spans="1:26" ht="14.65" thickBot="1">
      <c r="A43" s="182" t="s">
        <v>193</v>
      </c>
      <c r="B43" s="183" t="s">
        <v>209</v>
      </c>
      <c r="C43" s="184">
        <v>781304</v>
      </c>
      <c r="D43" s="184">
        <v>788018</v>
      </c>
      <c r="E43" s="184">
        <v>409398</v>
      </c>
      <c r="F43" s="184">
        <v>734123</v>
      </c>
      <c r="G43" s="184">
        <v>1404121</v>
      </c>
      <c r="H43" s="161"/>
      <c r="I43" s="155" t="s">
        <v>11</v>
      </c>
      <c r="J43" s="137">
        <f>C43*$K$3/1000</f>
        <v>32.711635872000002</v>
      </c>
      <c r="K43" s="137">
        <f t="shared" ref="K43:N43" si="48">D43*$K$3/1000</f>
        <v>32.992737624</v>
      </c>
      <c r="L43" s="137">
        <f t="shared" si="48"/>
        <v>17.140675464000001</v>
      </c>
      <c r="M43" s="137">
        <f t="shared" si="48"/>
        <v>30.736261764000002</v>
      </c>
      <c r="N43" s="137">
        <f t="shared" si="48"/>
        <v>58.787738028000007</v>
      </c>
      <c r="P43" s="191"/>
    </row>
    <row r="44" spans="1:26" ht="14.65" thickBot="1">
      <c r="A44" s="182" t="s">
        <v>193</v>
      </c>
      <c r="B44" s="183" t="s">
        <v>211</v>
      </c>
      <c r="C44" s="183">
        <v>779</v>
      </c>
      <c r="D44" s="183">
        <v>824</v>
      </c>
      <c r="E44" s="183">
        <v>866</v>
      </c>
      <c r="F44" s="183">
        <v>911</v>
      </c>
      <c r="G44" s="183">
        <v>986</v>
      </c>
      <c r="H44" s="161"/>
      <c r="I44" s="155" t="s">
        <v>92</v>
      </c>
      <c r="J44" s="137">
        <f>C44/$K$2</f>
        <v>18.606095347281933</v>
      </c>
      <c r="K44" s="137">
        <f t="shared" ref="K44:N44" si="49">D44/$K$2</f>
        <v>19.680901882105665</v>
      </c>
      <c r="L44" s="137">
        <f t="shared" si="49"/>
        <v>20.684054647941146</v>
      </c>
      <c r="M44" s="137">
        <f t="shared" si="49"/>
        <v>21.758861182764878</v>
      </c>
      <c r="N44" s="137">
        <f t="shared" si="49"/>
        <v>23.550205407471097</v>
      </c>
      <c r="P44" s="192">
        <f>J44/$J44</f>
        <v>1</v>
      </c>
      <c r="Q44" s="192">
        <f t="shared" ref="Q44:T44" si="50">K44/$J44</f>
        <v>1.0577663671373556</v>
      </c>
      <c r="R44" s="192">
        <f t="shared" si="50"/>
        <v>1.1116816431322207</v>
      </c>
      <c r="S44" s="192">
        <f t="shared" si="50"/>
        <v>1.1694480102695763</v>
      </c>
      <c r="T44" s="192">
        <f t="shared" si="50"/>
        <v>1.2657252888318355</v>
      </c>
      <c r="V44" s="193">
        <f>J44*100/$Q$3</f>
        <v>14.579677480627048</v>
      </c>
      <c r="W44" s="193">
        <f t="shared" ref="W44:Z44" si="51">K44*100/$Q$3</f>
        <v>15.421892482717185</v>
      </c>
      <c r="X44" s="193">
        <f t="shared" si="51"/>
        <v>16.207959818001314</v>
      </c>
      <c r="Y44" s="193">
        <f t="shared" si="51"/>
        <v>17.050174820091449</v>
      </c>
      <c r="Z44" s="193">
        <f t="shared" si="51"/>
        <v>18.45386649024168</v>
      </c>
    </row>
    <row r="45" spans="1:26" ht="14.65" thickBot="1">
      <c r="A45" s="182" t="s">
        <v>194</v>
      </c>
      <c r="B45" s="183" t="s">
        <v>209</v>
      </c>
      <c r="C45" s="184">
        <v>101544</v>
      </c>
      <c r="D45" s="184">
        <v>112987</v>
      </c>
      <c r="E45" s="183">
        <v>0</v>
      </c>
      <c r="F45" s="183">
        <v>0</v>
      </c>
      <c r="G45" s="184">
        <v>109936</v>
      </c>
      <c r="H45" s="161"/>
      <c r="I45" s="155" t="s">
        <v>11</v>
      </c>
      <c r="J45" s="137">
        <f>C45*$K$3/1000</f>
        <v>4.2514441920000001</v>
      </c>
      <c r="K45" s="137">
        <f t="shared" ref="K45:N45" si="52">D45*$K$3/1000</f>
        <v>4.730539716</v>
      </c>
      <c r="L45" s="137">
        <f t="shared" si="52"/>
        <v>0</v>
      </c>
      <c r="M45" s="137">
        <f t="shared" si="52"/>
        <v>0</v>
      </c>
      <c r="N45" s="137">
        <f t="shared" si="52"/>
        <v>4.602800448</v>
      </c>
    </row>
    <row r="46" spans="1:26" ht="14.65" thickBot="1">
      <c r="A46" s="182" t="s">
        <v>194</v>
      </c>
      <c r="B46" s="183" t="s">
        <v>211</v>
      </c>
      <c r="C46" s="184">
        <v>1209</v>
      </c>
      <c r="D46" s="184">
        <v>1420</v>
      </c>
      <c r="E46" s="184">
        <v>1605</v>
      </c>
      <c r="F46" s="184">
        <v>1694</v>
      </c>
      <c r="G46" s="184">
        <v>1832</v>
      </c>
      <c r="H46" s="161"/>
      <c r="I46" s="155" t="s">
        <v>92</v>
      </c>
      <c r="J46" s="137">
        <f>C46/$K$2</f>
        <v>28.876468902264257</v>
      </c>
      <c r="K46" s="137">
        <f t="shared" ref="K46:N46" si="53">D46/$K$2</f>
        <v>33.916117321104423</v>
      </c>
      <c r="L46" s="137">
        <f t="shared" si="53"/>
        <v>38.334766408713094</v>
      </c>
      <c r="M46" s="137">
        <f t="shared" si="53"/>
        <v>40.460494888697809</v>
      </c>
      <c r="N46" s="137">
        <f t="shared" si="53"/>
        <v>43.756568262157252</v>
      </c>
      <c r="P46" s="192">
        <f>J46/$J46</f>
        <v>1</v>
      </c>
      <c r="Q46" s="192">
        <f t="shared" ref="Q46:T46" si="54">K46/$J46</f>
        <v>1.1745244003308519</v>
      </c>
      <c r="R46" s="192">
        <f t="shared" si="54"/>
        <v>1.3275434243176178</v>
      </c>
      <c r="S46" s="192">
        <f t="shared" si="54"/>
        <v>1.401157981803143</v>
      </c>
      <c r="T46" s="192">
        <f t="shared" si="54"/>
        <v>1.5153019023986765</v>
      </c>
      <c r="V46" s="193">
        <f>J46*100/$Q$3</f>
        <v>22.627509722821692</v>
      </c>
      <c r="W46" s="193">
        <f t="shared" ref="W46:Z46" si="55">K46*100/$Q$3</f>
        <v>26.576562288177673</v>
      </c>
      <c r="X46" s="193">
        <f t="shared" si="55"/>
        <v>30.039001741214904</v>
      </c>
      <c r="Y46" s="193">
        <f t="shared" si="55"/>
        <v>31.704715856459842</v>
      </c>
      <c r="Z46" s="193">
        <f t="shared" si="55"/>
        <v>34.287508529536261</v>
      </c>
    </row>
    <row r="47" spans="1:26">
      <c r="A47" s="177"/>
      <c r="H47" s="161"/>
      <c r="I47" s="167"/>
      <c r="J47" s="167"/>
      <c r="K47" s="155"/>
      <c r="L47" s="155"/>
      <c r="M47" s="155"/>
      <c r="N47" s="155"/>
    </row>
    <row r="48" spans="1:26" ht="14.65" thickBot="1">
      <c r="A48" s="177" t="s">
        <v>215</v>
      </c>
      <c r="H48" s="161"/>
      <c r="I48" s="178" t="s">
        <v>207</v>
      </c>
      <c r="J48" s="167"/>
      <c r="K48" s="155"/>
      <c r="L48" s="155"/>
      <c r="M48" s="155"/>
      <c r="N48" s="155"/>
      <c r="P48" t="s">
        <v>216</v>
      </c>
      <c r="V48" s="178" t="s">
        <v>217</v>
      </c>
    </row>
    <row r="49" spans="1:26" ht="14.65" thickBot="1">
      <c r="A49" s="179"/>
      <c r="B49" s="180" t="s">
        <v>58</v>
      </c>
      <c r="C49" s="180">
        <v>2010</v>
      </c>
      <c r="D49" s="180">
        <v>2015</v>
      </c>
      <c r="E49" s="180">
        <v>2020</v>
      </c>
      <c r="F49" s="180">
        <v>2025</v>
      </c>
      <c r="G49" s="180">
        <v>2030</v>
      </c>
      <c r="H49" s="161"/>
      <c r="I49" s="190" t="s">
        <v>58</v>
      </c>
      <c r="J49" s="190">
        <v>2010</v>
      </c>
      <c r="K49" s="190">
        <v>2015</v>
      </c>
      <c r="L49" s="190">
        <v>2020</v>
      </c>
      <c r="M49" s="190">
        <v>2025</v>
      </c>
      <c r="N49" s="190">
        <v>2030</v>
      </c>
      <c r="P49" s="190">
        <v>2010</v>
      </c>
      <c r="Q49" s="190">
        <v>2015</v>
      </c>
      <c r="R49" s="190">
        <v>2020</v>
      </c>
      <c r="S49" s="190">
        <v>2025</v>
      </c>
      <c r="T49" s="190">
        <v>2030</v>
      </c>
      <c r="V49" s="190">
        <v>2010</v>
      </c>
      <c r="W49" s="190">
        <v>2015</v>
      </c>
      <c r="X49" s="190">
        <v>2020</v>
      </c>
      <c r="Y49" s="190">
        <v>2025</v>
      </c>
      <c r="Z49" s="190">
        <v>2030</v>
      </c>
    </row>
    <row r="50" spans="1:26" ht="14.65" thickBot="1">
      <c r="A50" s="182" t="s">
        <v>208</v>
      </c>
      <c r="B50" s="183" t="s">
        <v>209</v>
      </c>
      <c r="C50" s="184">
        <v>6382</v>
      </c>
      <c r="D50" s="183">
        <v>0</v>
      </c>
      <c r="E50" s="184">
        <v>69709</v>
      </c>
      <c r="F50" s="184">
        <v>192223</v>
      </c>
      <c r="G50" s="184">
        <v>876934</v>
      </c>
      <c r="H50" s="161"/>
      <c r="I50" s="155" t="s">
        <v>11</v>
      </c>
      <c r="J50" s="137">
        <f>C50*$K$3/1000</f>
        <v>0.267201576</v>
      </c>
      <c r="K50" s="195">
        <f>AVERAGE(J50,L50)</f>
        <v>1.5928889940000002</v>
      </c>
      <c r="L50" s="137">
        <f t="shared" ref="L50:N50" si="56">E50*$K$3/1000</f>
        <v>2.9185764120000002</v>
      </c>
      <c r="M50" s="137">
        <f t="shared" si="56"/>
        <v>8.0479925639999994</v>
      </c>
      <c r="N50" s="196">
        <f t="shared" si="56"/>
        <v>36.715472712</v>
      </c>
      <c r="P50" s="191"/>
    </row>
    <row r="51" spans="1:26" ht="14.65" thickBot="1">
      <c r="A51" s="182" t="s">
        <v>208</v>
      </c>
      <c r="B51" s="183" t="s">
        <v>211</v>
      </c>
      <c r="C51" s="183">
        <v>288</v>
      </c>
      <c r="D51" s="183">
        <v>267</v>
      </c>
      <c r="E51" s="183">
        <v>226</v>
      </c>
      <c r="F51" s="183">
        <v>209</v>
      </c>
      <c r="G51" s="183">
        <v>211</v>
      </c>
      <c r="H51" s="161"/>
      <c r="I51" s="155" t="s">
        <v>92</v>
      </c>
      <c r="J51" s="137">
        <f>C51/$K$2</f>
        <v>6.8787618228718825</v>
      </c>
      <c r="K51" s="195">
        <f t="shared" ref="K51:N51" si="57">D51/$K$2</f>
        <v>6.3771854399541414</v>
      </c>
      <c r="L51" s="137">
        <f t="shared" si="57"/>
        <v>5.3979172637814079</v>
      </c>
      <c r="M51" s="137">
        <f t="shared" si="57"/>
        <v>4.9918792395146649</v>
      </c>
      <c r="N51" s="137">
        <f t="shared" si="57"/>
        <v>5.039648418840164</v>
      </c>
      <c r="P51" s="192">
        <f>J51/$J51</f>
        <v>1</v>
      </c>
      <c r="Q51" s="192">
        <f t="shared" ref="Q51:T51" si="58">K51/$J51</f>
        <v>0.92708333333333337</v>
      </c>
      <c r="R51" s="192">
        <f t="shared" si="58"/>
        <v>0.78472222222222221</v>
      </c>
      <c r="S51" s="192">
        <f t="shared" si="58"/>
        <v>0.72569444444444442</v>
      </c>
      <c r="T51" s="192">
        <f t="shared" si="58"/>
        <v>0.73263888888888895</v>
      </c>
      <c r="V51" s="193">
        <f>J51*100/$Q$3</f>
        <v>5.3901760133768803</v>
      </c>
      <c r="W51" s="193">
        <f t="shared" ref="W51:Z51" si="59">K51*100/$Q$3</f>
        <v>4.9971423457348161</v>
      </c>
      <c r="X51" s="193">
        <f t="shared" si="59"/>
        <v>4.2297908993860238</v>
      </c>
      <c r="Y51" s="193">
        <f t="shared" si="59"/>
        <v>3.9116207874853051</v>
      </c>
      <c r="Z51" s="193">
        <f t="shared" si="59"/>
        <v>3.949052565355978</v>
      </c>
    </row>
    <row r="52" spans="1:26" ht="14.65" thickBot="1">
      <c r="A52" s="182" t="s">
        <v>213</v>
      </c>
      <c r="B52" s="183" t="s">
        <v>209</v>
      </c>
      <c r="C52" s="184">
        <v>191470</v>
      </c>
      <c r="D52" s="183">
        <v>0</v>
      </c>
      <c r="E52" s="184">
        <v>209128</v>
      </c>
      <c r="F52" s="184">
        <v>576669</v>
      </c>
      <c r="G52" s="184">
        <v>2630803</v>
      </c>
      <c r="H52" s="161"/>
      <c r="I52" s="155" t="s">
        <v>11</v>
      </c>
      <c r="J52" s="137">
        <f>C52*$K$3/1000</f>
        <v>8.0164659599999997</v>
      </c>
      <c r="K52" s="195">
        <f>AVERAGE(J52,L52)</f>
        <v>8.3861185320000011</v>
      </c>
      <c r="L52" s="137">
        <f t="shared" ref="L52:N52" si="60">E52*$K$3/1000</f>
        <v>8.7557711040000008</v>
      </c>
      <c r="M52" s="137">
        <f t="shared" si="60"/>
        <v>24.143977692</v>
      </c>
      <c r="N52" s="196">
        <f t="shared" si="60"/>
        <v>110.14646000400001</v>
      </c>
    </row>
    <row r="53" spans="1:26" ht="14.65" thickBot="1">
      <c r="A53" s="182" t="s">
        <v>213</v>
      </c>
      <c r="B53" s="183" t="s">
        <v>211</v>
      </c>
      <c r="C53" s="183">
        <v>590</v>
      </c>
      <c r="D53" s="183">
        <v>535</v>
      </c>
      <c r="E53" s="183">
        <v>452</v>
      </c>
      <c r="F53" s="183">
        <v>418</v>
      </c>
      <c r="G53" s="183">
        <v>421</v>
      </c>
      <c r="H53" s="161"/>
      <c r="I53" s="155" t="s">
        <v>92</v>
      </c>
      <c r="J53" s="137">
        <f>C53/$K$2</f>
        <v>14.09190790102226</v>
      </c>
      <c r="K53" s="195">
        <f t="shared" ref="K53:N53" si="61">D53/$K$2</f>
        <v>12.778255469571032</v>
      </c>
      <c r="L53" s="137">
        <f t="shared" si="61"/>
        <v>10.795834527562816</v>
      </c>
      <c r="M53" s="137">
        <f t="shared" si="61"/>
        <v>9.9837584790293299</v>
      </c>
      <c r="N53" s="137">
        <f t="shared" si="61"/>
        <v>10.055412248017578</v>
      </c>
      <c r="P53" s="192">
        <f>J53/$J53</f>
        <v>1</v>
      </c>
      <c r="Q53" s="192">
        <f t="shared" ref="Q53:T53" si="62">K53/$J53</f>
        <v>0.90677966101694918</v>
      </c>
      <c r="R53" s="192">
        <f t="shared" si="62"/>
        <v>0.76610169491525415</v>
      </c>
      <c r="S53" s="192">
        <f t="shared" si="62"/>
        <v>0.70847457627118637</v>
      </c>
      <c r="T53" s="192">
        <f t="shared" si="62"/>
        <v>0.71355932203389827</v>
      </c>
      <c r="V53" s="193">
        <f>J53*100/$Q$3</f>
        <v>11.04237447184847</v>
      </c>
      <c r="W53" s="193">
        <f t="shared" ref="W53:Z53" si="63">K53*100/$Q$3</f>
        <v>10.013000580404968</v>
      </c>
      <c r="X53" s="193">
        <f t="shared" si="63"/>
        <v>8.4595817987720476</v>
      </c>
      <c r="Y53" s="193">
        <f t="shared" si="63"/>
        <v>7.8232415749706101</v>
      </c>
      <c r="Z53" s="193">
        <f t="shared" si="63"/>
        <v>7.8793892417766198</v>
      </c>
    </row>
    <row r="54" spans="1:26" ht="14.65" thickBot="1">
      <c r="A54" s="182" t="s">
        <v>193</v>
      </c>
      <c r="B54" s="183" t="s">
        <v>209</v>
      </c>
      <c r="C54" s="184">
        <v>779549</v>
      </c>
      <c r="D54" s="184">
        <v>792079</v>
      </c>
      <c r="E54" s="184">
        <v>421094</v>
      </c>
      <c r="F54" s="184">
        <v>750039</v>
      </c>
      <c r="G54" s="184">
        <v>1428558</v>
      </c>
      <c r="H54" s="161"/>
      <c r="I54" s="155" t="s">
        <v>11</v>
      </c>
      <c r="J54" s="137">
        <f>C54*$K$3/1000</f>
        <v>32.638157532000001</v>
      </c>
      <c r="K54" s="137">
        <f t="shared" ref="K54:N54" si="64">D54*$K$3/1000</f>
        <v>33.162763572000003</v>
      </c>
      <c r="L54" s="196">
        <f t="shared" si="64"/>
        <v>17.630363592000002</v>
      </c>
      <c r="M54" s="137">
        <f t="shared" si="64"/>
        <v>31.402632852000004</v>
      </c>
      <c r="N54" s="196">
        <f t="shared" si="64"/>
        <v>59.810866344000004</v>
      </c>
      <c r="P54" s="191"/>
    </row>
    <row r="55" spans="1:26" ht="14.65" thickBot="1">
      <c r="A55" s="182" t="s">
        <v>193</v>
      </c>
      <c r="B55" s="183" t="s">
        <v>211</v>
      </c>
      <c r="C55" s="183">
        <v>779</v>
      </c>
      <c r="D55" s="183">
        <v>864</v>
      </c>
      <c r="E55" s="183">
        <v>951</v>
      </c>
      <c r="F55" s="183">
        <v>1054</v>
      </c>
      <c r="G55" s="183">
        <v>1204</v>
      </c>
      <c r="H55" s="161"/>
      <c r="I55" s="155" t="s">
        <v>92</v>
      </c>
      <c r="J55" s="137">
        <f>C55/$K$2</f>
        <v>18.606095347281933</v>
      </c>
      <c r="K55" s="137">
        <f t="shared" ref="K55:N55" si="65">D55/$K$2</f>
        <v>20.636285468615647</v>
      </c>
      <c r="L55" s="137">
        <f t="shared" si="65"/>
        <v>22.714244769274863</v>
      </c>
      <c r="M55" s="137">
        <f t="shared" si="65"/>
        <v>25.174357504538072</v>
      </c>
      <c r="N55" s="137">
        <f t="shared" si="65"/>
        <v>28.757045953950509</v>
      </c>
      <c r="P55" s="192">
        <f>J55/$J55</f>
        <v>1</v>
      </c>
      <c r="Q55" s="192">
        <f t="shared" ref="Q55:T55" si="66">K55/$J55</f>
        <v>1.1091142490372272</v>
      </c>
      <c r="R55" s="192">
        <f t="shared" si="66"/>
        <v>1.2207958921694479</v>
      </c>
      <c r="S55" s="192">
        <f t="shared" si="66"/>
        <v>1.3530166880616175</v>
      </c>
      <c r="T55" s="192">
        <f t="shared" si="66"/>
        <v>1.5455712451861361</v>
      </c>
      <c r="V55" s="193">
        <f>J55*100/$Q$3</f>
        <v>14.579677480627048</v>
      </c>
      <c r="W55" s="193">
        <f t="shared" ref="W55:Z55" si="67">K55*100/$Q$3</f>
        <v>16.170528040130641</v>
      </c>
      <c r="X55" s="193">
        <f t="shared" si="67"/>
        <v>17.798810377504907</v>
      </c>
      <c r="Y55" s="193">
        <f t="shared" si="67"/>
        <v>19.726546937844553</v>
      </c>
      <c r="Z55" s="193">
        <f t="shared" si="67"/>
        <v>22.533930278145014</v>
      </c>
    </row>
    <row r="56" spans="1:26" ht="14.65" thickBot="1">
      <c r="A56" s="182" t="s">
        <v>194</v>
      </c>
      <c r="B56" s="183" t="s">
        <v>209</v>
      </c>
      <c r="C56" s="184">
        <v>101448</v>
      </c>
      <c r="D56" s="184">
        <v>118165</v>
      </c>
      <c r="E56" s="183">
        <v>0</v>
      </c>
      <c r="F56" s="183">
        <v>0</v>
      </c>
      <c r="G56" s="184">
        <v>122199</v>
      </c>
      <c r="H56" s="161"/>
      <c r="I56" s="155" t="s">
        <v>11</v>
      </c>
      <c r="J56" s="137">
        <f>C56*$K$3/1000</f>
        <v>4.247424864000001</v>
      </c>
      <c r="K56" s="137">
        <f t="shared" ref="K56:N56" si="68">D56*$K$3/1000</f>
        <v>4.9473322199999998</v>
      </c>
      <c r="L56" s="137">
        <f t="shared" si="68"/>
        <v>0</v>
      </c>
      <c r="M56" s="137">
        <f t="shared" si="68"/>
        <v>0</v>
      </c>
      <c r="N56" s="196">
        <f t="shared" si="68"/>
        <v>5.1162277320000005</v>
      </c>
    </row>
    <row r="57" spans="1:26" ht="14.65" thickBot="1">
      <c r="A57" s="182" t="s">
        <v>194</v>
      </c>
      <c r="B57" s="183" t="s">
        <v>211</v>
      </c>
      <c r="C57" s="184">
        <v>1209</v>
      </c>
      <c r="D57" s="184">
        <v>1488</v>
      </c>
      <c r="E57" s="184">
        <v>1755</v>
      </c>
      <c r="F57" s="184">
        <v>1948</v>
      </c>
      <c r="G57" s="184">
        <v>2212</v>
      </c>
      <c r="H57" s="161"/>
      <c r="I57" s="155" t="s">
        <v>92</v>
      </c>
      <c r="J57" s="137">
        <f>C57/$K$2</f>
        <v>28.876468902264257</v>
      </c>
      <c r="K57" s="137">
        <f t="shared" ref="K57:N57" si="69">D57/$K$2</f>
        <v>35.540269418171391</v>
      </c>
      <c r="L57" s="137">
        <f t="shared" si="69"/>
        <v>41.917454858125538</v>
      </c>
      <c r="M57" s="137">
        <f t="shared" si="69"/>
        <v>46.527180663036205</v>
      </c>
      <c r="N57" s="137">
        <f t="shared" si="69"/>
        <v>52.832712334002096</v>
      </c>
      <c r="P57" s="192">
        <f>J57/$J57</f>
        <v>1</v>
      </c>
      <c r="Q57" s="192">
        <f t="shared" ref="Q57:T57" si="70">K57/$J57</f>
        <v>1.2307692307692306</v>
      </c>
      <c r="R57" s="192">
        <f t="shared" si="70"/>
        <v>1.4516129032258065</v>
      </c>
      <c r="S57" s="192">
        <f t="shared" si="70"/>
        <v>1.6112489660876756</v>
      </c>
      <c r="T57" s="192">
        <f t="shared" si="70"/>
        <v>1.8296112489660876</v>
      </c>
      <c r="V57" s="193">
        <f>J57*100/$Q$3</f>
        <v>22.627509722821692</v>
      </c>
      <c r="W57" s="193">
        <f t="shared" ref="W57:Z57" si="71">K57*100/$Q$3</f>
        <v>27.849242735780546</v>
      </c>
      <c r="X57" s="193">
        <f t="shared" si="71"/>
        <v>32.846385081515365</v>
      </c>
      <c r="Y57" s="193">
        <f t="shared" si="71"/>
        <v>36.458551646035289</v>
      </c>
      <c r="Z57" s="193">
        <f t="shared" si="71"/>
        <v>41.399546324964092</v>
      </c>
    </row>
  </sheetData>
  <mergeCells count="1">
    <mergeCell ref="P1:Q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CB6D-2A3E-4879-AFF8-DE9B6A0FD3B5}">
  <sheetPr codeName="Sheet11">
    <tabColor rgb="FFFF0000"/>
  </sheetPr>
  <dimension ref="A1:AQ110"/>
  <sheetViews>
    <sheetView zoomScale="65" zoomScaleNormal="65" workbookViewId="0">
      <pane xSplit="2" ySplit="1" topLeftCell="C2" activePane="bottomRight" state="frozen"/>
      <selection activeCell="A65" sqref="A65:XFD65"/>
      <selection pane="topRight" activeCell="A65" sqref="A65:XFD65"/>
      <selection pane="bottomLeft" activeCell="A65" sqref="A65:XFD65"/>
      <selection pane="bottomRight" activeCell="P70" sqref="P70"/>
    </sheetView>
  </sheetViews>
  <sheetFormatPr defaultColWidth="9.1328125" defaultRowHeight="13.15"/>
  <cols>
    <col min="1" max="1" width="38.1328125" style="426" customWidth="1"/>
    <col min="2" max="2" width="13" style="422" bestFit="1" customWidth="1"/>
    <col min="3" max="4" width="7.59765625" style="427" bestFit="1" customWidth="1"/>
    <col min="5" max="5" width="9.1328125" style="427"/>
    <col min="6" max="6" width="6.1328125" style="428" customWidth="1"/>
    <col min="7" max="7" width="5.86328125" style="428" bestFit="1" customWidth="1"/>
    <col min="8" max="8" width="7.3984375" style="427" bestFit="1" customWidth="1"/>
    <col min="9" max="9" width="6.1328125" style="428" bestFit="1" customWidth="1"/>
    <col min="10" max="10" width="6" style="428" bestFit="1" customWidth="1"/>
    <col min="11" max="11" width="6.86328125" style="428" bestFit="1" customWidth="1"/>
    <col min="12" max="12" width="8.73046875" style="424" bestFit="1" customWidth="1"/>
    <col min="13" max="13" width="8.1328125" style="423" bestFit="1" customWidth="1"/>
    <col min="14" max="14" width="5.265625" style="423" customWidth="1"/>
    <col min="15" max="15" width="7.3984375" style="423" customWidth="1"/>
    <col min="16" max="16" width="7.3984375" style="423" bestFit="1" customWidth="1"/>
    <col min="17" max="17" width="8.1328125" style="423" bestFit="1" customWidth="1"/>
    <col min="18" max="18" width="7.265625" style="423" bestFit="1" customWidth="1"/>
    <col min="19" max="19" width="7.3984375" style="423" bestFit="1" customWidth="1"/>
    <col min="20" max="20" width="8.3984375" style="423" bestFit="1" customWidth="1"/>
    <col min="21" max="21" width="6.86328125" style="423" bestFit="1" customWidth="1"/>
    <col min="22" max="24" width="5.3984375" style="423" customWidth="1"/>
    <col min="25" max="25" width="5.3984375" style="428" customWidth="1"/>
    <col min="26" max="26" width="8.1328125" style="425" bestFit="1" customWidth="1"/>
    <col min="27" max="27" width="6.73046875" style="424" bestFit="1" customWidth="1"/>
    <col min="28" max="29" width="5.59765625" style="423" customWidth="1"/>
    <col min="30" max="30" width="8.73046875" style="423" bestFit="1" customWidth="1"/>
    <col min="31" max="31" width="5.59765625" style="423" customWidth="1"/>
    <col min="32" max="32" width="5.86328125" style="423" bestFit="1" customWidth="1"/>
    <col min="33" max="33" width="7" style="423" customWidth="1"/>
    <col min="34" max="36" width="5.59765625" style="423" customWidth="1"/>
    <col min="37" max="37" width="8.73046875" style="425" bestFit="1" customWidth="1"/>
    <col min="38" max="38" width="4.3984375" style="429" bestFit="1" customWidth="1"/>
    <col min="39" max="39" width="9.265625" style="423" bestFit="1" customWidth="1"/>
    <col min="40" max="16384" width="9.1328125" style="422"/>
  </cols>
  <sheetData>
    <row r="1" spans="1:43" s="283" customFormat="1" ht="105.75" customHeight="1" thickBot="1">
      <c r="A1" s="273" t="s">
        <v>323</v>
      </c>
      <c r="B1" s="274" t="s">
        <v>324</v>
      </c>
      <c r="C1" s="275" t="s">
        <v>325</v>
      </c>
      <c r="D1" s="276" t="s">
        <v>326</v>
      </c>
      <c r="E1" s="277" t="s">
        <v>327</v>
      </c>
      <c r="F1" s="278" t="s">
        <v>328</v>
      </c>
      <c r="G1" s="278" t="s">
        <v>329</v>
      </c>
      <c r="H1" s="279" t="s">
        <v>330</v>
      </c>
      <c r="I1" s="276" t="s">
        <v>331</v>
      </c>
      <c r="J1" s="277" t="s">
        <v>332</v>
      </c>
      <c r="K1" s="277" t="s">
        <v>333</v>
      </c>
      <c r="L1" s="279" t="s">
        <v>334</v>
      </c>
      <c r="M1" s="276" t="s">
        <v>335</v>
      </c>
      <c r="N1" s="277" t="s">
        <v>336</v>
      </c>
      <c r="O1" s="277" t="s">
        <v>337</v>
      </c>
      <c r="P1" s="277" t="s">
        <v>338</v>
      </c>
      <c r="Q1" s="277" t="s">
        <v>339</v>
      </c>
      <c r="R1" s="277" t="s">
        <v>340</v>
      </c>
      <c r="S1" s="277" t="s">
        <v>341</v>
      </c>
      <c r="T1" s="277" t="s">
        <v>342</v>
      </c>
      <c r="U1" s="277" t="s">
        <v>343</v>
      </c>
      <c r="V1" s="278" t="s">
        <v>344</v>
      </c>
      <c r="W1" s="278" t="s">
        <v>345</v>
      </c>
      <c r="X1" s="278" t="s">
        <v>346</v>
      </c>
      <c r="Y1" s="277" t="s">
        <v>347</v>
      </c>
      <c r="Z1" s="279" t="s">
        <v>348</v>
      </c>
      <c r="AA1" s="280" t="s">
        <v>349</v>
      </c>
      <c r="AB1" s="281" t="s">
        <v>350</v>
      </c>
      <c r="AC1" s="277" t="s">
        <v>351</v>
      </c>
      <c r="AD1" s="277" t="s">
        <v>352</v>
      </c>
      <c r="AE1" s="277" t="s">
        <v>353</v>
      </c>
      <c r="AF1" s="277" t="s">
        <v>354</v>
      </c>
      <c r="AG1" s="277" t="s">
        <v>355</v>
      </c>
      <c r="AH1" s="277" t="s">
        <v>356</v>
      </c>
      <c r="AI1" s="278" t="s">
        <v>357</v>
      </c>
      <c r="AJ1" s="279" t="s">
        <v>358</v>
      </c>
      <c r="AK1" s="279" t="s">
        <v>359</v>
      </c>
      <c r="AL1" s="280" t="s">
        <v>360</v>
      </c>
      <c r="AM1" s="282" t="s">
        <v>361</v>
      </c>
    </row>
    <row r="2" spans="1:43" s="298" customFormat="1" ht="12.75" customHeight="1">
      <c r="A2" s="284" t="s">
        <v>362</v>
      </c>
      <c r="B2" s="285"/>
      <c r="C2" s="286">
        <v>0</v>
      </c>
      <c r="D2" s="287">
        <v>0</v>
      </c>
      <c r="E2" s="288"/>
      <c r="F2" s="289"/>
      <c r="G2" s="289"/>
      <c r="H2" s="437">
        <v>315.35635744035284</v>
      </c>
      <c r="I2" s="291">
        <v>187.65235744035286</v>
      </c>
      <c r="J2" s="292">
        <v>127.70399999999999</v>
      </c>
      <c r="K2" s="292"/>
      <c r="L2" s="290">
        <v>0</v>
      </c>
      <c r="M2" s="291"/>
      <c r="N2" s="293"/>
      <c r="O2" s="293"/>
      <c r="P2" s="293"/>
      <c r="Q2" s="293"/>
      <c r="R2" s="293"/>
      <c r="S2" s="293"/>
      <c r="T2" s="293"/>
      <c r="U2" s="293"/>
      <c r="V2" s="289"/>
      <c r="W2" s="289"/>
      <c r="X2" s="289"/>
      <c r="Y2" s="292"/>
      <c r="Z2" s="437">
        <v>171.49751771428569</v>
      </c>
      <c r="AA2" s="294">
        <v>757.30604420028544</v>
      </c>
      <c r="AB2" s="295">
        <v>69.001988581977614</v>
      </c>
      <c r="AC2" s="292">
        <v>344.90112829599997</v>
      </c>
      <c r="AD2" s="292">
        <v>222.86512840487305</v>
      </c>
      <c r="AE2" s="292">
        <v>42.979400797369799</v>
      </c>
      <c r="AF2" s="292">
        <v>12.923532256094104</v>
      </c>
      <c r="AG2" s="292">
        <v>23.972115147275954</v>
      </c>
      <c r="AH2" s="291">
        <v>10.258262390627788</v>
      </c>
      <c r="AI2" s="289">
        <v>30.404488326067145</v>
      </c>
      <c r="AJ2" s="296">
        <v>43.833028461414592</v>
      </c>
      <c r="AK2" s="296"/>
      <c r="AL2" s="294"/>
      <c r="AM2" s="297">
        <v>1287.9929478163388</v>
      </c>
    </row>
    <row r="3" spans="1:43" s="298" customFormat="1" ht="12.75" customHeight="1">
      <c r="A3" s="299" t="s">
        <v>363</v>
      </c>
      <c r="B3" s="300"/>
      <c r="C3" s="301">
        <v>1346.8346647249841</v>
      </c>
      <c r="D3" s="302">
        <v>1293.324809834864</v>
      </c>
      <c r="E3" s="303">
        <v>41.45458802634522</v>
      </c>
      <c r="F3" s="304"/>
      <c r="G3" s="304">
        <v>12.055266863774902</v>
      </c>
      <c r="H3" s="305">
        <v>0</v>
      </c>
      <c r="I3" s="306"/>
      <c r="J3" s="307"/>
      <c r="K3" s="307"/>
      <c r="L3" s="305">
        <v>8265.9175837430066</v>
      </c>
      <c r="M3" s="306">
        <v>3005.4213999999997</v>
      </c>
      <c r="N3" s="307">
        <v>0</v>
      </c>
      <c r="O3" s="307">
        <v>1079.7509873962383</v>
      </c>
      <c r="P3" s="307">
        <v>532.7149551835239</v>
      </c>
      <c r="Q3" s="307">
        <v>763.43666664191994</v>
      </c>
      <c r="R3" s="307">
        <v>196.43930288361582</v>
      </c>
      <c r="S3" s="307">
        <v>104.55555529999999</v>
      </c>
      <c r="T3" s="307">
        <v>2182.8743673595941</v>
      </c>
      <c r="U3" s="307">
        <v>125.35497672939384</v>
      </c>
      <c r="V3" s="304">
        <v>0</v>
      </c>
      <c r="W3" s="304">
        <v>238.19556224871974</v>
      </c>
      <c r="X3" s="304">
        <v>0.97743000000000002</v>
      </c>
      <c r="Y3" s="307">
        <v>36.196379999999998</v>
      </c>
      <c r="Z3" s="305">
        <v>3846.4506769075715</v>
      </c>
      <c r="AA3" s="308">
        <v>79.621869102978863</v>
      </c>
      <c r="AB3" s="309"/>
      <c r="AC3" s="307"/>
      <c r="AD3" s="307">
        <v>15.392196200436368</v>
      </c>
      <c r="AE3" s="307"/>
      <c r="AF3" s="307"/>
      <c r="AG3" s="307">
        <v>64.22967290254249</v>
      </c>
      <c r="AH3" s="306"/>
      <c r="AI3" s="304"/>
      <c r="AJ3" s="310"/>
      <c r="AK3" s="310">
        <v>67.390044275999983</v>
      </c>
      <c r="AL3" s="308"/>
      <c r="AM3" s="311">
        <v>13606.21483875454</v>
      </c>
      <c r="AQ3" s="298">
        <f>S3-S4+S21</f>
        <v>148.64481996489999</v>
      </c>
    </row>
    <row r="4" spans="1:43" s="298" customFormat="1" ht="12.75" customHeight="1">
      <c r="A4" s="299" t="s">
        <v>364</v>
      </c>
      <c r="B4" s="300"/>
      <c r="C4" s="301">
        <v>9.3109921176560011</v>
      </c>
      <c r="D4" s="302">
        <v>0</v>
      </c>
      <c r="E4" s="312">
        <v>8.9073084500000004</v>
      </c>
      <c r="F4" s="304"/>
      <c r="G4" s="304">
        <v>0.40368366765599989</v>
      </c>
      <c r="H4" s="305">
        <v>8.8697459999999992</v>
      </c>
      <c r="I4" s="306"/>
      <c r="J4" s="307"/>
      <c r="K4" s="307">
        <v>8.8697459999999992</v>
      </c>
      <c r="L4" s="305">
        <v>1772.3668835381411</v>
      </c>
      <c r="M4" s="306">
        <v>0</v>
      </c>
      <c r="N4" s="307"/>
      <c r="O4" s="307">
        <v>433.62034337999995</v>
      </c>
      <c r="P4" s="307">
        <v>5.9879747386368001</v>
      </c>
      <c r="Q4" s="307">
        <v>0.47673116375999997</v>
      </c>
      <c r="R4" s="307">
        <v>962.45417516139128</v>
      </c>
      <c r="S4" s="307">
        <v>37.724257284700002</v>
      </c>
      <c r="T4" s="307">
        <v>316.4189578548112</v>
      </c>
      <c r="U4" s="307">
        <v>0.22210239784184876</v>
      </c>
      <c r="V4" s="304">
        <v>9.016279913</v>
      </c>
      <c r="W4" s="304">
        <v>1.7206643999999997E-2</v>
      </c>
      <c r="X4" s="304">
        <v>5.2550000000000001E-3</v>
      </c>
      <c r="Y4" s="307">
        <v>6.4236000000000004</v>
      </c>
      <c r="Z4" s="305">
        <v>0</v>
      </c>
      <c r="AA4" s="308">
        <v>2.8858024799999996E-3</v>
      </c>
      <c r="AB4" s="309"/>
      <c r="AC4" s="307"/>
      <c r="AD4" s="307">
        <v>2.8858024799999996E-3</v>
      </c>
      <c r="AE4" s="307"/>
      <c r="AF4" s="307"/>
      <c r="AG4" s="307">
        <v>0</v>
      </c>
      <c r="AH4" s="306"/>
      <c r="AI4" s="304"/>
      <c r="AJ4" s="310"/>
      <c r="AK4" s="310">
        <v>31.83121139</v>
      </c>
      <c r="AL4" s="308"/>
      <c r="AM4" s="311">
        <v>1822.3817188482769</v>
      </c>
      <c r="AQ4" s="298">
        <f>AQ3-S26</f>
        <v>138.32611452091263</v>
      </c>
    </row>
    <row r="5" spans="1:43" s="298" customFormat="1" ht="12.75" customHeight="1">
      <c r="A5" s="299" t="s">
        <v>365</v>
      </c>
      <c r="B5" s="300"/>
      <c r="C5" s="301">
        <v>0</v>
      </c>
      <c r="D5" s="302"/>
      <c r="E5" s="312"/>
      <c r="F5" s="304"/>
      <c r="G5" s="304"/>
      <c r="H5" s="305">
        <v>0</v>
      </c>
      <c r="I5" s="306"/>
      <c r="J5" s="307"/>
      <c r="K5" s="307"/>
      <c r="L5" s="305">
        <v>128.53879204910621</v>
      </c>
      <c r="M5" s="306"/>
      <c r="N5" s="307"/>
      <c r="O5" s="307"/>
      <c r="P5" s="307"/>
      <c r="Q5" s="307"/>
      <c r="R5" s="307">
        <v>23.696508519774007</v>
      </c>
      <c r="S5" s="307"/>
      <c r="T5" s="307">
        <v>104.84228352933221</v>
      </c>
      <c r="U5" s="307"/>
      <c r="V5" s="304"/>
      <c r="W5" s="304"/>
      <c r="X5" s="304"/>
      <c r="Y5" s="307"/>
      <c r="Z5" s="305"/>
      <c r="AA5" s="308">
        <v>0</v>
      </c>
      <c r="AB5" s="309"/>
      <c r="AC5" s="307"/>
      <c r="AD5" s="307"/>
      <c r="AE5" s="307"/>
      <c r="AF5" s="307"/>
      <c r="AG5" s="307"/>
      <c r="AH5" s="306"/>
      <c r="AI5" s="304"/>
      <c r="AJ5" s="310"/>
      <c r="AK5" s="310"/>
      <c r="AL5" s="308"/>
      <c r="AM5" s="311">
        <v>128.53879204910621</v>
      </c>
    </row>
    <row r="6" spans="1:43" s="298" customFormat="1" ht="12.75" customHeight="1" thickBot="1">
      <c r="A6" s="313" t="s">
        <v>366</v>
      </c>
      <c r="B6" s="314"/>
      <c r="C6" s="301">
        <v>155.26435651398248</v>
      </c>
      <c r="D6" s="315">
        <v>148.553498653753</v>
      </c>
      <c r="E6" s="304">
        <v>5.5182532106401219</v>
      </c>
      <c r="F6" s="316"/>
      <c r="G6" s="316">
        <v>1.1926046495893485</v>
      </c>
      <c r="H6" s="317">
        <v>464.62932322053905</v>
      </c>
      <c r="I6" s="318">
        <v>457.36678122053905</v>
      </c>
      <c r="J6" s="318">
        <v>0</v>
      </c>
      <c r="K6" s="318">
        <v>7.2625420000000007</v>
      </c>
      <c r="L6" s="317">
        <v>149.97163488893574</v>
      </c>
      <c r="M6" s="306">
        <v>131.91540000000001</v>
      </c>
      <c r="N6" s="307"/>
      <c r="O6" s="307">
        <v>11.88495739041778</v>
      </c>
      <c r="P6" s="307">
        <v>-32.993711018401761</v>
      </c>
      <c r="Q6" s="307">
        <v>2.1153777808800038</v>
      </c>
      <c r="R6" s="307">
        <v>33.907947170871473</v>
      </c>
      <c r="S6" s="307">
        <v>-0.41187664700000065</v>
      </c>
      <c r="T6" s="307">
        <v>20.336442141320198</v>
      </c>
      <c r="U6" s="307">
        <v>-11.361721059894943</v>
      </c>
      <c r="V6" s="316">
        <v>-5.4211808692569976</v>
      </c>
      <c r="W6" s="316">
        <v>0</v>
      </c>
      <c r="X6" s="316">
        <v>0</v>
      </c>
      <c r="Y6" s="318">
        <v>0</v>
      </c>
      <c r="Z6" s="317">
        <v>15.016289828571434</v>
      </c>
      <c r="AA6" s="319">
        <v>-2.1172169422381053</v>
      </c>
      <c r="AB6" s="320"/>
      <c r="AC6" s="321"/>
      <c r="AD6" s="321">
        <v>1.2741511567679997</v>
      </c>
      <c r="AE6" s="321"/>
      <c r="AF6" s="321"/>
      <c r="AG6" s="321">
        <v>-3.391368099006105</v>
      </c>
      <c r="AH6" s="318"/>
      <c r="AI6" s="316"/>
      <c r="AJ6" s="322"/>
      <c r="AK6" s="322"/>
      <c r="AL6" s="319"/>
      <c r="AM6" s="323">
        <v>782.76438750979071</v>
      </c>
    </row>
    <row r="7" spans="1:43" s="333" customFormat="1" ht="12.75" customHeight="1">
      <c r="A7" s="324" t="s">
        <v>367</v>
      </c>
      <c r="B7" s="325"/>
      <c r="C7" s="326">
        <v>1492.7880291213105</v>
      </c>
      <c r="D7" s="327">
        <v>1441.878308488617</v>
      </c>
      <c r="E7" s="328">
        <v>38.065532786985344</v>
      </c>
      <c r="F7" s="328">
        <v>0</v>
      </c>
      <c r="G7" s="328">
        <v>12.84418784570825</v>
      </c>
      <c r="H7" s="329">
        <v>771.11593466089187</v>
      </c>
      <c r="I7" s="327">
        <v>645.01913866089194</v>
      </c>
      <c r="J7" s="328">
        <v>127.70399999999999</v>
      </c>
      <c r="K7" s="328">
        <v>-1.6072039999999985</v>
      </c>
      <c r="L7" s="329">
        <v>6514.9835430446947</v>
      </c>
      <c r="M7" s="327">
        <v>3137.3367999999996</v>
      </c>
      <c r="N7" s="328">
        <v>0</v>
      </c>
      <c r="O7" s="328">
        <v>658.01560140665617</v>
      </c>
      <c r="P7" s="328">
        <v>493.73326942648532</v>
      </c>
      <c r="Q7" s="328">
        <v>765.07531325903994</v>
      </c>
      <c r="R7" s="328">
        <v>-755.80343362667804</v>
      </c>
      <c r="S7" s="328">
        <v>66.419421368299993</v>
      </c>
      <c r="T7" s="328">
        <v>1781.9495681167709</v>
      </c>
      <c r="U7" s="328">
        <v>113.77115327165704</v>
      </c>
      <c r="V7" s="328">
        <v>-14.437460782256998</v>
      </c>
      <c r="W7" s="328">
        <v>238.17835560471974</v>
      </c>
      <c r="X7" s="328">
        <v>0.97217500000000001</v>
      </c>
      <c r="Y7" s="328">
        <v>29.772779999999997</v>
      </c>
      <c r="Z7" s="329">
        <v>4032.9644844504287</v>
      </c>
      <c r="AA7" s="329">
        <v>834.80781055854618</v>
      </c>
      <c r="AB7" s="327">
        <v>69.001988581977614</v>
      </c>
      <c r="AC7" s="328">
        <v>344.90112829599997</v>
      </c>
      <c r="AD7" s="328">
        <v>239.52858995959741</v>
      </c>
      <c r="AE7" s="328">
        <v>42.979400797369799</v>
      </c>
      <c r="AF7" s="328">
        <v>12.923532256094104</v>
      </c>
      <c r="AG7" s="328">
        <v>84.810419950812346</v>
      </c>
      <c r="AH7" s="330">
        <v>10.258262390627788</v>
      </c>
      <c r="AI7" s="327">
        <v>30.404488326067145</v>
      </c>
      <c r="AJ7" s="329">
        <v>43.833028461414592</v>
      </c>
      <c r="AK7" s="329">
        <v>35.558832885999983</v>
      </c>
      <c r="AL7" s="331">
        <v>0</v>
      </c>
      <c r="AM7" s="332">
        <v>13726.051663183287</v>
      </c>
      <c r="AN7" s="298"/>
      <c r="AO7" s="333">
        <f>AM7/0.95</f>
        <v>14448.475434929776</v>
      </c>
    </row>
    <row r="8" spans="1:43" s="333" customFormat="1" ht="12.75" customHeight="1" thickBot="1">
      <c r="A8" s="334" t="s">
        <v>368</v>
      </c>
      <c r="B8" s="335"/>
      <c r="C8" s="336">
        <v>1492.7880291213105</v>
      </c>
      <c r="D8" s="337">
        <v>1441.878308488617</v>
      </c>
      <c r="E8" s="338">
        <v>38.065532786985344</v>
      </c>
      <c r="F8" s="339">
        <v>0</v>
      </c>
      <c r="G8" s="339">
        <v>12.84418784570825</v>
      </c>
      <c r="H8" s="340">
        <v>771.11593466089187</v>
      </c>
      <c r="I8" s="337">
        <v>645.01913866089194</v>
      </c>
      <c r="J8" s="338">
        <v>127.70399999999999</v>
      </c>
      <c r="K8" s="338">
        <v>-1.6072039999999985</v>
      </c>
      <c r="L8" s="340">
        <v>6246.0602324399752</v>
      </c>
      <c r="M8" s="337">
        <v>3137.3367999999996</v>
      </c>
      <c r="N8" s="338">
        <v>0</v>
      </c>
      <c r="O8" s="338">
        <v>658.01560140665617</v>
      </c>
      <c r="P8" s="338">
        <v>493.73326942648532</v>
      </c>
      <c r="Q8" s="338">
        <v>765.07531325903994</v>
      </c>
      <c r="R8" s="338">
        <v>-755.80343362667804</v>
      </c>
      <c r="S8" s="338">
        <v>66.419421368299993</v>
      </c>
      <c r="T8" s="338">
        <v>1781.9495681167709</v>
      </c>
      <c r="U8" s="338">
        <v>113.77115327165704</v>
      </c>
      <c r="V8" s="339">
        <v>-14.437460782256998</v>
      </c>
      <c r="W8" s="339">
        <v>0</v>
      </c>
      <c r="X8" s="339">
        <v>0</v>
      </c>
      <c r="Y8" s="338">
        <v>0</v>
      </c>
      <c r="Z8" s="340">
        <v>4032.9644844504287</v>
      </c>
      <c r="AA8" s="341">
        <v>834.80781055854618</v>
      </c>
      <c r="AB8" s="337">
        <v>69.001988581977614</v>
      </c>
      <c r="AC8" s="338">
        <v>344.90112829599997</v>
      </c>
      <c r="AD8" s="338">
        <v>239.52858995959741</v>
      </c>
      <c r="AE8" s="338">
        <v>42.979400797369799</v>
      </c>
      <c r="AF8" s="338">
        <v>12.923532256094104</v>
      </c>
      <c r="AG8" s="338">
        <v>84.810419950812346</v>
      </c>
      <c r="AH8" s="342">
        <v>10.258262390627788</v>
      </c>
      <c r="AI8" s="337">
        <v>30.404488326067145</v>
      </c>
      <c r="AJ8" s="340">
        <v>43.833028461414592</v>
      </c>
      <c r="AK8" s="340">
        <v>35.558832885999983</v>
      </c>
      <c r="AL8" s="337">
        <v>0</v>
      </c>
      <c r="AM8" s="343">
        <v>13457.128352578568</v>
      </c>
      <c r="AN8" s="298"/>
    </row>
    <row r="9" spans="1:43" s="333" customFormat="1" ht="12.75" customHeight="1">
      <c r="A9" s="324" t="s">
        <v>369</v>
      </c>
      <c r="B9" s="325"/>
      <c r="C9" s="326">
        <v>1160.1104733552247</v>
      </c>
      <c r="D9" s="330">
        <v>1160.1104733552247</v>
      </c>
      <c r="E9" s="328">
        <v>0</v>
      </c>
      <c r="F9" s="344">
        <v>0</v>
      </c>
      <c r="G9" s="344">
        <v>0</v>
      </c>
      <c r="H9" s="329">
        <v>656.95502828815472</v>
      </c>
      <c r="I9" s="330">
        <v>656.95502828815472</v>
      </c>
      <c r="J9" s="328">
        <v>0</v>
      </c>
      <c r="K9" s="328">
        <v>0</v>
      </c>
      <c r="L9" s="329">
        <v>3193.221579748662</v>
      </c>
      <c r="M9" s="328">
        <v>3137.3368</v>
      </c>
      <c r="N9" s="328">
        <v>8.7413981759999988</v>
      </c>
      <c r="O9" s="328">
        <v>0</v>
      </c>
      <c r="P9" s="328">
        <v>0</v>
      </c>
      <c r="Q9" s="328">
        <v>0</v>
      </c>
      <c r="R9" s="328">
        <v>39.385257909776691</v>
      </c>
      <c r="S9" s="328">
        <v>0.49079650780767087</v>
      </c>
      <c r="T9" s="328">
        <v>7.2673271550774992</v>
      </c>
      <c r="U9" s="328">
        <v>0</v>
      </c>
      <c r="V9" s="344">
        <v>0</v>
      </c>
      <c r="W9" s="344">
        <v>0</v>
      </c>
      <c r="X9" s="344">
        <v>0</v>
      </c>
      <c r="Y9" s="328">
        <v>0</v>
      </c>
      <c r="Z9" s="329">
        <v>2328.2369151487947</v>
      </c>
      <c r="AA9" s="327">
        <v>112.78478660237138</v>
      </c>
      <c r="AB9" s="345">
        <v>0</v>
      </c>
      <c r="AC9" s="328">
        <v>0</v>
      </c>
      <c r="AD9" s="328">
        <v>65.656076622923834</v>
      </c>
      <c r="AE9" s="328">
        <v>42.979400797369799</v>
      </c>
      <c r="AF9" s="328">
        <v>4.149309182077757</v>
      </c>
      <c r="AG9" s="328">
        <v>0</v>
      </c>
      <c r="AH9" s="330">
        <v>0</v>
      </c>
      <c r="AI9" s="344">
        <v>0</v>
      </c>
      <c r="AJ9" s="329">
        <v>18.348744670969214</v>
      </c>
      <c r="AK9" s="329">
        <v>49.016600935999996</v>
      </c>
      <c r="AL9" s="327">
        <v>0</v>
      </c>
      <c r="AM9" s="346">
        <v>7518.6741287501773</v>
      </c>
      <c r="AN9" s="298"/>
    </row>
    <row r="10" spans="1:43" s="298" customFormat="1" ht="12.75" customHeight="1">
      <c r="A10" s="347" t="s">
        <v>370</v>
      </c>
      <c r="B10" s="348"/>
      <c r="C10" s="349">
        <v>1160.1104733552247</v>
      </c>
      <c r="D10" s="350">
        <v>1160.1104733552247</v>
      </c>
      <c r="E10" s="351"/>
      <c r="F10" s="352"/>
      <c r="G10" s="352"/>
      <c r="H10" s="353">
        <v>549.99918274545769</v>
      </c>
      <c r="I10" s="350">
        <v>549.99918274545769</v>
      </c>
      <c r="J10" s="351">
        <v>0</v>
      </c>
      <c r="K10" s="351"/>
      <c r="L10" s="353">
        <v>46.652585064854193</v>
      </c>
      <c r="M10" s="351"/>
      <c r="N10" s="351"/>
      <c r="O10" s="351"/>
      <c r="P10" s="351"/>
      <c r="Q10" s="351"/>
      <c r="R10" s="351">
        <v>39.385257909776691</v>
      </c>
      <c r="S10" s="351"/>
      <c r="T10" s="351">
        <v>7.2673271550774992</v>
      </c>
      <c r="U10" s="351"/>
      <c r="V10" s="352"/>
      <c r="W10" s="352"/>
      <c r="X10" s="352"/>
      <c r="Y10" s="351"/>
      <c r="Z10" s="353">
        <v>1994.4962718704596</v>
      </c>
      <c r="AA10" s="354">
        <v>103.85177430541363</v>
      </c>
      <c r="AB10" s="355"/>
      <c r="AC10" s="351"/>
      <c r="AD10" s="351">
        <v>60.872373508043829</v>
      </c>
      <c r="AE10" s="351">
        <v>42.979400797369799</v>
      </c>
      <c r="AF10" s="351"/>
      <c r="AG10" s="351"/>
      <c r="AH10" s="350"/>
      <c r="AI10" s="352"/>
      <c r="AJ10" s="356">
        <v>18.348744670969214</v>
      </c>
      <c r="AK10" s="353"/>
      <c r="AL10" s="354"/>
      <c r="AM10" s="357">
        <v>3873.4590320123793</v>
      </c>
    </row>
    <row r="11" spans="1:43" s="298" customFormat="1" ht="12.75" customHeight="1">
      <c r="A11" s="299" t="s">
        <v>371</v>
      </c>
      <c r="B11" s="300"/>
      <c r="C11" s="301">
        <v>0</v>
      </c>
      <c r="D11" s="306">
        <v>0</v>
      </c>
      <c r="E11" s="307"/>
      <c r="F11" s="304"/>
      <c r="G11" s="304"/>
      <c r="H11" s="305">
        <v>7.3137987180636967</v>
      </c>
      <c r="I11" s="306">
        <v>7.3137987180636967</v>
      </c>
      <c r="J11" s="307"/>
      <c r="K11" s="307"/>
      <c r="L11" s="305">
        <v>9.2321946838076698</v>
      </c>
      <c r="M11" s="307"/>
      <c r="N11" s="358">
        <v>8.7413981759999988</v>
      </c>
      <c r="O11" s="307"/>
      <c r="P11" s="307"/>
      <c r="Q11" s="307"/>
      <c r="R11" s="307">
        <v>0</v>
      </c>
      <c r="S11" s="307">
        <v>0.49079650780767087</v>
      </c>
      <c r="T11" s="307">
        <v>0</v>
      </c>
      <c r="U11" s="307"/>
      <c r="V11" s="304"/>
      <c r="W11" s="304"/>
      <c r="X11" s="304"/>
      <c r="Y11" s="307"/>
      <c r="Z11" s="305">
        <v>274.98639864056184</v>
      </c>
      <c r="AA11" s="308">
        <v>8.9330122969577559</v>
      </c>
      <c r="AB11" s="309"/>
      <c r="AC11" s="307"/>
      <c r="AD11" s="307">
        <v>4.7837031148799998</v>
      </c>
      <c r="AE11" s="307"/>
      <c r="AF11" s="307">
        <v>4.149309182077757</v>
      </c>
      <c r="AG11" s="307"/>
      <c r="AH11" s="306"/>
      <c r="AI11" s="304"/>
      <c r="AJ11" s="310"/>
      <c r="AK11" s="310"/>
      <c r="AL11" s="308"/>
      <c r="AM11" s="311">
        <v>300.465404339391</v>
      </c>
    </row>
    <row r="12" spans="1:43" s="298" customFormat="1" ht="12.75" customHeight="1">
      <c r="A12" s="299" t="s">
        <v>372</v>
      </c>
      <c r="B12" s="300"/>
      <c r="C12" s="301"/>
      <c r="D12" s="306"/>
      <c r="E12" s="307"/>
      <c r="F12" s="304"/>
      <c r="G12" s="304"/>
      <c r="H12" s="305"/>
      <c r="I12" s="306"/>
      <c r="J12" s="307"/>
      <c r="K12" s="307"/>
      <c r="L12" s="305"/>
      <c r="M12" s="307"/>
      <c r="N12" s="358"/>
      <c r="O12" s="307"/>
      <c r="P12" s="307"/>
      <c r="Q12" s="307"/>
      <c r="R12" s="307"/>
      <c r="S12" s="307"/>
      <c r="T12" s="307"/>
      <c r="U12" s="307"/>
      <c r="V12" s="304"/>
      <c r="W12" s="304"/>
      <c r="X12" s="304"/>
      <c r="Y12" s="307"/>
      <c r="Z12" s="305"/>
      <c r="AA12" s="308"/>
      <c r="AB12" s="309"/>
      <c r="AC12" s="307"/>
      <c r="AD12" s="307"/>
      <c r="AE12" s="307"/>
      <c r="AF12" s="307"/>
      <c r="AG12" s="307"/>
      <c r="AH12" s="306"/>
      <c r="AI12" s="304"/>
      <c r="AJ12" s="310"/>
      <c r="AK12" s="310">
        <v>29.801018935999998</v>
      </c>
      <c r="AL12" s="308"/>
      <c r="AM12" s="311">
        <v>29.801018935999998</v>
      </c>
    </row>
    <row r="13" spans="1:43" s="298" customFormat="1" ht="12.75" customHeight="1">
      <c r="A13" s="299" t="s">
        <v>373</v>
      </c>
      <c r="B13" s="300"/>
      <c r="C13" s="301">
        <v>0</v>
      </c>
      <c r="D13" s="306"/>
      <c r="E13" s="304"/>
      <c r="F13" s="304"/>
      <c r="G13" s="304"/>
      <c r="H13" s="305">
        <v>99.642046824633354</v>
      </c>
      <c r="I13" s="306">
        <v>99.642046824633354</v>
      </c>
      <c r="J13" s="307"/>
      <c r="K13" s="307"/>
      <c r="L13" s="305">
        <v>0</v>
      </c>
      <c r="M13" s="307"/>
      <c r="N13" s="307"/>
      <c r="O13" s="307"/>
      <c r="P13" s="307"/>
      <c r="Q13" s="307"/>
      <c r="R13" s="307"/>
      <c r="S13" s="307"/>
      <c r="T13" s="307"/>
      <c r="U13" s="307"/>
      <c r="V13" s="304"/>
      <c r="W13" s="304"/>
      <c r="X13" s="304"/>
      <c r="Y13" s="307"/>
      <c r="Z13" s="305"/>
      <c r="AA13" s="308">
        <v>0</v>
      </c>
      <c r="AB13" s="309"/>
      <c r="AC13" s="307"/>
      <c r="AD13" s="307"/>
      <c r="AE13" s="307"/>
      <c r="AF13" s="307"/>
      <c r="AG13" s="307"/>
      <c r="AH13" s="306"/>
      <c r="AI13" s="304"/>
      <c r="AJ13" s="310"/>
      <c r="AK13" s="310"/>
      <c r="AL13" s="308"/>
      <c r="AM13" s="311">
        <v>99.642046824633354</v>
      </c>
    </row>
    <row r="14" spans="1:43" s="298" customFormat="1" ht="12.75" customHeight="1">
      <c r="A14" s="438" t="s">
        <v>374</v>
      </c>
      <c r="B14" s="439"/>
      <c r="C14" s="440">
        <v>0</v>
      </c>
      <c r="D14" s="441"/>
      <c r="E14" s="442"/>
      <c r="F14" s="443"/>
      <c r="G14" s="443"/>
      <c r="H14" s="444">
        <v>0</v>
      </c>
      <c r="I14" s="441"/>
      <c r="J14" s="442"/>
      <c r="K14" s="442"/>
      <c r="L14" s="444">
        <v>3137.3368</v>
      </c>
      <c r="M14" s="442">
        <v>3137.3368</v>
      </c>
      <c r="N14" s="442"/>
      <c r="O14" s="442"/>
      <c r="P14" s="442"/>
      <c r="Q14" s="442"/>
      <c r="R14" s="442"/>
      <c r="S14" s="442"/>
      <c r="T14" s="442"/>
      <c r="U14" s="442"/>
      <c r="V14" s="443"/>
      <c r="W14" s="443"/>
      <c r="X14" s="443"/>
      <c r="Y14" s="442"/>
      <c r="Z14" s="444">
        <v>58.754244637773425</v>
      </c>
      <c r="AA14" s="445">
        <v>0</v>
      </c>
      <c r="AB14" s="446"/>
      <c r="AC14" s="442"/>
      <c r="AD14" s="442"/>
      <c r="AE14" s="442"/>
      <c r="AF14" s="442"/>
      <c r="AG14" s="442"/>
      <c r="AH14" s="441"/>
      <c r="AI14" s="443"/>
      <c r="AJ14" s="447"/>
      <c r="AK14" s="447">
        <v>19.215581999999998</v>
      </c>
      <c r="AL14" s="445"/>
      <c r="AM14" s="448">
        <v>3215.3066266377732</v>
      </c>
    </row>
    <row r="15" spans="1:43" s="333" customFormat="1" ht="12.75" customHeight="1">
      <c r="A15" s="370" t="s">
        <v>375</v>
      </c>
      <c r="B15" s="371"/>
      <c r="C15" s="372">
        <v>0</v>
      </c>
      <c r="D15" s="373">
        <v>0</v>
      </c>
      <c r="E15" s="374">
        <v>0</v>
      </c>
      <c r="F15" s="375">
        <v>0</v>
      </c>
      <c r="G15" s="375">
        <v>0</v>
      </c>
      <c r="H15" s="376">
        <v>87.066334000000012</v>
      </c>
      <c r="I15" s="373">
        <v>0</v>
      </c>
      <c r="J15" s="374">
        <v>0</v>
      </c>
      <c r="K15" s="374">
        <v>87.066334000000012</v>
      </c>
      <c r="L15" s="376">
        <v>3100.4499153283145</v>
      </c>
      <c r="M15" s="374">
        <v>0</v>
      </c>
      <c r="N15" s="374">
        <v>39.365629364283173</v>
      </c>
      <c r="O15" s="374">
        <v>587.00931856235991</v>
      </c>
      <c r="P15" s="374">
        <v>139.33763876760005</v>
      </c>
      <c r="Q15" s="374">
        <v>0</v>
      </c>
      <c r="R15" s="374">
        <v>946.93779043262703</v>
      </c>
      <c r="S15" s="374">
        <v>81.813521949600002</v>
      </c>
      <c r="T15" s="374">
        <v>1295.8924299065873</v>
      </c>
      <c r="U15" s="374">
        <v>0</v>
      </c>
      <c r="V15" s="375">
        <v>10.093586345256998</v>
      </c>
      <c r="W15" s="375">
        <v>0</v>
      </c>
      <c r="X15" s="375">
        <v>0</v>
      </c>
      <c r="Y15" s="374">
        <v>0</v>
      </c>
      <c r="Z15" s="376">
        <v>0</v>
      </c>
      <c r="AA15" s="377">
        <v>37.775283898293786</v>
      </c>
      <c r="AB15" s="378">
        <v>0</v>
      </c>
      <c r="AC15" s="374">
        <v>0</v>
      </c>
      <c r="AD15" s="374">
        <v>20.652906547174766</v>
      </c>
      <c r="AE15" s="379">
        <v>15.015800062490019</v>
      </c>
      <c r="AF15" s="379">
        <v>2.106577288629</v>
      </c>
      <c r="AG15" s="379">
        <v>0</v>
      </c>
      <c r="AH15" s="373">
        <v>0</v>
      </c>
      <c r="AI15" s="375">
        <v>0</v>
      </c>
      <c r="AJ15" s="376">
        <v>3.9249397296005823</v>
      </c>
      <c r="AK15" s="376">
        <v>1959.6296581071515</v>
      </c>
      <c r="AL15" s="377">
        <v>0</v>
      </c>
      <c r="AM15" s="380">
        <v>5188.8461310633611</v>
      </c>
      <c r="AN15" s="298"/>
    </row>
    <row r="16" spans="1:43" s="382" customFormat="1" ht="12.75" customHeight="1">
      <c r="A16" s="347" t="s">
        <v>370</v>
      </c>
      <c r="B16" s="348"/>
      <c r="C16" s="349">
        <v>0</v>
      </c>
      <c r="D16" s="350"/>
      <c r="E16" s="351"/>
      <c r="F16" s="352"/>
      <c r="G16" s="352"/>
      <c r="H16" s="353">
        <v>0</v>
      </c>
      <c r="I16" s="350"/>
      <c r="J16" s="351"/>
      <c r="K16" s="351"/>
      <c r="L16" s="353">
        <v>0</v>
      </c>
      <c r="M16" s="351"/>
      <c r="N16" s="351"/>
      <c r="O16" s="351"/>
      <c r="P16" s="351"/>
      <c r="Q16" s="351"/>
      <c r="R16" s="351"/>
      <c r="S16" s="351"/>
      <c r="T16" s="351"/>
      <c r="U16" s="351"/>
      <c r="V16" s="352"/>
      <c r="W16" s="352"/>
      <c r="X16" s="352"/>
      <c r="Y16" s="351"/>
      <c r="Z16" s="353"/>
      <c r="AA16" s="354">
        <v>33.764175893664785</v>
      </c>
      <c r="AB16" s="355"/>
      <c r="AC16" s="351"/>
      <c r="AD16" s="351">
        <v>18.748375831174766</v>
      </c>
      <c r="AE16" s="358">
        <v>15.015800062490019</v>
      </c>
      <c r="AF16" s="358"/>
      <c r="AG16" s="358"/>
      <c r="AH16" s="350"/>
      <c r="AI16" s="352"/>
      <c r="AJ16" s="356">
        <v>3.9249397296005823</v>
      </c>
      <c r="AK16" s="356">
        <v>1758.55124286982</v>
      </c>
      <c r="AL16" s="354"/>
      <c r="AM16" s="381">
        <v>1758.55124286982</v>
      </c>
      <c r="AN16" s="298"/>
    </row>
    <row r="17" spans="1:40" s="382" customFormat="1" ht="12.75" customHeight="1">
      <c r="A17" s="299" t="s">
        <v>376</v>
      </c>
      <c r="B17" s="300"/>
      <c r="C17" s="301">
        <v>0</v>
      </c>
      <c r="D17" s="306"/>
      <c r="E17" s="307"/>
      <c r="F17" s="304"/>
      <c r="G17" s="304"/>
      <c r="H17" s="305">
        <v>0</v>
      </c>
      <c r="I17" s="306"/>
      <c r="J17" s="307"/>
      <c r="K17" s="307"/>
      <c r="L17" s="305">
        <v>0</v>
      </c>
      <c r="M17" s="307"/>
      <c r="N17" s="307"/>
      <c r="O17" s="307"/>
      <c r="P17" s="307"/>
      <c r="Q17" s="307"/>
      <c r="R17" s="307"/>
      <c r="S17" s="307"/>
      <c r="T17" s="307"/>
      <c r="U17" s="307"/>
      <c r="V17" s="304"/>
      <c r="W17" s="304"/>
      <c r="X17" s="304"/>
      <c r="Y17" s="307"/>
      <c r="Z17" s="305"/>
      <c r="AA17" s="308">
        <v>4.0111080046289995</v>
      </c>
      <c r="AB17" s="309"/>
      <c r="AC17" s="307"/>
      <c r="AD17" s="307">
        <v>1.9045307159999998</v>
      </c>
      <c r="AE17" s="307"/>
      <c r="AF17" s="307">
        <v>2.106577288629</v>
      </c>
      <c r="AG17" s="307"/>
      <c r="AH17" s="306"/>
      <c r="AI17" s="304"/>
      <c r="AJ17" s="310"/>
      <c r="AK17" s="383">
        <v>182.86602689418905</v>
      </c>
      <c r="AL17" s="308"/>
      <c r="AM17" s="311">
        <v>182.86602689418905</v>
      </c>
      <c r="AN17" s="298"/>
    </row>
    <row r="18" spans="1:40" s="382" customFormat="1" ht="12.75" customHeight="1">
      <c r="A18" s="299" t="s">
        <v>377</v>
      </c>
      <c r="B18" s="300"/>
      <c r="C18" s="301"/>
      <c r="D18" s="306"/>
      <c r="E18" s="307"/>
      <c r="F18" s="304"/>
      <c r="G18" s="304"/>
      <c r="H18" s="305"/>
      <c r="I18" s="306"/>
      <c r="J18" s="307"/>
      <c r="K18" s="307"/>
      <c r="L18" s="305"/>
      <c r="M18" s="307"/>
      <c r="N18" s="307"/>
      <c r="O18" s="307"/>
      <c r="P18" s="307"/>
      <c r="Q18" s="307"/>
      <c r="R18" s="307"/>
      <c r="S18" s="307"/>
      <c r="T18" s="307"/>
      <c r="U18" s="307"/>
      <c r="V18" s="304"/>
      <c r="W18" s="304"/>
      <c r="X18" s="304"/>
      <c r="Y18" s="307"/>
      <c r="Z18" s="305"/>
      <c r="AA18" s="308">
        <v>0</v>
      </c>
      <c r="AB18" s="309"/>
      <c r="AC18" s="307"/>
      <c r="AD18" s="307"/>
      <c r="AE18" s="307"/>
      <c r="AF18" s="307"/>
      <c r="AG18" s="307"/>
      <c r="AH18" s="306"/>
      <c r="AI18" s="304"/>
      <c r="AJ18" s="310"/>
      <c r="AK18" s="310"/>
      <c r="AL18" s="308"/>
      <c r="AM18" s="311">
        <v>0</v>
      </c>
      <c r="AN18" s="298"/>
    </row>
    <row r="19" spans="1:40" s="382" customFormat="1" ht="12.75" customHeight="1">
      <c r="A19" s="299" t="s">
        <v>378</v>
      </c>
      <c r="B19" s="300"/>
      <c r="C19" s="301"/>
      <c r="D19" s="306"/>
      <c r="E19" s="307"/>
      <c r="F19" s="304"/>
      <c r="G19" s="304"/>
      <c r="H19" s="305"/>
      <c r="I19" s="306"/>
      <c r="J19" s="307"/>
      <c r="K19" s="307"/>
      <c r="L19" s="305"/>
      <c r="M19" s="307"/>
      <c r="N19" s="307"/>
      <c r="O19" s="307"/>
      <c r="P19" s="307"/>
      <c r="Q19" s="307"/>
      <c r="R19" s="307"/>
      <c r="S19" s="307"/>
      <c r="T19" s="307"/>
      <c r="U19" s="307"/>
      <c r="V19" s="304"/>
      <c r="W19" s="304"/>
      <c r="X19" s="304"/>
      <c r="Y19" s="307"/>
      <c r="Z19" s="305"/>
      <c r="AA19" s="308"/>
      <c r="AB19" s="309"/>
      <c r="AC19" s="307"/>
      <c r="AD19" s="307"/>
      <c r="AE19" s="307"/>
      <c r="AF19" s="307"/>
      <c r="AG19" s="307"/>
      <c r="AH19" s="306"/>
      <c r="AI19" s="304"/>
      <c r="AJ19" s="310"/>
      <c r="AK19" s="310">
        <v>18.212388343142397</v>
      </c>
      <c r="AL19" s="308"/>
      <c r="AM19" s="311">
        <v>18.212388343142397</v>
      </c>
      <c r="AN19" s="298"/>
    </row>
    <row r="20" spans="1:40" s="382" customFormat="1" ht="12.75" customHeight="1">
      <c r="A20" s="299" t="s">
        <v>373</v>
      </c>
      <c r="B20" s="300"/>
      <c r="C20" s="301"/>
      <c r="E20" s="307"/>
      <c r="F20" s="304"/>
      <c r="G20" s="304"/>
      <c r="H20" s="305">
        <v>87.066334000000012</v>
      </c>
      <c r="I20" s="306"/>
      <c r="J20" s="307"/>
      <c r="K20" s="307">
        <v>87.066334000000012</v>
      </c>
      <c r="L20" s="305">
        <v>0</v>
      </c>
      <c r="M20" s="307"/>
      <c r="N20" s="307"/>
      <c r="O20" s="307"/>
      <c r="P20" s="307"/>
      <c r="Q20" s="307"/>
      <c r="R20" s="307"/>
      <c r="S20" s="307"/>
      <c r="T20" s="307"/>
      <c r="U20" s="307"/>
      <c r="V20" s="304"/>
      <c r="W20" s="304"/>
      <c r="X20" s="304"/>
      <c r="Y20" s="307"/>
      <c r="Z20" s="305"/>
      <c r="AA20" s="308">
        <v>0</v>
      </c>
      <c r="AB20" s="309"/>
      <c r="AC20" s="307"/>
      <c r="AD20" s="307"/>
      <c r="AE20" s="307"/>
      <c r="AF20" s="307"/>
      <c r="AG20" s="307"/>
      <c r="AH20" s="306"/>
      <c r="AI20" s="304"/>
      <c r="AJ20" s="310"/>
      <c r="AK20" s="310"/>
      <c r="AL20" s="308"/>
      <c r="AM20" s="311">
        <v>87.066334000000012</v>
      </c>
      <c r="AN20" s="298"/>
    </row>
    <row r="21" spans="1:40" s="382" customFormat="1" ht="12.75" customHeight="1">
      <c r="A21" s="438" t="s">
        <v>379</v>
      </c>
      <c r="B21" s="439"/>
      <c r="C21" s="440"/>
      <c r="D21" s="441"/>
      <c r="E21" s="442"/>
      <c r="F21" s="443"/>
      <c r="G21" s="443"/>
      <c r="H21" s="444">
        <v>0</v>
      </c>
      <c r="I21" s="441"/>
      <c r="J21" s="442"/>
      <c r="K21" s="442"/>
      <c r="L21" s="444">
        <v>3100.4499153283145</v>
      </c>
      <c r="M21" s="442"/>
      <c r="N21" s="442">
        <v>39.365629364283173</v>
      </c>
      <c r="O21" s="442">
        <v>587.00931856235991</v>
      </c>
      <c r="P21" s="442">
        <v>139.33763876760005</v>
      </c>
      <c r="Q21" s="442">
        <v>0</v>
      </c>
      <c r="R21" s="442">
        <v>946.93779043262703</v>
      </c>
      <c r="S21" s="442">
        <v>81.813521949600002</v>
      </c>
      <c r="T21" s="442">
        <v>1295.8924299065873</v>
      </c>
      <c r="U21" s="442"/>
      <c r="V21" s="443">
        <v>10.093586345256998</v>
      </c>
      <c r="W21" s="443"/>
      <c r="X21" s="443"/>
      <c r="Y21" s="442"/>
      <c r="Z21" s="444"/>
      <c r="AA21" s="445">
        <v>0</v>
      </c>
      <c r="AB21" s="446"/>
      <c r="AC21" s="442"/>
      <c r="AD21" s="442"/>
      <c r="AE21" s="442"/>
      <c r="AF21" s="442"/>
      <c r="AG21" s="442"/>
      <c r="AH21" s="441"/>
      <c r="AI21" s="443"/>
      <c r="AJ21" s="447"/>
      <c r="AK21" s="447"/>
      <c r="AL21" s="445"/>
      <c r="AM21" s="448">
        <v>3100.4499153283145</v>
      </c>
      <c r="AN21" s="298"/>
    </row>
    <row r="22" spans="1:40" s="382" customFormat="1" ht="12.75" customHeight="1">
      <c r="A22" s="384" t="s">
        <v>380</v>
      </c>
      <c r="B22" s="385"/>
      <c r="C22" s="386">
        <v>17.197479693013754</v>
      </c>
      <c r="D22" s="387">
        <v>-11.292365000000002</v>
      </c>
      <c r="E22" s="388">
        <v>28.489844693013758</v>
      </c>
      <c r="F22" s="389">
        <v>0</v>
      </c>
      <c r="G22" s="389">
        <v>0</v>
      </c>
      <c r="H22" s="390">
        <v>0</v>
      </c>
      <c r="I22" s="387">
        <v>0</v>
      </c>
      <c r="J22" s="388">
        <v>0</v>
      </c>
      <c r="K22" s="388">
        <v>0</v>
      </c>
      <c r="L22" s="390">
        <v>-18.19450505671319</v>
      </c>
      <c r="M22" s="388">
        <v>0</v>
      </c>
      <c r="N22" s="388">
        <v>0</v>
      </c>
      <c r="O22" s="388">
        <v>2.4707211111111169E-2</v>
      </c>
      <c r="P22" s="388">
        <v>169.09571529760004</v>
      </c>
      <c r="Q22" s="388">
        <v>-168.71280274895997</v>
      </c>
      <c r="R22" s="388">
        <v>0.56981287485875698</v>
      </c>
      <c r="S22" s="388">
        <v>0</v>
      </c>
      <c r="T22" s="388">
        <v>-1.9744579983093757</v>
      </c>
      <c r="U22" s="388">
        <v>-17.197479693013758</v>
      </c>
      <c r="V22" s="389">
        <v>0</v>
      </c>
      <c r="W22" s="389">
        <v>0</v>
      </c>
      <c r="X22" s="389">
        <v>0</v>
      </c>
      <c r="Y22" s="388">
        <v>0</v>
      </c>
      <c r="Z22" s="390">
        <v>0</v>
      </c>
      <c r="AA22" s="391">
        <v>-413.95865675511038</v>
      </c>
      <c r="AB22" s="392">
        <v>-69.001988581977614</v>
      </c>
      <c r="AC22" s="388">
        <v>-344.90112829599997</v>
      </c>
      <c r="AD22" s="388">
        <v>0</v>
      </c>
      <c r="AE22" s="393">
        <v>0</v>
      </c>
      <c r="AF22" s="393">
        <v>0</v>
      </c>
      <c r="AG22" s="393">
        <v>0</v>
      </c>
      <c r="AH22" s="387">
        <v>-5.5539877132800002E-2</v>
      </c>
      <c r="AI22" s="389">
        <v>0</v>
      </c>
      <c r="AJ22" s="394">
        <v>0</v>
      </c>
      <c r="AK22" s="390">
        <v>413.95865675511038</v>
      </c>
      <c r="AL22" s="391">
        <v>0</v>
      </c>
      <c r="AM22" s="395">
        <v>-0.99702536369943573</v>
      </c>
      <c r="AN22" s="298"/>
    </row>
    <row r="23" spans="1:40" s="382" customFormat="1" ht="12.75" customHeight="1">
      <c r="A23" s="347" t="s">
        <v>381</v>
      </c>
      <c r="B23" s="348"/>
      <c r="C23" s="396"/>
      <c r="D23" s="397"/>
      <c r="E23" s="398"/>
      <c r="F23" s="352"/>
      <c r="G23" s="352"/>
      <c r="H23" s="353"/>
      <c r="I23" s="399"/>
      <c r="J23" s="351"/>
      <c r="K23" s="351"/>
      <c r="L23" s="353"/>
      <c r="M23" s="351"/>
      <c r="N23" s="351"/>
      <c r="O23" s="351"/>
      <c r="P23" s="351"/>
      <c r="Q23" s="351"/>
      <c r="R23" s="351"/>
      <c r="S23" s="351"/>
      <c r="T23" s="351"/>
      <c r="U23" s="351"/>
      <c r="V23" s="352"/>
      <c r="W23" s="352"/>
      <c r="X23" s="352"/>
      <c r="Y23" s="351"/>
      <c r="Z23" s="353"/>
      <c r="AA23" s="354">
        <v>-413.95865675511038</v>
      </c>
      <c r="AB23" s="355">
        <v>-69.001988581977614</v>
      </c>
      <c r="AC23" s="351">
        <v>-344.90112829599997</v>
      </c>
      <c r="AD23" s="351"/>
      <c r="AE23" s="358"/>
      <c r="AF23" s="358"/>
      <c r="AG23" s="358"/>
      <c r="AH23" s="350">
        <v>-5.5539877132800002E-2</v>
      </c>
      <c r="AI23" s="352"/>
      <c r="AJ23" s="356"/>
      <c r="AK23" s="353">
        <v>413.95865675511038</v>
      </c>
      <c r="AL23" s="354"/>
      <c r="AM23" s="381">
        <v>0</v>
      </c>
      <c r="AN23" s="298"/>
    </row>
    <row r="24" spans="1:40" s="382" customFormat="1" ht="12.75" customHeight="1">
      <c r="A24" s="400" t="s">
        <v>382</v>
      </c>
      <c r="B24" s="371"/>
      <c r="C24" s="401"/>
      <c r="D24" s="402"/>
      <c r="E24" s="374"/>
      <c r="F24" s="403"/>
      <c r="G24" s="403"/>
      <c r="H24" s="376"/>
      <c r="I24" s="404"/>
      <c r="J24" s="405"/>
      <c r="K24" s="405"/>
      <c r="L24" s="376"/>
      <c r="M24" s="405"/>
      <c r="N24" s="405"/>
      <c r="O24" s="405"/>
      <c r="P24" s="405"/>
      <c r="Q24" s="405"/>
      <c r="R24" s="405"/>
      <c r="S24" s="405"/>
      <c r="T24" s="405"/>
      <c r="U24" s="405"/>
      <c r="V24" s="403"/>
      <c r="W24" s="403"/>
      <c r="X24" s="403"/>
      <c r="Y24" s="405"/>
      <c r="Z24" s="376"/>
      <c r="AA24" s="377"/>
      <c r="AB24" s="406"/>
      <c r="AC24" s="405"/>
      <c r="AD24" s="405"/>
      <c r="AE24" s="405"/>
      <c r="AF24" s="405"/>
      <c r="AG24" s="405"/>
      <c r="AH24" s="407"/>
      <c r="AI24" s="403"/>
      <c r="AJ24" s="408"/>
      <c r="AK24" s="376"/>
      <c r="AL24" s="377"/>
      <c r="AM24" s="409">
        <v>0</v>
      </c>
      <c r="AN24" s="298"/>
    </row>
    <row r="25" spans="1:40" s="382" customFormat="1" ht="12.75" customHeight="1" thickBot="1">
      <c r="A25" s="313" t="s">
        <v>383</v>
      </c>
      <c r="B25" s="314"/>
      <c r="C25" s="410">
        <v>17.197479693013754</v>
      </c>
      <c r="D25" s="411">
        <v>-11.292365000000002</v>
      </c>
      <c r="E25" s="321">
        <v>28.489844693013758</v>
      </c>
      <c r="F25" s="316"/>
      <c r="G25" s="316"/>
      <c r="H25" s="317"/>
      <c r="I25" s="412"/>
      <c r="J25" s="321"/>
      <c r="K25" s="321"/>
      <c r="L25" s="317">
        <v>-18.19450505671319</v>
      </c>
      <c r="M25" s="321"/>
      <c r="N25" s="321"/>
      <c r="O25" s="321">
        <v>2.4707211111111169E-2</v>
      </c>
      <c r="P25" s="321">
        <v>169.09571529760004</v>
      </c>
      <c r="Q25" s="321">
        <v>-168.71280274895997</v>
      </c>
      <c r="R25" s="321">
        <v>0.56981287485875698</v>
      </c>
      <c r="S25" s="321"/>
      <c r="T25" s="321">
        <v>-1.9744579983093757</v>
      </c>
      <c r="U25" s="316">
        <v>-17.197479693013758</v>
      </c>
      <c r="V25" s="316"/>
      <c r="W25" s="316"/>
      <c r="X25" s="316"/>
      <c r="Y25" s="321"/>
      <c r="Z25" s="317"/>
      <c r="AA25" s="317">
        <v>0</v>
      </c>
      <c r="AB25" s="320"/>
      <c r="AC25" s="321"/>
      <c r="AD25" s="321"/>
      <c r="AE25" s="321"/>
      <c r="AF25" s="321"/>
      <c r="AG25" s="321"/>
      <c r="AH25" s="318"/>
      <c r="AI25" s="316"/>
      <c r="AJ25" s="322"/>
      <c r="AK25" s="317"/>
      <c r="AL25" s="319"/>
      <c r="AM25" s="323">
        <v>-0.99702536369943573</v>
      </c>
      <c r="AN25" s="298"/>
    </row>
    <row r="26" spans="1:40" s="382" customFormat="1" ht="12.75" customHeight="1" thickBot="1">
      <c r="A26" s="370" t="s">
        <v>384</v>
      </c>
      <c r="B26" s="371"/>
      <c r="C26" s="372">
        <v>0</v>
      </c>
      <c r="D26" s="373"/>
      <c r="E26" s="374"/>
      <c r="F26" s="403"/>
      <c r="G26" s="403"/>
      <c r="H26" s="376">
        <v>14.46737289271303</v>
      </c>
      <c r="I26" s="403">
        <v>14.46737289271303</v>
      </c>
      <c r="J26" s="405"/>
      <c r="K26" s="405"/>
      <c r="L26" s="376">
        <v>41.091467728150285</v>
      </c>
      <c r="M26" s="405"/>
      <c r="N26" s="405">
        <v>30.624231188283176</v>
      </c>
      <c r="O26" s="405"/>
      <c r="P26" s="405"/>
      <c r="Q26" s="405"/>
      <c r="R26" s="405">
        <v>0</v>
      </c>
      <c r="S26" s="405">
        <v>10.318705443987364</v>
      </c>
      <c r="T26" s="405">
        <v>0.1485310958797475</v>
      </c>
      <c r="U26" s="405"/>
      <c r="V26" s="403"/>
      <c r="W26" s="403"/>
      <c r="X26" s="403"/>
      <c r="Y26" s="405"/>
      <c r="Z26" s="376">
        <v>61.026448031999998</v>
      </c>
      <c r="AA26" s="377">
        <v>0</v>
      </c>
      <c r="AB26" s="378"/>
      <c r="AC26" s="405"/>
      <c r="AD26" s="405"/>
      <c r="AE26" s="405"/>
      <c r="AF26" s="405"/>
      <c r="AG26" s="405"/>
      <c r="AH26" s="407"/>
      <c r="AI26" s="403"/>
      <c r="AJ26" s="408"/>
      <c r="AK26" s="376">
        <v>270.35018850069127</v>
      </c>
      <c r="AL26" s="377"/>
      <c r="AM26" s="409">
        <v>386.93547715355459</v>
      </c>
      <c r="AN26" s="298"/>
    </row>
    <row r="27" spans="1:40" s="333" customFormat="1" ht="12.75" customHeight="1" thickBot="1">
      <c r="A27" s="413" t="s">
        <v>385</v>
      </c>
      <c r="B27" s="414"/>
      <c r="C27" s="415">
        <v>349.87503545909954</v>
      </c>
      <c r="D27" s="416">
        <v>270.47547013339226</v>
      </c>
      <c r="E27" s="417">
        <v>66.555377479999095</v>
      </c>
      <c r="F27" s="417">
        <v>0</v>
      </c>
      <c r="G27" s="417">
        <v>12.84418784570825</v>
      </c>
      <c r="H27" s="418">
        <v>186.75986748002413</v>
      </c>
      <c r="I27" s="416">
        <v>-26.403262519975812</v>
      </c>
      <c r="J27" s="417">
        <v>127.70399999999999</v>
      </c>
      <c r="K27" s="417">
        <v>85.459130000000016</v>
      </c>
      <c r="L27" s="418">
        <v>6362.9259058394846</v>
      </c>
      <c r="M27" s="417">
        <v>-4.5474735088646412E-13</v>
      </c>
      <c r="N27" s="417">
        <v>0</v>
      </c>
      <c r="O27" s="417">
        <v>1245.0496271801271</v>
      </c>
      <c r="P27" s="417">
        <v>802.16662349168541</v>
      </c>
      <c r="Q27" s="417">
        <v>596.36251051008003</v>
      </c>
      <c r="R27" s="417">
        <v>152.31891177103108</v>
      </c>
      <c r="S27" s="417">
        <v>137.42344136610495</v>
      </c>
      <c r="T27" s="417">
        <v>3068.4516817740919</v>
      </c>
      <c r="U27" s="417">
        <v>96.57367357864328</v>
      </c>
      <c r="V27" s="417">
        <v>-4.3438744370000002</v>
      </c>
      <c r="W27" s="417">
        <v>238.17835560471974</v>
      </c>
      <c r="X27" s="417">
        <v>0.97217500000000001</v>
      </c>
      <c r="Y27" s="417">
        <v>29.772779999999997</v>
      </c>
      <c r="Z27" s="418">
        <v>1643.7011212696341</v>
      </c>
      <c r="AA27" s="419">
        <v>308.06436720106444</v>
      </c>
      <c r="AB27" s="345">
        <v>0</v>
      </c>
      <c r="AC27" s="328">
        <v>0</v>
      </c>
      <c r="AD27" s="328">
        <v>173.87251333667359</v>
      </c>
      <c r="AE27" s="328">
        <v>0</v>
      </c>
      <c r="AF27" s="328">
        <v>8.7742230740163478</v>
      </c>
      <c r="AG27" s="328">
        <v>84.810419950812346</v>
      </c>
      <c r="AH27" s="330">
        <v>10.202722513494988</v>
      </c>
      <c r="AI27" s="420">
        <v>30.404488326067145</v>
      </c>
      <c r="AJ27" s="418">
        <v>25.484283790445378</v>
      </c>
      <c r="AK27" s="418">
        <v>2089.7803583115706</v>
      </c>
      <c r="AL27" s="419">
        <v>0</v>
      </c>
      <c r="AM27" s="421">
        <v>10966.590939351323</v>
      </c>
      <c r="AN27" s="298"/>
    </row>
    <row r="28" spans="1:40">
      <c r="L28" s="423"/>
    </row>
    <row r="29" spans="1:40" s="283" customFormat="1" ht="105.75" customHeight="1" thickBot="1">
      <c r="A29" s="273" t="s">
        <v>389</v>
      </c>
      <c r="B29" s="274" t="s">
        <v>324</v>
      </c>
      <c r="C29" s="275" t="s">
        <v>325</v>
      </c>
      <c r="D29" s="276" t="s">
        <v>326</v>
      </c>
      <c r="E29" s="277" t="s">
        <v>327</v>
      </c>
      <c r="F29" s="278" t="s">
        <v>328</v>
      </c>
      <c r="G29" s="278" t="s">
        <v>329</v>
      </c>
      <c r="H29" s="279" t="s">
        <v>330</v>
      </c>
      <c r="I29" s="276" t="s">
        <v>331</v>
      </c>
      <c r="J29" s="277" t="s">
        <v>332</v>
      </c>
      <c r="K29" s="277" t="s">
        <v>333</v>
      </c>
      <c r="L29" s="279" t="s">
        <v>334</v>
      </c>
      <c r="M29" s="276" t="s">
        <v>335</v>
      </c>
      <c r="N29" s="277" t="s">
        <v>336</v>
      </c>
      <c r="O29" s="277" t="s">
        <v>337</v>
      </c>
      <c r="P29" s="277" t="s">
        <v>338</v>
      </c>
      <c r="Q29" s="277" t="s">
        <v>339</v>
      </c>
      <c r="R29" s="277" t="s">
        <v>340</v>
      </c>
      <c r="S29" s="277" t="s">
        <v>341</v>
      </c>
      <c r="T29" s="277" t="s">
        <v>342</v>
      </c>
      <c r="U29" s="277" t="s">
        <v>343</v>
      </c>
      <c r="V29" s="278" t="s">
        <v>344</v>
      </c>
      <c r="W29" s="278" t="s">
        <v>345</v>
      </c>
      <c r="X29" s="278" t="s">
        <v>346</v>
      </c>
      <c r="Y29" s="277" t="s">
        <v>347</v>
      </c>
      <c r="Z29" s="279" t="s">
        <v>348</v>
      </c>
      <c r="AA29" s="280" t="s">
        <v>349</v>
      </c>
      <c r="AB29" s="281" t="s">
        <v>350</v>
      </c>
      <c r="AC29" s="277" t="s">
        <v>351</v>
      </c>
      <c r="AD29" s="277" t="s">
        <v>352</v>
      </c>
      <c r="AE29" s="277" t="s">
        <v>353</v>
      </c>
      <c r="AF29" s="277" t="s">
        <v>354</v>
      </c>
      <c r="AG29" s="277" t="s">
        <v>355</v>
      </c>
      <c r="AH29" s="277" t="s">
        <v>356</v>
      </c>
      <c r="AI29" s="278" t="s">
        <v>357</v>
      </c>
      <c r="AJ29" s="279" t="s">
        <v>358</v>
      </c>
      <c r="AK29" s="279" t="s">
        <v>359</v>
      </c>
      <c r="AL29" s="280" t="s">
        <v>360</v>
      </c>
      <c r="AM29" s="282" t="s">
        <v>361</v>
      </c>
    </row>
    <row r="30" spans="1:40" s="298" customFormat="1" ht="12.75" customHeight="1">
      <c r="A30" s="284" t="s">
        <v>362</v>
      </c>
      <c r="B30" s="285"/>
      <c r="C30" s="286">
        <v>0</v>
      </c>
      <c r="D30" s="287">
        <v>0</v>
      </c>
      <c r="E30" s="288"/>
      <c r="F30" s="289"/>
      <c r="G30" s="289"/>
      <c r="H30" s="437">
        <v>1291.5250271244345</v>
      </c>
      <c r="I30" s="291">
        <v>1163.8210271244345</v>
      </c>
      <c r="J30" s="292">
        <v>127.70399999999999</v>
      </c>
      <c r="K30" s="292"/>
      <c r="L30" s="290">
        <v>0</v>
      </c>
      <c r="M30" s="291"/>
      <c r="N30" s="293"/>
      <c r="O30" s="293"/>
      <c r="P30" s="293"/>
      <c r="Q30" s="293"/>
      <c r="R30" s="293"/>
      <c r="S30" s="293"/>
      <c r="T30" s="293"/>
      <c r="U30" s="293"/>
      <c r="V30" s="289"/>
      <c r="W30" s="289"/>
      <c r="X30" s="289"/>
      <c r="Y30" s="292"/>
      <c r="Z30" s="437">
        <v>144.49057940828402</v>
      </c>
      <c r="AA30" s="294">
        <v>788.45364191783005</v>
      </c>
      <c r="AB30" s="295">
        <v>51.556772735281996</v>
      </c>
      <c r="AC30" s="292">
        <v>390.57024527999988</v>
      </c>
      <c r="AD30" s="292">
        <v>231.99468362061299</v>
      </c>
      <c r="AE30" s="292">
        <v>36.754687451319768</v>
      </c>
      <c r="AF30" s="292">
        <v>11.443677581561426</v>
      </c>
      <c r="AG30" s="292">
        <v>21.566652586175998</v>
      </c>
      <c r="AH30" s="291">
        <v>11.338416494172282</v>
      </c>
      <c r="AI30" s="289">
        <v>33.2285061687056</v>
      </c>
      <c r="AJ30" s="296">
        <v>57.7445443207259</v>
      </c>
      <c r="AK30" s="296"/>
      <c r="AL30" s="294"/>
      <c r="AM30" s="297">
        <v>2282.2137927712743</v>
      </c>
    </row>
    <row r="31" spans="1:40" s="298" customFormat="1" ht="12.75" customHeight="1">
      <c r="A31" s="299" t="s">
        <v>363</v>
      </c>
      <c r="B31" s="300"/>
      <c r="C31" s="301">
        <v>1495.6519584700479</v>
      </c>
      <c r="D31" s="302">
        <v>1407.1792459806832</v>
      </c>
      <c r="E31" s="303">
        <v>66.669393419996794</v>
      </c>
      <c r="F31" s="304"/>
      <c r="G31" s="304">
        <v>21.803319069367976</v>
      </c>
      <c r="H31" s="305">
        <v>0</v>
      </c>
      <c r="I31" s="306"/>
      <c r="J31" s="307"/>
      <c r="K31" s="307"/>
      <c r="L31" s="305">
        <v>8202.9828435346735</v>
      </c>
      <c r="M31" s="306">
        <v>3224.7393668824002</v>
      </c>
      <c r="N31" s="307">
        <v>0</v>
      </c>
      <c r="O31" s="307">
        <v>835.80532284444439</v>
      </c>
      <c r="P31" s="307">
        <v>492.83680019392006</v>
      </c>
      <c r="Q31" s="307">
        <v>886.62171108431994</v>
      </c>
      <c r="R31" s="307">
        <v>181.42774736016949</v>
      </c>
      <c r="S31" s="307">
        <v>102.62516826266319</v>
      </c>
      <c r="T31" s="307">
        <v>2072.0867067570584</v>
      </c>
      <c r="U31" s="307">
        <v>112.17530045990912</v>
      </c>
      <c r="V31" s="304">
        <v>0</v>
      </c>
      <c r="W31" s="304">
        <v>255.6528130406756</v>
      </c>
      <c r="X31" s="304">
        <v>1.0655053795478999</v>
      </c>
      <c r="Y31" s="307">
        <v>37.946401269562998</v>
      </c>
      <c r="Z31" s="305">
        <v>3717.3683218661595</v>
      </c>
      <c r="AA31" s="308">
        <v>114.408490001616</v>
      </c>
      <c r="AB31" s="309"/>
      <c r="AC31" s="307"/>
      <c r="AD31" s="307">
        <v>35.751513688319996</v>
      </c>
      <c r="AE31" s="307"/>
      <c r="AF31" s="307"/>
      <c r="AG31" s="307">
        <v>78.656976313295999</v>
      </c>
      <c r="AH31" s="306"/>
      <c r="AI31" s="304"/>
      <c r="AJ31" s="310"/>
      <c r="AK31" s="310">
        <v>225.7640782</v>
      </c>
      <c r="AL31" s="308"/>
      <c r="AM31" s="311">
        <v>13756.175692072497</v>
      </c>
    </row>
    <row r="32" spans="1:40" s="298" customFormat="1" ht="12.75" customHeight="1">
      <c r="A32" s="299" t="s">
        <v>364</v>
      </c>
      <c r="B32" s="300"/>
      <c r="C32" s="301">
        <v>10.263011098368001</v>
      </c>
      <c r="D32" s="302">
        <v>0</v>
      </c>
      <c r="E32" s="312">
        <v>9.6257199599999996</v>
      </c>
      <c r="F32" s="304"/>
      <c r="G32" s="304">
        <v>0.637291138368</v>
      </c>
      <c r="H32" s="305">
        <v>8.5388249999999992</v>
      </c>
      <c r="I32" s="306"/>
      <c r="J32" s="307"/>
      <c r="K32" s="307">
        <v>8.5388249999999992</v>
      </c>
      <c r="L32" s="305">
        <v>1376.3449163381467</v>
      </c>
      <c r="M32" s="306">
        <v>227.26246140660001</v>
      </c>
      <c r="N32" s="307"/>
      <c r="O32" s="307">
        <v>176.67692224444443</v>
      </c>
      <c r="P32" s="307">
        <v>4.0942298924800005</v>
      </c>
      <c r="Q32" s="307">
        <v>0.41725173407999999</v>
      </c>
      <c r="R32" s="307">
        <v>900.69753438870055</v>
      </c>
      <c r="S32" s="307">
        <v>31.383906037754567</v>
      </c>
      <c r="T32" s="307">
        <v>0.34975486052409127</v>
      </c>
      <c r="U32" s="307">
        <v>8.3976696266481812E-2</v>
      </c>
      <c r="V32" s="304">
        <v>28.401526478591158</v>
      </c>
      <c r="W32" s="304">
        <v>6.8443905999999999E-2</v>
      </c>
      <c r="X32" s="304">
        <v>2.8511527999999998E-2</v>
      </c>
      <c r="Y32" s="307">
        <v>6.8803971647049993</v>
      </c>
      <c r="Z32" s="305">
        <v>0</v>
      </c>
      <c r="AA32" s="308">
        <v>5.0090687999999987E-3</v>
      </c>
      <c r="AB32" s="309"/>
      <c r="AC32" s="307"/>
      <c r="AD32" s="307">
        <v>5.0090687999999987E-3</v>
      </c>
      <c r="AE32" s="307"/>
      <c r="AF32" s="307"/>
      <c r="AG32" s="307">
        <v>0</v>
      </c>
      <c r="AH32" s="306"/>
      <c r="AI32" s="304"/>
      <c r="AJ32" s="310"/>
      <c r="AK32" s="310">
        <v>32.935514599999998</v>
      </c>
      <c r="AL32" s="308"/>
      <c r="AM32" s="311">
        <v>1428.0872761053149</v>
      </c>
    </row>
    <row r="33" spans="1:40" s="298" customFormat="1" ht="12.75" customHeight="1">
      <c r="A33" s="299" t="s">
        <v>365</v>
      </c>
      <c r="B33" s="300"/>
      <c r="C33" s="301">
        <v>0</v>
      </c>
      <c r="D33" s="302"/>
      <c r="E33" s="312"/>
      <c r="F33" s="304"/>
      <c r="G33" s="304"/>
      <c r="H33" s="305">
        <v>0</v>
      </c>
      <c r="I33" s="306"/>
      <c r="J33" s="307"/>
      <c r="K33" s="307"/>
      <c r="L33" s="305">
        <v>146.30974479571017</v>
      </c>
      <c r="M33" s="306"/>
      <c r="N33" s="307"/>
      <c r="O33" s="307"/>
      <c r="P33" s="307"/>
      <c r="Q33" s="307"/>
      <c r="R33" s="307">
        <v>18.117529486158194</v>
      </c>
      <c r="S33" s="307"/>
      <c r="T33" s="307">
        <v>128.19221530955198</v>
      </c>
      <c r="U33" s="307"/>
      <c r="V33" s="304"/>
      <c r="W33" s="304"/>
      <c r="X33" s="304"/>
      <c r="Y33" s="307"/>
      <c r="Z33" s="305"/>
      <c r="AA33" s="308">
        <v>0</v>
      </c>
      <c r="AB33" s="309"/>
      <c r="AC33" s="307"/>
      <c r="AD33" s="307"/>
      <c r="AE33" s="307"/>
      <c r="AF33" s="307"/>
      <c r="AG33" s="307"/>
      <c r="AH33" s="306"/>
      <c r="AI33" s="304"/>
      <c r="AJ33" s="310"/>
      <c r="AK33" s="310"/>
      <c r="AL33" s="308"/>
      <c r="AM33" s="311">
        <v>146.30974479571017</v>
      </c>
    </row>
    <row r="34" spans="1:40" s="298" customFormat="1" ht="12.75" customHeight="1" thickBot="1">
      <c r="A34" s="313" t="s">
        <v>366</v>
      </c>
      <c r="B34" s="314"/>
      <c r="C34" s="301">
        <v>-162.65533775963095</v>
      </c>
      <c r="D34" s="315">
        <v>-146.91938918054831</v>
      </c>
      <c r="E34" s="304">
        <v>-11.915282402253517</v>
      </c>
      <c r="F34" s="316"/>
      <c r="G34" s="316">
        <v>-3.8206661768291252</v>
      </c>
      <c r="H34" s="317">
        <v>-559.86079957754225</v>
      </c>
      <c r="I34" s="318">
        <v>-547.20118857754221</v>
      </c>
      <c r="J34" s="318">
        <v>0</v>
      </c>
      <c r="K34" s="318">
        <v>-12.659611000000002</v>
      </c>
      <c r="L34" s="317">
        <v>-92.54642091350243</v>
      </c>
      <c r="M34" s="306">
        <v>-97.146999999999991</v>
      </c>
      <c r="N34" s="307"/>
      <c r="O34" s="307">
        <v>-5.451136233333334</v>
      </c>
      <c r="P34" s="307">
        <v>19.943732856319997</v>
      </c>
      <c r="Q34" s="307">
        <v>-16.141776997440001</v>
      </c>
      <c r="R34" s="307">
        <v>-1.6827368912429379</v>
      </c>
      <c r="S34" s="307">
        <v>-2.3111387808355093</v>
      </c>
      <c r="T34" s="307">
        <v>-2.6529116023668635</v>
      </c>
      <c r="U34" s="307">
        <v>11.487319046860302</v>
      </c>
      <c r="V34" s="316">
        <v>1.4092276885359116</v>
      </c>
      <c r="W34" s="316">
        <v>0</v>
      </c>
      <c r="X34" s="316">
        <v>0</v>
      </c>
      <c r="Y34" s="318">
        <v>0</v>
      </c>
      <c r="Z34" s="317">
        <v>-20.745295479289958</v>
      </c>
      <c r="AA34" s="319">
        <v>-1.7541773264406</v>
      </c>
      <c r="AB34" s="320"/>
      <c r="AC34" s="321"/>
      <c r="AD34" s="321">
        <v>-0.95088547610460006</v>
      </c>
      <c r="AE34" s="321"/>
      <c r="AF34" s="321"/>
      <c r="AG34" s="321">
        <v>-0.80329185033599992</v>
      </c>
      <c r="AH34" s="318"/>
      <c r="AI34" s="316"/>
      <c r="AJ34" s="322"/>
      <c r="AK34" s="322"/>
      <c r="AL34" s="319"/>
      <c r="AM34" s="323">
        <v>-837.56203105640623</v>
      </c>
    </row>
    <row r="35" spans="1:40" s="333" customFormat="1" ht="12.75" customHeight="1">
      <c r="A35" s="324" t="s">
        <v>367</v>
      </c>
      <c r="B35" s="325"/>
      <c r="C35" s="326">
        <v>1322.7336096120489</v>
      </c>
      <c r="D35" s="327">
        <v>1260.2598568001349</v>
      </c>
      <c r="E35" s="328">
        <v>45.128391057743279</v>
      </c>
      <c r="F35" s="328">
        <v>0</v>
      </c>
      <c r="G35" s="328">
        <v>17.345361754170852</v>
      </c>
      <c r="H35" s="329">
        <v>723.12540254689213</v>
      </c>
      <c r="I35" s="327">
        <v>616.61983854689231</v>
      </c>
      <c r="J35" s="328">
        <v>127.70399999999999</v>
      </c>
      <c r="K35" s="328">
        <v>-21.198436000000001</v>
      </c>
      <c r="L35" s="329">
        <v>6587.7817614873147</v>
      </c>
      <c r="M35" s="327">
        <v>2900.3299054758004</v>
      </c>
      <c r="N35" s="328">
        <v>0</v>
      </c>
      <c r="O35" s="328">
        <v>653.67726436666658</v>
      </c>
      <c r="P35" s="328">
        <v>508.68630315776011</v>
      </c>
      <c r="Q35" s="328">
        <v>870.06268235279992</v>
      </c>
      <c r="R35" s="328">
        <v>-739.07005340593219</v>
      </c>
      <c r="S35" s="328">
        <v>68.930123444073118</v>
      </c>
      <c r="T35" s="328">
        <v>1940.8918249846154</v>
      </c>
      <c r="U35" s="328">
        <v>123.57864281050296</v>
      </c>
      <c r="V35" s="328">
        <v>-26.992298790055248</v>
      </c>
      <c r="W35" s="328">
        <v>255.5843691346756</v>
      </c>
      <c r="X35" s="328">
        <v>1.0369938515479</v>
      </c>
      <c r="Y35" s="328">
        <v>31.066004104857999</v>
      </c>
      <c r="Z35" s="329">
        <v>3841.1136057951535</v>
      </c>
      <c r="AA35" s="329">
        <v>901.10294552420544</v>
      </c>
      <c r="AB35" s="327">
        <v>51.556772735281996</v>
      </c>
      <c r="AC35" s="328">
        <v>390.57024527999988</v>
      </c>
      <c r="AD35" s="328">
        <v>266.79030276402841</v>
      </c>
      <c r="AE35" s="328">
        <v>36.754687451319768</v>
      </c>
      <c r="AF35" s="328">
        <v>11.443677581561426</v>
      </c>
      <c r="AG35" s="328">
        <v>99.420337049136009</v>
      </c>
      <c r="AH35" s="330">
        <v>11.338416494172282</v>
      </c>
      <c r="AI35" s="327">
        <v>33.2285061687056</v>
      </c>
      <c r="AJ35" s="329">
        <v>57.7445443207259</v>
      </c>
      <c r="AK35" s="329">
        <v>192.8285636</v>
      </c>
      <c r="AL35" s="331">
        <v>0</v>
      </c>
      <c r="AM35" s="332">
        <v>13626.43043288634</v>
      </c>
      <c r="AN35" s="298"/>
    </row>
    <row r="36" spans="1:40" s="333" customFormat="1" ht="12.75" customHeight="1" thickBot="1">
      <c r="A36" s="334" t="s">
        <v>368</v>
      </c>
      <c r="B36" s="335"/>
      <c r="C36" s="336">
        <v>1322.7336096120489</v>
      </c>
      <c r="D36" s="337">
        <v>1260.2598568001349</v>
      </c>
      <c r="E36" s="338">
        <v>45.128391057743279</v>
      </c>
      <c r="F36" s="339">
        <v>0</v>
      </c>
      <c r="G36" s="339">
        <v>17.345361754170852</v>
      </c>
      <c r="H36" s="340">
        <v>723.12540254689213</v>
      </c>
      <c r="I36" s="337">
        <v>616.61983854689231</v>
      </c>
      <c r="J36" s="338">
        <v>127.70399999999999</v>
      </c>
      <c r="K36" s="338">
        <v>-21.198436000000001</v>
      </c>
      <c r="L36" s="340">
        <v>6300.0943943962329</v>
      </c>
      <c r="M36" s="337">
        <v>2900.3299054758004</v>
      </c>
      <c r="N36" s="338">
        <v>0</v>
      </c>
      <c r="O36" s="338">
        <v>653.67726436666658</v>
      </c>
      <c r="P36" s="338">
        <v>508.68630315776011</v>
      </c>
      <c r="Q36" s="338">
        <v>870.06268235279992</v>
      </c>
      <c r="R36" s="338">
        <v>-739.07005340593219</v>
      </c>
      <c r="S36" s="338">
        <v>68.930123444073118</v>
      </c>
      <c r="T36" s="338">
        <v>1940.8918249846154</v>
      </c>
      <c r="U36" s="338">
        <v>123.57864281050296</v>
      </c>
      <c r="V36" s="339">
        <v>-26.992298790055248</v>
      </c>
      <c r="W36" s="339">
        <v>0</v>
      </c>
      <c r="X36" s="339">
        <v>0</v>
      </c>
      <c r="Y36" s="338">
        <v>0</v>
      </c>
      <c r="Z36" s="340">
        <v>3841.1136057951535</v>
      </c>
      <c r="AA36" s="341">
        <v>901.10294552420544</v>
      </c>
      <c r="AB36" s="337">
        <v>51.556772735281996</v>
      </c>
      <c r="AC36" s="338">
        <v>390.57024527999988</v>
      </c>
      <c r="AD36" s="338">
        <v>266.79030276402841</v>
      </c>
      <c r="AE36" s="338">
        <v>36.754687451319768</v>
      </c>
      <c r="AF36" s="338">
        <v>11.443677581561426</v>
      </c>
      <c r="AG36" s="338">
        <v>99.420337049136009</v>
      </c>
      <c r="AH36" s="342">
        <v>11.338416494172282</v>
      </c>
      <c r="AI36" s="337">
        <v>33.2285061687056</v>
      </c>
      <c r="AJ36" s="340">
        <v>57.7445443207259</v>
      </c>
      <c r="AK36" s="340">
        <v>192.8285636</v>
      </c>
      <c r="AL36" s="337">
        <v>0</v>
      </c>
      <c r="AM36" s="343">
        <v>13338.743065795259</v>
      </c>
      <c r="AN36" s="298"/>
    </row>
    <row r="37" spans="1:40" s="333" customFormat="1" ht="12.75" customHeight="1">
      <c r="A37" s="324" t="s">
        <v>369</v>
      </c>
      <c r="B37" s="325"/>
      <c r="C37" s="326">
        <v>970.32299165317386</v>
      </c>
      <c r="D37" s="330">
        <v>970.32299165317386</v>
      </c>
      <c r="E37" s="328">
        <v>0</v>
      </c>
      <c r="F37" s="344">
        <v>0</v>
      </c>
      <c r="G37" s="344">
        <v>0</v>
      </c>
      <c r="H37" s="329">
        <v>638.55291862312038</v>
      </c>
      <c r="I37" s="330">
        <v>638.55291862312038</v>
      </c>
      <c r="J37" s="328">
        <v>0</v>
      </c>
      <c r="K37" s="328">
        <v>0</v>
      </c>
      <c r="L37" s="329">
        <v>2945.5902206998644</v>
      </c>
      <c r="M37" s="328">
        <v>2902.1387999999997</v>
      </c>
      <c r="N37" s="328">
        <v>5.0546089151999993</v>
      </c>
      <c r="O37" s="328">
        <v>0</v>
      </c>
      <c r="P37" s="328">
        <v>0</v>
      </c>
      <c r="Q37" s="328">
        <v>0</v>
      </c>
      <c r="R37" s="328">
        <v>33.292608944288524</v>
      </c>
      <c r="S37" s="328">
        <v>0.61192773760319985</v>
      </c>
      <c r="T37" s="328">
        <v>4.4922751027731254</v>
      </c>
      <c r="U37" s="328">
        <v>0</v>
      </c>
      <c r="V37" s="344">
        <v>0</v>
      </c>
      <c r="W37" s="344">
        <v>0</v>
      </c>
      <c r="X37" s="344">
        <v>0</v>
      </c>
      <c r="Y37" s="328">
        <v>0</v>
      </c>
      <c r="Z37" s="329">
        <v>2153.9333794154181</v>
      </c>
      <c r="AA37" s="327">
        <v>118.219495395424</v>
      </c>
      <c r="AB37" s="345">
        <v>0</v>
      </c>
      <c r="AC37" s="328">
        <v>0</v>
      </c>
      <c r="AD37" s="328">
        <v>77.110661205077406</v>
      </c>
      <c r="AE37" s="328">
        <v>36.754687451319768</v>
      </c>
      <c r="AF37" s="328">
        <v>4.3541467390268371</v>
      </c>
      <c r="AG37" s="328">
        <v>0</v>
      </c>
      <c r="AH37" s="330">
        <v>0</v>
      </c>
      <c r="AI37" s="344">
        <v>0</v>
      </c>
      <c r="AJ37" s="329">
        <v>22.857128964614091</v>
      </c>
      <c r="AK37" s="329">
        <v>67.803114660000006</v>
      </c>
      <c r="AL37" s="327">
        <v>0</v>
      </c>
      <c r="AM37" s="346">
        <v>6917.2792494116147</v>
      </c>
      <c r="AN37" s="298"/>
    </row>
    <row r="38" spans="1:40" s="298" customFormat="1" ht="12.75" customHeight="1">
      <c r="A38" s="347" t="s">
        <v>370</v>
      </c>
      <c r="B38" s="348"/>
      <c r="C38" s="349">
        <v>970.32299165317386</v>
      </c>
      <c r="D38" s="350">
        <v>970.32299165317386</v>
      </c>
      <c r="E38" s="351"/>
      <c r="F38" s="352"/>
      <c r="G38" s="352"/>
      <c r="H38" s="353">
        <v>497.52552670669769</v>
      </c>
      <c r="I38" s="350">
        <v>497.52552670669769</v>
      </c>
      <c r="J38" s="351">
        <v>0</v>
      </c>
      <c r="K38" s="351"/>
      <c r="L38" s="353">
        <v>37.784884047061652</v>
      </c>
      <c r="M38" s="351"/>
      <c r="N38" s="351"/>
      <c r="O38" s="351"/>
      <c r="P38" s="351"/>
      <c r="Q38" s="351"/>
      <c r="R38" s="351">
        <v>33.292608944288524</v>
      </c>
      <c r="S38" s="351"/>
      <c r="T38" s="351">
        <v>4.4922751027731254</v>
      </c>
      <c r="U38" s="351"/>
      <c r="V38" s="352"/>
      <c r="W38" s="352"/>
      <c r="X38" s="352"/>
      <c r="Y38" s="351"/>
      <c r="Z38" s="353">
        <v>1829.9457145389074</v>
      </c>
      <c r="AA38" s="354">
        <v>109.74668205542056</v>
      </c>
      <c r="AB38" s="355"/>
      <c r="AC38" s="351"/>
      <c r="AD38" s="351">
        <v>72.991994604100796</v>
      </c>
      <c r="AE38" s="351">
        <v>36.754687451319768</v>
      </c>
      <c r="AF38" s="351"/>
      <c r="AG38" s="351"/>
      <c r="AH38" s="350"/>
      <c r="AI38" s="352"/>
      <c r="AJ38" s="356">
        <v>22.857128964614091</v>
      </c>
      <c r="AK38" s="353"/>
      <c r="AL38" s="354"/>
      <c r="AM38" s="357">
        <v>3468.1829279658755</v>
      </c>
    </row>
    <row r="39" spans="1:40" s="298" customFormat="1" ht="12.75" customHeight="1">
      <c r="A39" s="299" t="s">
        <v>371</v>
      </c>
      <c r="B39" s="300"/>
      <c r="C39" s="301">
        <v>0</v>
      </c>
      <c r="D39" s="306">
        <v>0</v>
      </c>
      <c r="E39" s="307"/>
      <c r="F39" s="304"/>
      <c r="G39" s="304"/>
      <c r="H39" s="305">
        <v>9.4132356226773783</v>
      </c>
      <c r="I39" s="306">
        <v>9.4132356226773783</v>
      </c>
      <c r="J39" s="307"/>
      <c r="K39" s="307"/>
      <c r="L39" s="305">
        <v>5.6665366528031988</v>
      </c>
      <c r="M39" s="307"/>
      <c r="N39" s="358">
        <v>5.0546089151999993</v>
      </c>
      <c r="O39" s="307"/>
      <c r="P39" s="307"/>
      <c r="Q39" s="307"/>
      <c r="R39" s="307">
        <v>0</v>
      </c>
      <c r="S39" s="307">
        <v>0.61192773760319985</v>
      </c>
      <c r="T39" s="307">
        <v>0</v>
      </c>
      <c r="U39" s="307"/>
      <c r="V39" s="304"/>
      <c r="W39" s="304"/>
      <c r="X39" s="304"/>
      <c r="Y39" s="307"/>
      <c r="Z39" s="305">
        <v>268.07429530517408</v>
      </c>
      <c r="AA39" s="308">
        <v>8.4728133400034409</v>
      </c>
      <c r="AB39" s="309"/>
      <c r="AC39" s="307"/>
      <c r="AD39" s="307">
        <v>4.1186666009766029</v>
      </c>
      <c r="AE39" s="307"/>
      <c r="AF39" s="307">
        <v>4.3541467390268371</v>
      </c>
      <c r="AG39" s="307"/>
      <c r="AH39" s="306"/>
      <c r="AI39" s="304"/>
      <c r="AJ39" s="310"/>
      <c r="AK39" s="310"/>
      <c r="AL39" s="308"/>
      <c r="AM39" s="311">
        <v>291.6268809206581</v>
      </c>
    </row>
    <row r="40" spans="1:40" s="298" customFormat="1" ht="12.75" customHeight="1">
      <c r="A40" s="299" t="s">
        <v>372</v>
      </c>
      <c r="B40" s="300"/>
      <c r="C40" s="301"/>
      <c r="D40" s="306"/>
      <c r="E40" s="307"/>
      <c r="F40" s="304"/>
      <c r="G40" s="304"/>
      <c r="H40" s="305"/>
      <c r="I40" s="306"/>
      <c r="J40" s="307"/>
      <c r="K40" s="307"/>
      <c r="L40" s="305"/>
      <c r="M40" s="307"/>
      <c r="N40" s="358"/>
      <c r="O40" s="307"/>
      <c r="P40" s="307"/>
      <c r="Q40" s="307"/>
      <c r="R40" s="307"/>
      <c r="S40" s="307"/>
      <c r="T40" s="307"/>
      <c r="U40" s="307"/>
      <c r="V40" s="304"/>
      <c r="W40" s="304"/>
      <c r="X40" s="304"/>
      <c r="Y40" s="307"/>
      <c r="Z40" s="305"/>
      <c r="AA40" s="308"/>
      <c r="AB40" s="309"/>
      <c r="AC40" s="307"/>
      <c r="AD40" s="307"/>
      <c r="AE40" s="307"/>
      <c r="AF40" s="307"/>
      <c r="AG40" s="307"/>
      <c r="AH40" s="306"/>
      <c r="AI40" s="304"/>
      <c r="AJ40" s="310"/>
      <c r="AK40" s="310">
        <v>50.326280660000002</v>
      </c>
      <c r="AL40" s="308"/>
      <c r="AM40" s="311">
        <v>50.326280660000002</v>
      </c>
    </row>
    <row r="41" spans="1:40" s="298" customFormat="1" ht="12.75" customHeight="1">
      <c r="A41" s="299" t="s">
        <v>373</v>
      </c>
      <c r="B41" s="300"/>
      <c r="C41" s="301">
        <v>0</v>
      </c>
      <c r="D41" s="306"/>
      <c r="E41" s="304"/>
      <c r="F41" s="304"/>
      <c r="G41" s="304"/>
      <c r="H41" s="305">
        <v>131.61415629374525</v>
      </c>
      <c r="I41" s="306">
        <v>131.61415629374525</v>
      </c>
      <c r="J41" s="307"/>
      <c r="K41" s="307"/>
      <c r="L41" s="305">
        <v>0</v>
      </c>
      <c r="M41" s="307"/>
      <c r="N41" s="307"/>
      <c r="O41" s="307"/>
      <c r="P41" s="307"/>
      <c r="Q41" s="307"/>
      <c r="R41" s="307"/>
      <c r="S41" s="307"/>
      <c r="T41" s="307"/>
      <c r="U41" s="307"/>
      <c r="V41" s="304"/>
      <c r="W41" s="304"/>
      <c r="X41" s="304"/>
      <c r="Y41" s="307"/>
      <c r="Z41" s="305"/>
      <c r="AA41" s="308">
        <v>0</v>
      </c>
      <c r="AB41" s="309"/>
      <c r="AC41" s="307"/>
      <c r="AD41" s="307"/>
      <c r="AE41" s="307"/>
      <c r="AF41" s="307"/>
      <c r="AG41" s="307"/>
      <c r="AH41" s="306"/>
      <c r="AI41" s="304"/>
      <c r="AJ41" s="310"/>
      <c r="AK41" s="310"/>
      <c r="AL41" s="308"/>
      <c r="AM41" s="311">
        <v>131.61415629374525</v>
      </c>
    </row>
    <row r="42" spans="1:40" s="298" customFormat="1" ht="12.75" customHeight="1">
      <c r="A42" s="359" t="s">
        <v>374</v>
      </c>
      <c r="B42" s="360"/>
      <c r="C42" s="361">
        <v>0</v>
      </c>
      <c r="D42" s="362"/>
      <c r="E42" s="363"/>
      <c r="F42" s="364"/>
      <c r="G42" s="364"/>
      <c r="H42" s="365">
        <v>0</v>
      </c>
      <c r="I42" s="362"/>
      <c r="J42" s="363"/>
      <c r="K42" s="363"/>
      <c r="L42" s="365">
        <v>2902.1387999999997</v>
      </c>
      <c r="M42" s="363">
        <v>2902.1387999999997</v>
      </c>
      <c r="N42" s="363"/>
      <c r="O42" s="363"/>
      <c r="P42" s="363"/>
      <c r="Q42" s="363"/>
      <c r="R42" s="363"/>
      <c r="S42" s="363"/>
      <c r="T42" s="363"/>
      <c r="U42" s="363"/>
      <c r="V42" s="364"/>
      <c r="W42" s="364"/>
      <c r="X42" s="364"/>
      <c r="Y42" s="363"/>
      <c r="Z42" s="365">
        <v>55.913369571336688</v>
      </c>
      <c r="AA42" s="366">
        <v>0</v>
      </c>
      <c r="AB42" s="367"/>
      <c r="AC42" s="363"/>
      <c r="AD42" s="363"/>
      <c r="AE42" s="363"/>
      <c r="AF42" s="363"/>
      <c r="AG42" s="363"/>
      <c r="AH42" s="362"/>
      <c r="AI42" s="364"/>
      <c r="AJ42" s="368"/>
      <c r="AK42" s="368">
        <v>17.476834</v>
      </c>
      <c r="AL42" s="366"/>
      <c r="AM42" s="369">
        <v>2975.5290035713365</v>
      </c>
    </row>
    <row r="43" spans="1:40" s="333" customFormat="1" ht="12.75" customHeight="1">
      <c r="A43" s="370" t="s">
        <v>375</v>
      </c>
      <c r="B43" s="371"/>
      <c r="C43" s="372">
        <v>0</v>
      </c>
      <c r="D43" s="373">
        <v>0</v>
      </c>
      <c r="E43" s="374">
        <v>0</v>
      </c>
      <c r="F43" s="375">
        <v>0</v>
      </c>
      <c r="G43" s="375">
        <v>0</v>
      </c>
      <c r="H43" s="376">
        <v>106.10514499999999</v>
      </c>
      <c r="I43" s="373">
        <v>0</v>
      </c>
      <c r="J43" s="374">
        <v>0</v>
      </c>
      <c r="K43" s="374">
        <v>106.10514499999999</v>
      </c>
      <c r="L43" s="376">
        <v>2940.4566443049412</v>
      </c>
      <c r="M43" s="374">
        <v>0</v>
      </c>
      <c r="N43" s="374">
        <v>69.086897826126389</v>
      </c>
      <c r="O43" s="374">
        <v>562.92173059764002</v>
      </c>
      <c r="P43" s="374">
        <v>111.32215516240002</v>
      </c>
      <c r="Q43" s="374">
        <v>0</v>
      </c>
      <c r="R43" s="374">
        <v>916.87017170280012</v>
      </c>
      <c r="S43" s="374">
        <v>70.984914459900011</v>
      </c>
      <c r="T43" s="374">
        <v>1179.2461476955775</v>
      </c>
      <c r="U43" s="374">
        <v>0</v>
      </c>
      <c r="V43" s="375">
        <v>30.024626860497236</v>
      </c>
      <c r="W43" s="375">
        <v>0</v>
      </c>
      <c r="X43" s="375">
        <v>0</v>
      </c>
      <c r="Y43" s="374">
        <v>0</v>
      </c>
      <c r="Z43" s="376">
        <v>0</v>
      </c>
      <c r="AA43" s="377">
        <v>41.354392922611957</v>
      </c>
      <c r="AB43" s="378">
        <v>0</v>
      </c>
      <c r="AC43" s="374">
        <v>0</v>
      </c>
      <c r="AD43" s="374">
        <v>25.3266389940555</v>
      </c>
      <c r="AE43" s="379">
        <v>13.557483702156457</v>
      </c>
      <c r="AF43" s="379">
        <v>2.4702702263999994</v>
      </c>
      <c r="AG43" s="379">
        <v>0</v>
      </c>
      <c r="AH43" s="373">
        <v>0</v>
      </c>
      <c r="AI43" s="375">
        <v>0</v>
      </c>
      <c r="AJ43" s="376">
        <v>5.2130909864396546</v>
      </c>
      <c r="AK43" s="376">
        <v>1806.0231215105837</v>
      </c>
      <c r="AL43" s="377">
        <v>0</v>
      </c>
      <c r="AM43" s="380">
        <v>4899.1523947245769</v>
      </c>
      <c r="AN43" s="298"/>
    </row>
    <row r="44" spans="1:40" s="382" customFormat="1" ht="12.75" customHeight="1">
      <c r="A44" s="347" t="s">
        <v>370</v>
      </c>
      <c r="B44" s="348"/>
      <c r="C44" s="349">
        <v>0</v>
      </c>
      <c r="D44" s="350"/>
      <c r="E44" s="351"/>
      <c r="F44" s="352"/>
      <c r="G44" s="352"/>
      <c r="H44" s="353">
        <v>0</v>
      </c>
      <c r="I44" s="350"/>
      <c r="J44" s="351"/>
      <c r="K44" s="351"/>
      <c r="L44" s="353">
        <v>0</v>
      </c>
      <c r="M44" s="351"/>
      <c r="N44" s="351"/>
      <c r="O44" s="351"/>
      <c r="P44" s="351"/>
      <c r="Q44" s="351"/>
      <c r="R44" s="351"/>
      <c r="S44" s="351"/>
      <c r="T44" s="351"/>
      <c r="U44" s="351"/>
      <c r="V44" s="352"/>
      <c r="W44" s="352"/>
      <c r="X44" s="352"/>
      <c r="Y44" s="351"/>
      <c r="Z44" s="353"/>
      <c r="AA44" s="354">
        <v>37.555917712211958</v>
      </c>
      <c r="AB44" s="355"/>
      <c r="AC44" s="351"/>
      <c r="AD44" s="351">
        <v>23.998434010055501</v>
      </c>
      <c r="AE44" s="358">
        <v>13.557483702156457</v>
      </c>
      <c r="AF44" s="358"/>
      <c r="AG44" s="358"/>
      <c r="AH44" s="350"/>
      <c r="AI44" s="352"/>
      <c r="AJ44" s="356">
        <v>5.2130909864396546</v>
      </c>
      <c r="AK44" s="356">
        <v>1599.4864474058443</v>
      </c>
      <c r="AL44" s="354"/>
      <c r="AM44" s="381">
        <v>1599.4864474058443</v>
      </c>
      <c r="AN44" s="298"/>
    </row>
    <row r="45" spans="1:40" s="382" customFormat="1" ht="12.75" customHeight="1">
      <c r="A45" s="299" t="s">
        <v>376</v>
      </c>
      <c r="B45" s="300"/>
      <c r="C45" s="301">
        <v>0</v>
      </c>
      <c r="D45" s="306"/>
      <c r="E45" s="307"/>
      <c r="F45" s="304"/>
      <c r="G45" s="304"/>
      <c r="H45" s="305">
        <v>0</v>
      </c>
      <c r="I45" s="306"/>
      <c r="J45" s="307"/>
      <c r="K45" s="307"/>
      <c r="L45" s="305">
        <v>0</v>
      </c>
      <c r="M45" s="307"/>
      <c r="N45" s="307"/>
      <c r="O45" s="307"/>
      <c r="P45" s="307"/>
      <c r="Q45" s="307"/>
      <c r="R45" s="307"/>
      <c r="S45" s="307"/>
      <c r="T45" s="307"/>
      <c r="U45" s="307"/>
      <c r="V45" s="304"/>
      <c r="W45" s="304"/>
      <c r="X45" s="304"/>
      <c r="Y45" s="307"/>
      <c r="Z45" s="305"/>
      <c r="AA45" s="308">
        <v>3.7984752103999995</v>
      </c>
      <c r="AB45" s="309"/>
      <c r="AC45" s="307"/>
      <c r="AD45" s="307">
        <v>1.3282049839999999</v>
      </c>
      <c r="AE45" s="307"/>
      <c r="AF45" s="307">
        <v>2.4702702263999994</v>
      </c>
      <c r="AG45" s="307"/>
      <c r="AH45" s="306"/>
      <c r="AI45" s="304"/>
      <c r="AJ45" s="310"/>
      <c r="AK45" s="383">
        <v>176.89008524765129</v>
      </c>
      <c r="AL45" s="308"/>
      <c r="AM45" s="311">
        <v>176.89008524765129</v>
      </c>
      <c r="AN45" s="298"/>
    </row>
    <row r="46" spans="1:40" s="382" customFormat="1" ht="12.75" customHeight="1">
      <c r="A46" s="299" t="s">
        <v>377</v>
      </c>
      <c r="B46" s="300"/>
      <c r="C46" s="301"/>
      <c r="D46" s="306"/>
      <c r="E46" s="307"/>
      <c r="F46" s="304"/>
      <c r="G46" s="304"/>
      <c r="H46" s="305"/>
      <c r="I46" s="306"/>
      <c r="J46" s="307"/>
      <c r="K46" s="307"/>
      <c r="L46" s="305"/>
      <c r="M46" s="307"/>
      <c r="N46" s="307"/>
      <c r="O46" s="307"/>
      <c r="P46" s="307"/>
      <c r="Q46" s="307"/>
      <c r="R46" s="307"/>
      <c r="S46" s="307"/>
      <c r="T46" s="307"/>
      <c r="U46" s="307"/>
      <c r="V46" s="304"/>
      <c r="W46" s="304"/>
      <c r="X46" s="304"/>
      <c r="Y46" s="307"/>
      <c r="Z46" s="305"/>
      <c r="AA46" s="308">
        <v>0</v>
      </c>
      <c r="AB46" s="309"/>
      <c r="AC46" s="307"/>
      <c r="AD46" s="307"/>
      <c r="AE46" s="307"/>
      <c r="AF46" s="307"/>
      <c r="AG46" s="307"/>
      <c r="AH46" s="306"/>
      <c r="AI46" s="304"/>
      <c r="AJ46" s="310"/>
      <c r="AK46" s="310"/>
      <c r="AL46" s="308"/>
      <c r="AM46" s="311">
        <v>0</v>
      </c>
      <c r="AN46" s="298"/>
    </row>
    <row r="47" spans="1:40" s="382" customFormat="1" ht="12.75" customHeight="1">
      <c r="A47" s="299" t="s">
        <v>378</v>
      </c>
      <c r="B47" s="300"/>
      <c r="C47" s="301"/>
      <c r="D47" s="306"/>
      <c r="E47" s="307"/>
      <c r="F47" s="304"/>
      <c r="G47" s="304"/>
      <c r="H47" s="305"/>
      <c r="I47" s="306"/>
      <c r="J47" s="307"/>
      <c r="K47" s="307"/>
      <c r="L47" s="305"/>
      <c r="M47" s="307"/>
      <c r="N47" s="307"/>
      <c r="O47" s="307"/>
      <c r="P47" s="307"/>
      <c r="Q47" s="307"/>
      <c r="R47" s="307"/>
      <c r="S47" s="307"/>
      <c r="T47" s="307"/>
      <c r="U47" s="307"/>
      <c r="V47" s="304"/>
      <c r="W47" s="304"/>
      <c r="X47" s="304"/>
      <c r="Y47" s="307"/>
      <c r="Z47" s="305"/>
      <c r="AA47" s="308"/>
      <c r="AB47" s="309"/>
      <c r="AC47" s="307"/>
      <c r="AD47" s="307"/>
      <c r="AE47" s="307"/>
      <c r="AF47" s="307"/>
      <c r="AG47" s="307"/>
      <c r="AH47" s="306"/>
      <c r="AI47" s="304"/>
      <c r="AJ47" s="310"/>
      <c r="AK47" s="310">
        <v>29.646588857087998</v>
      </c>
      <c r="AL47" s="308"/>
      <c r="AM47" s="311">
        <v>29.646588857087998</v>
      </c>
      <c r="AN47" s="298"/>
    </row>
    <row r="48" spans="1:40" s="382" customFormat="1" ht="12.75" customHeight="1">
      <c r="A48" s="299" t="s">
        <v>373</v>
      </c>
      <c r="B48" s="300"/>
      <c r="C48" s="301"/>
      <c r="E48" s="307"/>
      <c r="F48" s="304"/>
      <c r="G48" s="304"/>
      <c r="H48" s="305">
        <v>106.10514499999999</v>
      </c>
      <c r="I48" s="306"/>
      <c r="J48" s="307"/>
      <c r="K48" s="307">
        <v>106.10514499999999</v>
      </c>
      <c r="L48" s="305">
        <v>0</v>
      </c>
      <c r="M48" s="307"/>
      <c r="N48" s="307"/>
      <c r="O48" s="307"/>
      <c r="P48" s="307"/>
      <c r="Q48" s="307"/>
      <c r="R48" s="307"/>
      <c r="S48" s="307"/>
      <c r="T48" s="307"/>
      <c r="U48" s="307"/>
      <c r="V48" s="304"/>
      <c r="W48" s="304"/>
      <c r="X48" s="304"/>
      <c r="Y48" s="307"/>
      <c r="Z48" s="305"/>
      <c r="AA48" s="308">
        <v>0</v>
      </c>
      <c r="AB48" s="309"/>
      <c r="AC48" s="307"/>
      <c r="AD48" s="307"/>
      <c r="AE48" s="307"/>
      <c r="AF48" s="307"/>
      <c r="AG48" s="307"/>
      <c r="AH48" s="306"/>
      <c r="AI48" s="304"/>
      <c r="AJ48" s="310"/>
      <c r="AK48" s="310"/>
      <c r="AL48" s="308"/>
      <c r="AM48" s="311">
        <v>106.10514499999999</v>
      </c>
      <c r="AN48" s="298"/>
    </row>
    <row r="49" spans="1:41" s="382" customFormat="1" ht="12.75" customHeight="1">
      <c r="A49" s="438" t="s">
        <v>379</v>
      </c>
      <c r="B49" s="439"/>
      <c r="C49" s="440"/>
      <c r="D49" s="441"/>
      <c r="E49" s="442"/>
      <c r="F49" s="443"/>
      <c r="G49" s="443"/>
      <c r="H49" s="444">
        <v>0</v>
      </c>
      <c r="I49" s="441"/>
      <c r="J49" s="442"/>
      <c r="K49" s="442"/>
      <c r="L49" s="444">
        <v>2940.4566443049412</v>
      </c>
      <c r="M49" s="442"/>
      <c r="N49" s="442">
        <v>69.086897826126389</v>
      </c>
      <c r="O49" s="442">
        <v>562.92173059764002</v>
      </c>
      <c r="P49" s="442">
        <v>111.32215516240002</v>
      </c>
      <c r="Q49" s="442">
        <v>0</v>
      </c>
      <c r="R49" s="442">
        <v>916.87017170280012</v>
      </c>
      <c r="S49" s="442">
        <v>70.984914459900011</v>
      </c>
      <c r="T49" s="442">
        <v>1179.2461476955775</v>
      </c>
      <c r="U49" s="442"/>
      <c r="V49" s="443">
        <v>30.024626860497236</v>
      </c>
      <c r="W49" s="443"/>
      <c r="X49" s="443"/>
      <c r="Y49" s="442"/>
      <c r="Z49" s="444"/>
      <c r="AA49" s="445">
        <v>0</v>
      </c>
      <c r="AB49" s="446"/>
      <c r="AC49" s="442"/>
      <c r="AD49" s="442"/>
      <c r="AE49" s="442"/>
      <c r="AF49" s="442"/>
      <c r="AG49" s="442"/>
      <c r="AH49" s="441"/>
      <c r="AI49" s="443"/>
      <c r="AJ49" s="447"/>
      <c r="AK49" s="447"/>
      <c r="AL49" s="445"/>
      <c r="AM49" s="448">
        <v>2940.4566443049412</v>
      </c>
      <c r="AN49" s="298"/>
    </row>
    <row r="50" spans="1:41" s="382" customFormat="1" ht="12.75" customHeight="1">
      <c r="A50" s="384" t="s">
        <v>380</v>
      </c>
      <c r="B50" s="385"/>
      <c r="C50" s="386">
        <v>23.921544282453681</v>
      </c>
      <c r="D50" s="387">
        <v>-14.006230000000002</v>
      </c>
      <c r="E50" s="388">
        <v>37.927774282453683</v>
      </c>
      <c r="F50" s="389">
        <v>0</v>
      </c>
      <c r="G50" s="389">
        <v>0</v>
      </c>
      <c r="H50" s="390">
        <v>0</v>
      </c>
      <c r="I50" s="387">
        <v>0</v>
      </c>
      <c r="J50" s="388">
        <v>0</v>
      </c>
      <c r="K50" s="388">
        <v>0</v>
      </c>
      <c r="L50" s="390">
        <v>-25.844452321811737</v>
      </c>
      <c r="M50" s="388">
        <v>0</v>
      </c>
      <c r="N50" s="388">
        <v>0</v>
      </c>
      <c r="O50" s="388">
        <v>0.27860952222222218</v>
      </c>
      <c r="P50" s="388">
        <v>218.03413355360001</v>
      </c>
      <c r="Q50" s="388">
        <v>-217.84516094495999</v>
      </c>
      <c r="R50" s="388">
        <v>1.7216905209039548</v>
      </c>
      <c r="S50" s="388">
        <v>0</v>
      </c>
      <c r="T50" s="388">
        <v>-4.1121806911242516</v>
      </c>
      <c r="U50" s="388">
        <v>-23.921544282453681</v>
      </c>
      <c r="V50" s="389">
        <v>0</v>
      </c>
      <c r="W50" s="389">
        <v>0</v>
      </c>
      <c r="X50" s="389">
        <v>0</v>
      </c>
      <c r="Y50" s="388">
        <v>0</v>
      </c>
      <c r="Z50" s="390">
        <v>0</v>
      </c>
      <c r="AA50" s="391">
        <v>-442.18716101860986</v>
      </c>
      <c r="AB50" s="392">
        <v>-51.556772735281996</v>
      </c>
      <c r="AC50" s="388">
        <v>-390.57024527999988</v>
      </c>
      <c r="AD50" s="388">
        <v>0</v>
      </c>
      <c r="AE50" s="393">
        <v>0</v>
      </c>
      <c r="AF50" s="393">
        <v>0</v>
      </c>
      <c r="AG50" s="393">
        <v>0</v>
      </c>
      <c r="AH50" s="387">
        <v>-6.014300332800001E-2</v>
      </c>
      <c r="AI50" s="389">
        <v>0</v>
      </c>
      <c r="AJ50" s="394">
        <v>0</v>
      </c>
      <c r="AK50" s="390">
        <v>442.18716101860986</v>
      </c>
      <c r="AL50" s="391">
        <v>0</v>
      </c>
      <c r="AM50" s="395">
        <v>-1.922908039358056</v>
      </c>
      <c r="AN50" s="298"/>
    </row>
    <row r="51" spans="1:41" s="382" customFormat="1" ht="12.75" customHeight="1">
      <c r="A51" s="347" t="s">
        <v>381</v>
      </c>
      <c r="B51" s="348"/>
      <c r="C51" s="396"/>
      <c r="D51" s="397"/>
      <c r="E51" s="398"/>
      <c r="F51" s="352"/>
      <c r="G51" s="352"/>
      <c r="H51" s="353"/>
      <c r="I51" s="399"/>
      <c r="J51" s="351"/>
      <c r="K51" s="351"/>
      <c r="L51" s="353"/>
      <c r="M51" s="351"/>
      <c r="N51" s="351"/>
      <c r="O51" s="351"/>
      <c r="P51" s="351"/>
      <c r="Q51" s="351"/>
      <c r="R51" s="351"/>
      <c r="S51" s="351"/>
      <c r="T51" s="351"/>
      <c r="U51" s="351"/>
      <c r="V51" s="352"/>
      <c r="W51" s="352"/>
      <c r="X51" s="352"/>
      <c r="Y51" s="351"/>
      <c r="Z51" s="353"/>
      <c r="AA51" s="354">
        <v>-442.18716101860986</v>
      </c>
      <c r="AB51" s="355">
        <v>-51.556772735281996</v>
      </c>
      <c r="AC51" s="351">
        <v>-390.57024527999988</v>
      </c>
      <c r="AD51" s="351"/>
      <c r="AE51" s="358"/>
      <c r="AF51" s="358"/>
      <c r="AG51" s="358"/>
      <c r="AH51" s="350">
        <v>-6.014300332800001E-2</v>
      </c>
      <c r="AI51" s="352"/>
      <c r="AJ51" s="356"/>
      <c r="AK51" s="353">
        <v>442.18716101860986</v>
      </c>
      <c r="AL51" s="354"/>
      <c r="AM51" s="381">
        <v>0</v>
      </c>
      <c r="AN51" s="298"/>
    </row>
    <row r="52" spans="1:41" s="382" customFormat="1" ht="12.75" customHeight="1">
      <c r="A52" s="400" t="s">
        <v>382</v>
      </c>
      <c r="B52" s="371"/>
      <c r="C52" s="401"/>
      <c r="D52" s="402"/>
      <c r="E52" s="374"/>
      <c r="F52" s="403"/>
      <c r="G52" s="403"/>
      <c r="H52" s="376"/>
      <c r="I52" s="404"/>
      <c r="J52" s="405"/>
      <c r="K52" s="405"/>
      <c r="L52" s="376"/>
      <c r="M52" s="405"/>
      <c r="N52" s="405"/>
      <c r="O52" s="405"/>
      <c r="P52" s="405"/>
      <c r="Q52" s="405"/>
      <c r="R52" s="405"/>
      <c r="S52" s="405"/>
      <c r="T52" s="405"/>
      <c r="U52" s="405"/>
      <c r="V52" s="403"/>
      <c r="W52" s="403"/>
      <c r="X52" s="403"/>
      <c r="Y52" s="405"/>
      <c r="Z52" s="376"/>
      <c r="AA52" s="377"/>
      <c r="AB52" s="406"/>
      <c r="AC52" s="405"/>
      <c r="AD52" s="405"/>
      <c r="AE52" s="405"/>
      <c r="AF52" s="405"/>
      <c r="AG52" s="405"/>
      <c r="AH52" s="407"/>
      <c r="AI52" s="403"/>
      <c r="AJ52" s="408"/>
      <c r="AK52" s="376"/>
      <c r="AL52" s="377"/>
      <c r="AM52" s="409">
        <v>0</v>
      </c>
      <c r="AN52" s="298"/>
    </row>
    <row r="53" spans="1:41" s="382" customFormat="1" ht="12.75" customHeight="1" thickBot="1">
      <c r="A53" s="313" t="s">
        <v>383</v>
      </c>
      <c r="B53" s="314"/>
      <c r="C53" s="410">
        <v>23.921544282453681</v>
      </c>
      <c r="D53" s="411">
        <v>-14.006230000000002</v>
      </c>
      <c r="E53" s="321">
        <v>37.927774282453683</v>
      </c>
      <c r="F53" s="316"/>
      <c r="G53" s="316"/>
      <c r="H53" s="317"/>
      <c r="I53" s="412"/>
      <c r="J53" s="321"/>
      <c r="K53" s="321"/>
      <c r="L53" s="317">
        <v>-25.844452321811737</v>
      </c>
      <c r="M53" s="321"/>
      <c r="N53" s="321"/>
      <c r="O53" s="321">
        <v>0.27860952222222218</v>
      </c>
      <c r="P53" s="321">
        <v>218.03413355360001</v>
      </c>
      <c r="Q53" s="321">
        <v>-217.84516094495999</v>
      </c>
      <c r="R53" s="321">
        <v>1.7216905209039548</v>
      </c>
      <c r="S53" s="321"/>
      <c r="T53" s="321">
        <v>-4.1121806911242516</v>
      </c>
      <c r="U53" s="316">
        <v>-23.921544282453681</v>
      </c>
      <c r="V53" s="316"/>
      <c r="W53" s="316"/>
      <c r="X53" s="316"/>
      <c r="Y53" s="321"/>
      <c r="Z53" s="317"/>
      <c r="AA53" s="317">
        <v>0</v>
      </c>
      <c r="AB53" s="320"/>
      <c r="AC53" s="321"/>
      <c r="AD53" s="321"/>
      <c r="AE53" s="321"/>
      <c r="AF53" s="321"/>
      <c r="AG53" s="321"/>
      <c r="AH53" s="318"/>
      <c r="AI53" s="316"/>
      <c r="AJ53" s="322"/>
      <c r="AK53" s="317"/>
      <c r="AL53" s="319"/>
      <c r="AM53" s="323">
        <v>-1.922908039358056</v>
      </c>
      <c r="AN53" s="298"/>
    </row>
    <row r="54" spans="1:41" s="382" customFormat="1" ht="12.75" customHeight="1" thickBot="1">
      <c r="A54" s="370" t="s">
        <v>384</v>
      </c>
      <c r="B54" s="371"/>
      <c r="C54" s="372">
        <v>0</v>
      </c>
      <c r="D54" s="373"/>
      <c r="E54" s="374"/>
      <c r="F54" s="403"/>
      <c r="G54" s="403"/>
      <c r="H54" s="376">
        <v>16.322798391725023</v>
      </c>
      <c r="I54" s="403">
        <v>16.322798391725023</v>
      </c>
      <c r="J54" s="405"/>
      <c r="K54" s="405"/>
      <c r="L54" s="376">
        <v>64.17224747266998</v>
      </c>
      <c r="M54" s="405"/>
      <c r="N54" s="405">
        <v>64.032288910926383</v>
      </c>
      <c r="O54" s="405"/>
      <c r="P54" s="405"/>
      <c r="Q54" s="405"/>
      <c r="R54" s="405">
        <v>0</v>
      </c>
      <c r="S54" s="405">
        <v>0</v>
      </c>
      <c r="T54" s="405">
        <v>0.13995856174359694</v>
      </c>
      <c r="U54" s="405"/>
      <c r="V54" s="403"/>
      <c r="W54" s="403"/>
      <c r="X54" s="403"/>
      <c r="Y54" s="405"/>
      <c r="Z54" s="376">
        <v>64.533120959999991</v>
      </c>
      <c r="AA54" s="377">
        <v>0</v>
      </c>
      <c r="AB54" s="378"/>
      <c r="AC54" s="405"/>
      <c r="AD54" s="405"/>
      <c r="AE54" s="405"/>
      <c r="AF54" s="405"/>
      <c r="AG54" s="405"/>
      <c r="AH54" s="407"/>
      <c r="AI54" s="403"/>
      <c r="AJ54" s="408"/>
      <c r="AK54" s="376">
        <v>263.25545657720949</v>
      </c>
      <c r="AL54" s="377"/>
      <c r="AM54" s="409">
        <v>408.28362340160447</v>
      </c>
      <c r="AN54" s="298"/>
    </row>
    <row r="55" spans="1:41" s="333" customFormat="1" ht="12.75" customHeight="1" thickBot="1">
      <c r="A55" s="413" t="s">
        <v>385</v>
      </c>
      <c r="B55" s="414"/>
      <c r="C55" s="415">
        <v>376.33216224132872</v>
      </c>
      <c r="D55" s="416">
        <v>275.93063514696104</v>
      </c>
      <c r="E55" s="417">
        <v>83.056165340196969</v>
      </c>
      <c r="F55" s="417">
        <v>0</v>
      </c>
      <c r="G55" s="417">
        <v>17.345361754170852</v>
      </c>
      <c r="H55" s="418">
        <v>174.35483053204672</v>
      </c>
      <c r="I55" s="416">
        <v>-38.255878467953089</v>
      </c>
      <c r="J55" s="417">
        <v>127.70399999999999</v>
      </c>
      <c r="K55" s="417">
        <v>84.906708999999992</v>
      </c>
      <c r="L55" s="418">
        <v>6492.6314852979103</v>
      </c>
      <c r="M55" s="417">
        <v>-1.8088945241993315</v>
      </c>
      <c r="N55" s="417">
        <v>0</v>
      </c>
      <c r="O55" s="417">
        <v>1216.877604486529</v>
      </c>
      <c r="P55" s="417">
        <v>838.0425918737601</v>
      </c>
      <c r="Q55" s="417">
        <v>652.21752140783997</v>
      </c>
      <c r="R55" s="417">
        <v>146.22919987348337</v>
      </c>
      <c r="S55" s="417">
        <v>139.30311016636995</v>
      </c>
      <c r="T55" s="417">
        <v>3111.393558324552</v>
      </c>
      <c r="U55" s="417">
        <v>99.657098528049275</v>
      </c>
      <c r="V55" s="417">
        <v>3.0323280704419879</v>
      </c>
      <c r="W55" s="417">
        <v>255.5843691346756</v>
      </c>
      <c r="X55" s="417">
        <v>1.0369938515479</v>
      </c>
      <c r="Y55" s="417">
        <v>31.066004104857999</v>
      </c>
      <c r="Z55" s="418">
        <v>1622.6471054197355</v>
      </c>
      <c r="AA55" s="419">
        <v>340.69628911017156</v>
      </c>
      <c r="AB55" s="345">
        <v>0</v>
      </c>
      <c r="AC55" s="328">
        <v>0</v>
      </c>
      <c r="AD55" s="328">
        <v>189.679641558951</v>
      </c>
      <c r="AE55" s="328">
        <v>0</v>
      </c>
      <c r="AF55" s="328">
        <v>7.0895308425345887</v>
      </c>
      <c r="AG55" s="328">
        <v>99.420337049136009</v>
      </c>
      <c r="AH55" s="330">
        <v>11.278273490844283</v>
      </c>
      <c r="AI55" s="420">
        <v>33.2285061687056</v>
      </c>
      <c r="AJ55" s="418">
        <v>34.887415356111809</v>
      </c>
      <c r="AK55" s="418">
        <v>2109.9802748919842</v>
      </c>
      <c r="AL55" s="419">
        <v>0</v>
      </c>
      <c r="AM55" s="421">
        <v>11151.52956284929</v>
      </c>
      <c r="AN55" s="298"/>
    </row>
    <row r="57" spans="1:41" s="430" customFormat="1" ht="105.75" customHeight="1" thickBot="1">
      <c r="A57" s="273" t="s">
        <v>390</v>
      </c>
      <c r="B57" s="274" t="s">
        <v>324</v>
      </c>
      <c r="C57" s="275" t="s">
        <v>325</v>
      </c>
      <c r="D57" s="276" t="s">
        <v>326</v>
      </c>
      <c r="E57" s="277" t="s">
        <v>327</v>
      </c>
      <c r="F57" s="278" t="s">
        <v>328</v>
      </c>
      <c r="G57" s="278" t="s">
        <v>329</v>
      </c>
      <c r="H57" s="279" t="s">
        <v>330</v>
      </c>
      <c r="I57" s="276" t="s">
        <v>331</v>
      </c>
      <c r="J57" s="277" t="s">
        <v>332</v>
      </c>
      <c r="K57" s="277" t="s">
        <v>333</v>
      </c>
      <c r="L57" s="279" t="s">
        <v>334</v>
      </c>
      <c r="M57" s="276" t="s">
        <v>335</v>
      </c>
      <c r="N57" s="277" t="s">
        <v>336</v>
      </c>
      <c r="O57" s="277" t="s">
        <v>337</v>
      </c>
      <c r="P57" s="277" t="s">
        <v>338</v>
      </c>
      <c r="Q57" s="277" t="s">
        <v>339</v>
      </c>
      <c r="R57" s="277" t="s">
        <v>340</v>
      </c>
      <c r="S57" s="277" t="s">
        <v>341</v>
      </c>
      <c r="T57" s="277" t="s">
        <v>342</v>
      </c>
      <c r="U57" s="277" t="s">
        <v>343</v>
      </c>
      <c r="V57" s="278" t="s">
        <v>344</v>
      </c>
      <c r="W57" s="278" t="s">
        <v>345</v>
      </c>
      <c r="X57" s="278" t="s">
        <v>346</v>
      </c>
      <c r="Y57" s="277" t="s">
        <v>347</v>
      </c>
      <c r="Z57" s="279" t="s">
        <v>348</v>
      </c>
      <c r="AA57" s="280" t="s">
        <v>349</v>
      </c>
      <c r="AB57" s="281" t="s">
        <v>350</v>
      </c>
      <c r="AC57" s="277" t="s">
        <v>351</v>
      </c>
      <c r="AD57" s="277" t="s">
        <v>352</v>
      </c>
      <c r="AE57" s="277" t="s">
        <v>353</v>
      </c>
      <c r="AF57" s="277" t="s">
        <v>354</v>
      </c>
      <c r="AG57" s="277" t="s">
        <v>355</v>
      </c>
      <c r="AH57" s="277" t="s">
        <v>356</v>
      </c>
      <c r="AI57" s="278" t="s">
        <v>357</v>
      </c>
      <c r="AJ57" s="279" t="s">
        <v>358</v>
      </c>
      <c r="AK57" s="279" t="s">
        <v>359</v>
      </c>
      <c r="AL57" s="280" t="s">
        <v>360</v>
      </c>
      <c r="AM57" s="282" t="s">
        <v>361</v>
      </c>
    </row>
    <row r="58" spans="1:41" s="431" customFormat="1" ht="12.75" customHeight="1">
      <c r="A58" s="284" t="s">
        <v>362</v>
      </c>
      <c r="B58" s="285"/>
      <c r="C58" s="286">
        <v>0</v>
      </c>
      <c r="D58" s="287">
        <v>0</v>
      </c>
      <c r="E58" s="288"/>
      <c r="F58" s="289"/>
      <c r="G58" s="289"/>
      <c r="H58" s="437">
        <v>971.14274567964389</v>
      </c>
      <c r="I58" s="291">
        <v>843.43874567964394</v>
      </c>
      <c r="J58" s="292">
        <v>127.70399999999999</v>
      </c>
      <c r="K58" s="292"/>
      <c r="L58" s="290">
        <v>0</v>
      </c>
      <c r="M58" s="291"/>
      <c r="N58" s="293"/>
      <c r="O58" s="293"/>
      <c r="P58" s="293"/>
      <c r="Q58" s="293"/>
      <c r="R58" s="293"/>
      <c r="S58" s="293"/>
      <c r="T58" s="293"/>
      <c r="U58" s="293"/>
      <c r="V58" s="289"/>
      <c r="W58" s="289"/>
      <c r="X58" s="289"/>
      <c r="Y58" s="292"/>
      <c r="Z58" s="437">
        <v>122.69591100591715</v>
      </c>
      <c r="AA58" s="294">
        <v>891.20919458719175</v>
      </c>
      <c r="AB58" s="295">
        <v>60.944232425259983</v>
      </c>
      <c r="AC58" s="292">
        <v>442.04525606199996</v>
      </c>
      <c r="AD58" s="292">
        <v>261.9590208627132</v>
      </c>
      <c r="AE58" s="292">
        <v>39.064855679693935</v>
      </c>
      <c r="AF58" s="292">
        <v>13.156909078968509</v>
      </c>
      <c r="AG58" s="292">
        <v>24.016782050043428</v>
      </c>
      <c r="AH58" s="291">
        <v>12.27628805199466</v>
      </c>
      <c r="AI58" s="289">
        <v>37.745850376518071</v>
      </c>
      <c r="AJ58" s="296">
        <v>63.007176048088219</v>
      </c>
      <c r="AK58" s="296"/>
      <c r="AL58" s="294"/>
      <c r="AM58" s="297">
        <v>2048.055027320841</v>
      </c>
      <c r="AO58" s="432"/>
    </row>
    <row r="59" spans="1:41" s="431" customFormat="1" ht="12.75" customHeight="1">
      <c r="A59" s="299" t="s">
        <v>363</v>
      </c>
      <c r="B59" s="300"/>
      <c r="C59" s="301">
        <v>1225.8431692696049</v>
      </c>
      <c r="D59" s="302">
        <v>1157.5765642983513</v>
      </c>
      <c r="E59" s="303">
        <v>55.066384486617437</v>
      </c>
      <c r="F59" s="304"/>
      <c r="G59" s="304">
        <v>13.200220484636274</v>
      </c>
      <c r="H59" s="305">
        <v>0</v>
      </c>
      <c r="I59" s="306"/>
      <c r="J59" s="307"/>
      <c r="K59" s="307"/>
      <c r="L59" s="305">
        <v>7912.2798944530996</v>
      </c>
      <c r="M59" s="306">
        <v>2883.7382777414</v>
      </c>
      <c r="N59" s="307">
        <v>0</v>
      </c>
      <c r="O59" s="307">
        <v>891.43655555555551</v>
      </c>
      <c r="P59" s="307">
        <v>387.34027384416004</v>
      </c>
      <c r="Q59" s="307">
        <v>946.98439095647996</v>
      </c>
      <c r="R59" s="307">
        <v>132.87560317994348</v>
      </c>
      <c r="S59" s="307">
        <v>112.84764997613578</v>
      </c>
      <c r="T59" s="307">
        <v>2188.7852787144548</v>
      </c>
      <c r="U59" s="307">
        <v>158.86535873534964</v>
      </c>
      <c r="V59" s="304">
        <v>0</v>
      </c>
      <c r="W59" s="304">
        <v>169.29450897544444</v>
      </c>
      <c r="X59" s="304">
        <v>1.5290799393029</v>
      </c>
      <c r="Y59" s="307">
        <v>38.582916834873004</v>
      </c>
      <c r="Z59" s="305">
        <v>3590.214279152266</v>
      </c>
      <c r="AA59" s="308">
        <v>132.700126932096</v>
      </c>
      <c r="AB59" s="309"/>
      <c r="AC59" s="307"/>
      <c r="AD59" s="307">
        <v>41.967772176479997</v>
      </c>
      <c r="AE59" s="307"/>
      <c r="AF59" s="307"/>
      <c r="AG59" s="307">
        <v>90.732354755616001</v>
      </c>
      <c r="AH59" s="306"/>
      <c r="AI59" s="304"/>
      <c r="AJ59" s="310"/>
      <c r="AK59" s="310">
        <v>245.35926419999998</v>
      </c>
      <c r="AL59" s="308"/>
      <c r="AM59" s="311">
        <v>13106.396734007067</v>
      </c>
      <c r="AO59" s="432"/>
    </row>
    <row r="60" spans="1:41" s="431" customFormat="1" ht="12.75" customHeight="1">
      <c r="A60" s="299" t="s">
        <v>364</v>
      </c>
      <c r="B60" s="300"/>
      <c r="C60" s="301">
        <v>9.9309903525919996</v>
      </c>
      <c r="D60" s="302">
        <v>0</v>
      </c>
      <c r="E60" s="312">
        <v>9.5338335139999995</v>
      </c>
      <c r="F60" s="304"/>
      <c r="G60" s="304">
        <v>0.39715683859200002</v>
      </c>
      <c r="H60" s="305">
        <v>1.9952719999999999</v>
      </c>
      <c r="I60" s="306"/>
      <c r="J60" s="307"/>
      <c r="K60" s="307">
        <v>1.9952719999999999</v>
      </c>
      <c r="L60" s="305">
        <v>1405.7776234077326</v>
      </c>
      <c r="M60" s="306">
        <v>124.41407781859999</v>
      </c>
      <c r="N60" s="307"/>
      <c r="O60" s="307">
        <v>276.34183507777772</v>
      </c>
      <c r="P60" s="307">
        <v>8.6579830646400016</v>
      </c>
      <c r="Q60" s="307">
        <v>6.4434995519999996E-2</v>
      </c>
      <c r="R60" s="307">
        <v>918.40118144378539</v>
      </c>
      <c r="S60" s="307">
        <v>37.20029509347259</v>
      </c>
      <c r="T60" s="307">
        <v>17.640119851901943</v>
      </c>
      <c r="U60" s="307">
        <v>9.1588901016641966E-2</v>
      </c>
      <c r="V60" s="304">
        <v>16.613553302486185</v>
      </c>
      <c r="W60" s="304">
        <v>0.17039957215895998</v>
      </c>
      <c r="X60" s="304">
        <v>2.3690591E-2</v>
      </c>
      <c r="Y60" s="307">
        <v>6.1584636953730003</v>
      </c>
      <c r="Z60" s="305">
        <v>0</v>
      </c>
      <c r="AA60" s="308">
        <v>1.5653339999999998E-3</v>
      </c>
      <c r="AB60" s="309"/>
      <c r="AC60" s="307"/>
      <c r="AD60" s="307">
        <v>1.5653339999999998E-3</v>
      </c>
      <c r="AE60" s="307"/>
      <c r="AF60" s="307"/>
      <c r="AG60" s="307">
        <v>0</v>
      </c>
      <c r="AH60" s="306"/>
      <c r="AI60" s="304"/>
      <c r="AJ60" s="310"/>
      <c r="AK60" s="310">
        <v>60.540362200000011</v>
      </c>
      <c r="AL60" s="308"/>
      <c r="AM60" s="311">
        <v>1478.2458132943245</v>
      </c>
      <c r="AO60" s="432"/>
    </row>
    <row r="61" spans="1:41" s="431" customFormat="1" ht="12.75" customHeight="1">
      <c r="A61" s="299" t="s">
        <v>365</v>
      </c>
      <c r="B61" s="300"/>
      <c r="C61" s="301">
        <v>0</v>
      </c>
      <c r="D61" s="302"/>
      <c r="E61" s="312"/>
      <c r="F61" s="304"/>
      <c r="G61" s="304"/>
      <c r="H61" s="305">
        <v>0</v>
      </c>
      <c r="I61" s="306"/>
      <c r="J61" s="307"/>
      <c r="K61" s="307"/>
      <c r="L61" s="305">
        <v>134.05953536548682</v>
      </c>
      <c r="M61" s="306"/>
      <c r="N61" s="307"/>
      <c r="O61" s="307"/>
      <c r="P61" s="307"/>
      <c r="Q61" s="307"/>
      <c r="R61" s="307">
        <v>20.133664301412431</v>
      </c>
      <c r="S61" s="307"/>
      <c r="T61" s="307">
        <v>113.9258710640744</v>
      </c>
      <c r="U61" s="307"/>
      <c r="V61" s="304"/>
      <c r="W61" s="304"/>
      <c r="X61" s="304"/>
      <c r="Y61" s="307"/>
      <c r="Z61" s="305"/>
      <c r="AA61" s="308">
        <v>0</v>
      </c>
      <c r="AB61" s="309"/>
      <c r="AC61" s="307"/>
      <c r="AD61" s="307"/>
      <c r="AE61" s="307"/>
      <c r="AF61" s="307"/>
      <c r="AG61" s="307"/>
      <c r="AH61" s="306"/>
      <c r="AI61" s="304"/>
      <c r="AJ61" s="310"/>
      <c r="AK61" s="310"/>
      <c r="AL61" s="308"/>
      <c r="AM61" s="311">
        <v>134.05953536548682</v>
      </c>
      <c r="AO61" s="432"/>
    </row>
    <row r="62" spans="1:41" s="431" customFormat="1" ht="12.75" customHeight="1" thickBot="1">
      <c r="A62" s="313" t="s">
        <v>366</v>
      </c>
      <c r="B62" s="314"/>
      <c r="C62" s="301">
        <v>46.443891028749562</v>
      </c>
      <c r="D62" s="315">
        <v>47.493969900499962</v>
      </c>
      <c r="E62" s="304">
        <v>-2.3593049323999997</v>
      </c>
      <c r="F62" s="316"/>
      <c r="G62" s="316">
        <v>1.3092260606496005</v>
      </c>
      <c r="H62" s="317">
        <v>-200.8413226573646</v>
      </c>
      <c r="I62" s="318">
        <v>-192.28256265736459</v>
      </c>
      <c r="J62" s="318">
        <v>0</v>
      </c>
      <c r="K62" s="318">
        <v>-8.5587599999999995</v>
      </c>
      <c r="L62" s="317">
        <v>80.059226296346793</v>
      </c>
      <c r="M62" s="306">
        <v>51.856040886999999</v>
      </c>
      <c r="N62" s="307"/>
      <c r="O62" s="307">
        <v>-6.7759102444444439</v>
      </c>
      <c r="P62" s="307">
        <v>-5.7916068246400005</v>
      </c>
      <c r="Q62" s="307">
        <v>23.475342856560001</v>
      </c>
      <c r="R62" s="307">
        <v>29.408110551977398</v>
      </c>
      <c r="S62" s="307">
        <v>-0.807728250548303</v>
      </c>
      <c r="T62" s="307">
        <v>8.6283702167371104</v>
      </c>
      <c r="U62" s="307">
        <v>-19.949102733311534</v>
      </c>
      <c r="V62" s="316">
        <v>1.5709837016574586E-2</v>
      </c>
      <c r="W62" s="316">
        <v>0</v>
      </c>
      <c r="X62" s="316">
        <v>0</v>
      </c>
      <c r="Y62" s="318">
        <v>0</v>
      </c>
      <c r="Z62" s="317">
        <v>7.9913784142011899</v>
      </c>
      <c r="AA62" s="319">
        <v>-2.5655011456439998</v>
      </c>
      <c r="AB62" s="320"/>
      <c r="AC62" s="321"/>
      <c r="AD62" s="321">
        <v>-2.3756719499999555E-2</v>
      </c>
      <c r="AE62" s="321"/>
      <c r="AF62" s="321"/>
      <c r="AG62" s="321">
        <v>-2.5417444261440001</v>
      </c>
      <c r="AH62" s="318"/>
      <c r="AI62" s="316"/>
      <c r="AJ62" s="322"/>
      <c r="AK62" s="322"/>
      <c r="AL62" s="319"/>
      <c r="AM62" s="323">
        <v>-68.912328063711058</v>
      </c>
      <c r="AO62" s="432"/>
    </row>
    <row r="63" spans="1:41" s="433" customFormat="1" ht="12.75" customHeight="1">
      <c r="A63" s="324" t="s">
        <v>367</v>
      </c>
      <c r="B63" s="325"/>
      <c r="C63" s="326">
        <v>1262.3560699457623</v>
      </c>
      <c r="D63" s="327">
        <v>1205.0705341988512</v>
      </c>
      <c r="E63" s="328">
        <v>43.173246040217435</v>
      </c>
      <c r="F63" s="328">
        <v>0</v>
      </c>
      <c r="G63" s="328">
        <v>14.112289706693874</v>
      </c>
      <c r="H63" s="329">
        <v>768.30615102227932</v>
      </c>
      <c r="I63" s="327">
        <v>651.15618302227938</v>
      </c>
      <c r="J63" s="328">
        <v>127.70399999999999</v>
      </c>
      <c r="K63" s="328">
        <v>-10.554031999999999</v>
      </c>
      <c r="L63" s="329">
        <v>6452.5019619762261</v>
      </c>
      <c r="M63" s="327">
        <v>2811.1802408097997</v>
      </c>
      <c r="N63" s="328">
        <v>0</v>
      </c>
      <c r="O63" s="328">
        <v>608.31881023333347</v>
      </c>
      <c r="P63" s="328">
        <v>372.89068395488005</v>
      </c>
      <c r="Q63" s="328">
        <v>970.39529881752003</v>
      </c>
      <c r="R63" s="328">
        <v>-776.2511320132769</v>
      </c>
      <c r="S63" s="328">
        <v>74.839626632114886</v>
      </c>
      <c r="T63" s="328">
        <v>2065.8476580152155</v>
      </c>
      <c r="U63" s="328">
        <v>138.82466710102148</v>
      </c>
      <c r="V63" s="328">
        <v>-16.597843465469609</v>
      </c>
      <c r="W63" s="328">
        <v>169.12410940328547</v>
      </c>
      <c r="X63" s="328">
        <v>1.5053893483028999</v>
      </c>
      <c r="Y63" s="328">
        <v>32.424453139500002</v>
      </c>
      <c r="Z63" s="329">
        <v>3720.9015685723843</v>
      </c>
      <c r="AA63" s="329">
        <v>1021.3422550396436</v>
      </c>
      <c r="AB63" s="327">
        <v>60.944232425259983</v>
      </c>
      <c r="AC63" s="328">
        <v>442.04525606199996</v>
      </c>
      <c r="AD63" s="328">
        <v>303.90147098569315</v>
      </c>
      <c r="AE63" s="328">
        <v>39.064855679693935</v>
      </c>
      <c r="AF63" s="328">
        <v>13.156909078968509</v>
      </c>
      <c r="AG63" s="328">
        <v>112.20739237951543</v>
      </c>
      <c r="AH63" s="330">
        <v>12.27628805199466</v>
      </c>
      <c r="AI63" s="327">
        <v>37.745850376518071</v>
      </c>
      <c r="AJ63" s="329">
        <v>63.007176048088219</v>
      </c>
      <c r="AK63" s="329">
        <v>184.81890199999998</v>
      </c>
      <c r="AL63" s="331">
        <v>0</v>
      </c>
      <c r="AM63" s="332">
        <v>13473.234084604384</v>
      </c>
      <c r="AN63" s="431"/>
      <c r="AO63" s="432"/>
    </row>
    <row r="64" spans="1:41" s="433" customFormat="1" ht="12.75" customHeight="1" thickBot="1">
      <c r="A64" s="334" t="s">
        <v>368</v>
      </c>
      <c r="B64" s="335"/>
      <c r="C64" s="336">
        <v>1262.3560699457623</v>
      </c>
      <c r="D64" s="337">
        <v>1205.0705341988512</v>
      </c>
      <c r="E64" s="338">
        <v>43.173246040217435</v>
      </c>
      <c r="F64" s="339">
        <v>0</v>
      </c>
      <c r="G64" s="339">
        <v>14.112289706693874</v>
      </c>
      <c r="H64" s="340">
        <v>768.30615102227932</v>
      </c>
      <c r="I64" s="337">
        <v>651.15618302227938</v>
      </c>
      <c r="J64" s="338">
        <v>127.70399999999999</v>
      </c>
      <c r="K64" s="338">
        <v>-10.554031999999999</v>
      </c>
      <c r="L64" s="340">
        <v>6249.4480100851379</v>
      </c>
      <c r="M64" s="337">
        <v>2811.1802408097997</v>
      </c>
      <c r="N64" s="338">
        <v>0</v>
      </c>
      <c r="O64" s="338">
        <v>608.31881023333347</v>
      </c>
      <c r="P64" s="338">
        <v>372.89068395488005</v>
      </c>
      <c r="Q64" s="338">
        <v>970.39529881752003</v>
      </c>
      <c r="R64" s="338">
        <v>-776.2511320132769</v>
      </c>
      <c r="S64" s="338">
        <v>74.839626632114886</v>
      </c>
      <c r="T64" s="338">
        <v>2065.8476580152155</v>
      </c>
      <c r="U64" s="338">
        <v>138.82466710102148</v>
      </c>
      <c r="V64" s="339">
        <v>-16.597843465469609</v>
      </c>
      <c r="W64" s="339">
        <v>0</v>
      </c>
      <c r="X64" s="339">
        <v>0</v>
      </c>
      <c r="Y64" s="338">
        <v>0</v>
      </c>
      <c r="Z64" s="340">
        <v>3720.9015685723843</v>
      </c>
      <c r="AA64" s="341">
        <v>1021.3422550396436</v>
      </c>
      <c r="AB64" s="337">
        <v>60.944232425259983</v>
      </c>
      <c r="AC64" s="338">
        <v>442.04525606199996</v>
      </c>
      <c r="AD64" s="338">
        <v>303.90147098569315</v>
      </c>
      <c r="AE64" s="338">
        <v>39.064855679693935</v>
      </c>
      <c r="AF64" s="338">
        <v>13.156909078968509</v>
      </c>
      <c r="AG64" s="338">
        <v>112.20739237951543</v>
      </c>
      <c r="AH64" s="342">
        <v>12.27628805199466</v>
      </c>
      <c r="AI64" s="337">
        <v>37.745850376518071</v>
      </c>
      <c r="AJ64" s="340">
        <v>63.007176048088219</v>
      </c>
      <c r="AK64" s="340">
        <v>184.81890199999998</v>
      </c>
      <c r="AL64" s="337">
        <v>0</v>
      </c>
      <c r="AM64" s="343">
        <v>13270.180132713296</v>
      </c>
      <c r="AN64" s="431"/>
      <c r="AO64" s="432"/>
    </row>
    <row r="65" spans="1:41" s="433" customFormat="1" ht="12.75" customHeight="1">
      <c r="A65" s="324" t="s">
        <v>369</v>
      </c>
      <c r="B65" s="325"/>
      <c r="C65" s="326">
        <v>942.05859365846607</v>
      </c>
      <c r="D65" s="330">
        <v>942.05859365846607</v>
      </c>
      <c r="E65" s="328">
        <v>0</v>
      </c>
      <c r="F65" s="344">
        <v>0</v>
      </c>
      <c r="G65" s="344">
        <v>0</v>
      </c>
      <c r="H65" s="329">
        <v>668.28429134655153</v>
      </c>
      <c r="I65" s="330">
        <v>668.28429134655153</v>
      </c>
      <c r="J65" s="328">
        <v>0</v>
      </c>
      <c r="K65" s="328">
        <v>0</v>
      </c>
      <c r="L65" s="329">
        <v>2874.4663680916492</v>
      </c>
      <c r="M65" s="328">
        <v>2814.1951999999997</v>
      </c>
      <c r="N65" s="328">
        <v>4.8226428745602208</v>
      </c>
      <c r="O65" s="328">
        <v>0</v>
      </c>
      <c r="P65" s="328">
        <v>0</v>
      </c>
      <c r="Q65" s="328">
        <v>0</v>
      </c>
      <c r="R65" s="328">
        <v>47.397657075727196</v>
      </c>
      <c r="S65" s="328">
        <v>0.51942510359999994</v>
      </c>
      <c r="T65" s="328">
        <v>7.5314430377622141</v>
      </c>
      <c r="U65" s="328">
        <v>0</v>
      </c>
      <c r="V65" s="344">
        <v>0</v>
      </c>
      <c r="W65" s="344">
        <v>0</v>
      </c>
      <c r="X65" s="344">
        <v>0</v>
      </c>
      <c r="Y65" s="328">
        <v>0</v>
      </c>
      <c r="Z65" s="329">
        <v>2017.4680540151119</v>
      </c>
      <c r="AA65" s="327">
        <v>127.78629473629765</v>
      </c>
      <c r="AB65" s="345">
        <v>0</v>
      </c>
      <c r="AC65" s="328">
        <v>0</v>
      </c>
      <c r="AD65" s="328">
        <v>83.713349268023094</v>
      </c>
      <c r="AE65" s="328">
        <v>39.064855679693935</v>
      </c>
      <c r="AF65" s="328">
        <v>5.0080897885806186</v>
      </c>
      <c r="AG65" s="328">
        <v>0</v>
      </c>
      <c r="AH65" s="330">
        <v>0</v>
      </c>
      <c r="AI65" s="344">
        <v>0</v>
      </c>
      <c r="AJ65" s="329">
        <v>24.518096548679999</v>
      </c>
      <c r="AK65" s="329">
        <v>58.226871555999992</v>
      </c>
      <c r="AL65" s="327">
        <v>0</v>
      </c>
      <c r="AM65" s="346">
        <v>6712.8085699527564</v>
      </c>
      <c r="AN65" s="431"/>
      <c r="AO65" s="432"/>
    </row>
    <row r="66" spans="1:41" s="431" customFormat="1" ht="12.75" customHeight="1">
      <c r="A66" s="347" t="s">
        <v>370</v>
      </c>
      <c r="B66" s="348"/>
      <c r="C66" s="349">
        <v>942.05859365846607</v>
      </c>
      <c r="D66" s="350">
        <v>942.05859365846607</v>
      </c>
      <c r="E66" s="351"/>
      <c r="F66" s="352"/>
      <c r="G66" s="352"/>
      <c r="H66" s="353">
        <v>541.83907492037906</v>
      </c>
      <c r="I66" s="350">
        <v>541.83907492037906</v>
      </c>
      <c r="J66" s="351">
        <v>0</v>
      </c>
      <c r="K66" s="351"/>
      <c r="L66" s="353">
        <v>54.929100113489412</v>
      </c>
      <c r="M66" s="351"/>
      <c r="N66" s="351"/>
      <c r="O66" s="351"/>
      <c r="P66" s="351"/>
      <c r="Q66" s="351"/>
      <c r="R66" s="351">
        <v>47.397657075727196</v>
      </c>
      <c r="S66" s="351"/>
      <c r="T66" s="351">
        <v>7.5314430377622141</v>
      </c>
      <c r="U66" s="351"/>
      <c r="V66" s="352"/>
      <c r="W66" s="352"/>
      <c r="X66" s="352"/>
      <c r="Y66" s="351"/>
      <c r="Z66" s="353">
        <v>1714.4540102949693</v>
      </c>
      <c r="AA66" s="354">
        <v>119.60923239064275</v>
      </c>
      <c r="AB66" s="355"/>
      <c r="AC66" s="351"/>
      <c r="AD66" s="351">
        <v>80.544376710948811</v>
      </c>
      <c r="AE66" s="351">
        <v>39.064855679693935</v>
      </c>
      <c r="AF66" s="351"/>
      <c r="AG66" s="351"/>
      <c r="AH66" s="350"/>
      <c r="AI66" s="352"/>
      <c r="AJ66" s="356">
        <v>24.518096548679999</v>
      </c>
      <c r="AK66" s="353"/>
      <c r="AL66" s="354"/>
      <c r="AM66" s="357">
        <v>3397.4081079266271</v>
      </c>
    </row>
    <row r="67" spans="1:41" s="431" customFormat="1" ht="12.75" customHeight="1">
      <c r="A67" s="299" t="s">
        <v>371</v>
      </c>
      <c r="B67" s="300"/>
      <c r="C67" s="301">
        <v>0</v>
      </c>
      <c r="D67" s="306">
        <v>0</v>
      </c>
      <c r="E67" s="307"/>
      <c r="F67" s="304"/>
      <c r="G67" s="304"/>
      <c r="H67" s="305">
        <v>7.9103891629398939</v>
      </c>
      <c r="I67" s="306">
        <v>7.9103891629398939</v>
      </c>
      <c r="J67" s="307"/>
      <c r="K67" s="307"/>
      <c r="L67" s="305">
        <v>5.3420679781602205</v>
      </c>
      <c r="M67" s="307"/>
      <c r="N67" s="358">
        <v>4.8226428745602208</v>
      </c>
      <c r="O67" s="307"/>
      <c r="P67" s="307"/>
      <c r="Q67" s="307"/>
      <c r="R67" s="307">
        <v>0</v>
      </c>
      <c r="S67" s="307">
        <v>0.51942510359999994</v>
      </c>
      <c r="T67" s="307">
        <v>0</v>
      </c>
      <c r="U67" s="307"/>
      <c r="V67" s="304"/>
      <c r="W67" s="304"/>
      <c r="X67" s="304"/>
      <c r="Y67" s="307"/>
      <c r="Z67" s="305">
        <v>258.45618601805808</v>
      </c>
      <c r="AA67" s="308">
        <v>8.1770623456549032</v>
      </c>
      <c r="AB67" s="309"/>
      <c r="AC67" s="307"/>
      <c r="AD67" s="307">
        <v>3.1689725570742846</v>
      </c>
      <c r="AE67" s="307"/>
      <c r="AF67" s="307">
        <v>5.0080897885806186</v>
      </c>
      <c r="AG67" s="307"/>
      <c r="AH67" s="306"/>
      <c r="AI67" s="304"/>
      <c r="AJ67" s="310"/>
      <c r="AK67" s="310"/>
      <c r="AL67" s="308"/>
      <c r="AM67" s="311">
        <v>279.88570550481313</v>
      </c>
    </row>
    <row r="68" spans="1:41" s="431" customFormat="1" ht="12.75" customHeight="1">
      <c r="A68" s="299" t="s">
        <v>372</v>
      </c>
      <c r="B68" s="300"/>
      <c r="C68" s="301"/>
      <c r="D68" s="306"/>
      <c r="E68" s="307"/>
      <c r="F68" s="304"/>
      <c r="G68" s="304"/>
      <c r="H68" s="305"/>
      <c r="I68" s="306"/>
      <c r="J68" s="307"/>
      <c r="K68" s="307"/>
      <c r="L68" s="305"/>
      <c r="M68" s="307"/>
      <c r="N68" s="358"/>
      <c r="O68" s="307"/>
      <c r="P68" s="307"/>
      <c r="Q68" s="307"/>
      <c r="R68" s="307"/>
      <c r="S68" s="307"/>
      <c r="T68" s="307"/>
      <c r="U68" s="307"/>
      <c r="V68" s="304"/>
      <c r="W68" s="304"/>
      <c r="X68" s="304"/>
      <c r="Y68" s="307"/>
      <c r="Z68" s="305"/>
      <c r="AA68" s="308"/>
      <c r="AB68" s="309"/>
      <c r="AC68" s="307"/>
      <c r="AD68" s="307"/>
      <c r="AE68" s="307"/>
      <c r="AF68" s="307"/>
      <c r="AG68" s="307"/>
      <c r="AH68" s="306"/>
      <c r="AI68" s="304"/>
      <c r="AJ68" s="310"/>
      <c r="AK68" s="310">
        <v>43.062676799999991</v>
      </c>
      <c r="AL68" s="308"/>
      <c r="AM68" s="311">
        <v>43.062676799999991</v>
      </c>
    </row>
    <row r="69" spans="1:41" s="431" customFormat="1" ht="12.75" customHeight="1">
      <c r="A69" s="299" t="s">
        <v>373</v>
      </c>
      <c r="B69" s="300"/>
      <c r="C69" s="301">
        <v>0</v>
      </c>
      <c r="D69" s="306"/>
      <c r="E69" s="304"/>
      <c r="F69" s="304"/>
      <c r="G69" s="304"/>
      <c r="H69" s="305">
        <v>118.5348272632326</v>
      </c>
      <c r="I69" s="306">
        <v>118.5348272632326</v>
      </c>
      <c r="J69" s="307"/>
      <c r="K69" s="307"/>
      <c r="L69" s="305">
        <v>0</v>
      </c>
      <c r="M69" s="307"/>
      <c r="N69" s="307"/>
      <c r="O69" s="307"/>
      <c r="P69" s="307"/>
      <c r="Q69" s="307"/>
      <c r="R69" s="307"/>
      <c r="S69" s="307"/>
      <c r="T69" s="307"/>
      <c r="U69" s="307"/>
      <c r="V69" s="304"/>
      <c r="W69" s="304"/>
      <c r="X69" s="304"/>
      <c r="Y69" s="307"/>
      <c r="Z69" s="305"/>
      <c r="AA69" s="308">
        <v>0</v>
      </c>
      <c r="AB69" s="309"/>
      <c r="AC69" s="307"/>
      <c r="AD69" s="307"/>
      <c r="AE69" s="307"/>
      <c r="AF69" s="307"/>
      <c r="AG69" s="307"/>
      <c r="AH69" s="306"/>
      <c r="AI69" s="304"/>
      <c r="AJ69" s="310"/>
      <c r="AK69" s="310"/>
      <c r="AL69" s="308"/>
      <c r="AM69" s="311">
        <v>118.5348272632326</v>
      </c>
    </row>
    <row r="70" spans="1:41" s="431" customFormat="1" ht="12.75" customHeight="1">
      <c r="A70" s="359" t="s">
        <v>374</v>
      </c>
      <c r="B70" s="360"/>
      <c r="C70" s="361">
        <v>0</v>
      </c>
      <c r="D70" s="362"/>
      <c r="E70" s="363"/>
      <c r="F70" s="364"/>
      <c r="G70" s="364"/>
      <c r="H70" s="365">
        <v>0</v>
      </c>
      <c r="I70" s="362"/>
      <c r="J70" s="363"/>
      <c r="K70" s="363"/>
      <c r="L70" s="365">
        <v>2814.1951999999997</v>
      </c>
      <c r="M70" s="363">
        <v>2814.1951999999997</v>
      </c>
      <c r="N70" s="363"/>
      <c r="O70" s="363"/>
      <c r="P70" s="363"/>
      <c r="Q70" s="363"/>
      <c r="R70" s="363"/>
      <c r="S70" s="363"/>
      <c r="T70" s="363"/>
      <c r="U70" s="363"/>
      <c r="V70" s="364"/>
      <c r="W70" s="364"/>
      <c r="X70" s="364"/>
      <c r="Y70" s="363"/>
      <c r="Z70" s="365">
        <v>44.557857702084455</v>
      </c>
      <c r="AA70" s="366">
        <v>0</v>
      </c>
      <c r="AB70" s="367"/>
      <c r="AC70" s="363"/>
      <c r="AD70" s="363"/>
      <c r="AE70" s="363"/>
      <c r="AF70" s="363"/>
      <c r="AG70" s="363"/>
      <c r="AH70" s="362"/>
      <c r="AI70" s="364"/>
      <c r="AJ70" s="368"/>
      <c r="AK70" s="368">
        <v>15.164194755999999</v>
      </c>
      <c r="AL70" s="366"/>
      <c r="AM70" s="369">
        <v>2873.9172524580845</v>
      </c>
    </row>
    <row r="71" spans="1:41" s="433" customFormat="1" ht="12.75" customHeight="1">
      <c r="A71" s="370" t="s">
        <v>375</v>
      </c>
      <c r="B71" s="371"/>
      <c r="C71" s="372">
        <v>0</v>
      </c>
      <c r="D71" s="373">
        <v>0</v>
      </c>
      <c r="E71" s="374">
        <v>0</v>
      </c>
      <c r="F71" s="375">
        <v>0</v>
      </c>
      <c r="G71" s="375">
        <v>0</v>
      </c>
      <c r="H71" s="376">
        <v>91.775424000000001</v>
      </c>
      <c r="I71" s="373">
        <v>0</v>
      </c>
      <c r="J71" s="374">
        <v>0</v>
      </c>
      <c r="K71" s="374">
        <v>91.775424000000001</v>
      </c>
      <c r="L71" s="376">
        <v>2871.4458206664322</v>
      </c>
      <c r="M71" s="374">
        <v>0</v>
      </c>
      <c r="N71" s="374">
        <v>74.22189472710744</v>
      </c>
      <c r="O71" s="374">
        <v>523.95213249999995</v>
      </c>
      <c r="P71" s="374">
        <v>144.39412638560003</v>
      </c>
      <c r="Q71" s="374">
        <v>0</v>
      </c>
      <c r="R71" s="374">
        <v>918.2172360666666</v>
      </c>
      <c r="S71" s="374">
        <v>67.173742993054844</v>
      </c>
      <c r="T71" s="374">
        <v>1122.5326375181742</v>
      </c>
      <c r="U71" s="374">
        <v>0</v>
      </c>
      <c r="V71" s="375">
        <v>20.95405047582873</v>
      </c>
      <c r="W71" s="375">
        <v>0</v>
      </c>
      <c r="X71" s="375">
        <v>0</v>
      </c>
      <c r="Y71" s="374">
        <v>0</v>
      </c>
      <c r="Z71" s="376">
        <v>0</v>
      </c>
      <c r="AA71" s="377">
        <v>46.109140714763754</v>
      </c>
      <c r="AB71" s="378">
        <v>0</v>
      </c>
      <c r="AC71" s="374">
        <v>0</v>
      </c>
      <c r="AD71" s="374">
        <v>28.42125554889202</v>
      </c>
      <c r="AE71" s="379">
        <v>14.574428081771728</v>
      </c>
      <c r="AF71" s="379">
        <v>3.1134570841000002</v>
      </c>
      <c r="AG71" s="379">
        <v>0</v>
      </c>
      <c r="AH71" s="373">
        <v>0</v>
      </c>
      <c r="AI71" s="375">
        <v>0</v>
      </c>
      <c r="AJ71" s="376">
        <v>5.6163703005691383</v>
      </c>
      <c r="AK71" s="376">
        <v>1759.9304281704051</v>
      </c>
      <c r="AL71" s="377">
        <v>0</v>
      </c>
      <c r="AM71" s="380">
        <v>4774.8771838521698</v>
      </c>
      <c r="AN71" s="431"/>
      <c r="AO71" s="432"/>
    </row>
    <row r="72" spans="1:41" s="434" customFormat="1" ht="12.75" customHeight="1">
      <c r="A72" s="347" t="s">
        <v>370</v>
      </c>
      <c r="B72" s="348"/>
      <c r="C72" s="349">
        <v>0</v>
      </c>
      <c r="D72" s="350"/>
      <c r="E72" s="351"/>
      <c r="F72" s="352"/>
      <c r="G72" s="352"/>
      <c r="H72" s="353">
        <v>0</v>
      </c>
      <c r="I72" s="350"/>
      <c r="J72" s="351"/>
      <c r="K72" s="351"/>
      <c r="L72" s="353">
        <v>0</v>
      </c>
      <c r="M72" s="351"/>
      <c r="N72" s="351"/>
      <c r="O72" s="351"/>
      <c r="P72" s="351"/>
      <c r="Q72" s="351"/>
      <c r="R72" s="351"/>
      <c r="S72" s="351"/>
      <c r="T72" s="351"/>
      <c r="U72" s="351"/>
      <c r="V72" s="352"/>
      <c r="W72" s="352"/>
      <c r="X72" s="352"/>
      <c r="Y72" s="351"/>
      <c r="Z72" s="353"/>
      <c r="AA72" s="354">
        <v>41.74517637866375</v>
      </c>
      <c r="AB72" s="355"/>
      <c r="AC72" s="351"/>
      <c r="AD72" s="351">
        <v>27.170748296892022</v>
      </c>
      <c r="AE72" s="358">
        <v>14.574428081771728</v>
      </c>
      <c r="AF72" s="358"/>
      <c r="AG72" s="358"/>
      <c r="AH72" s="350"/>
      <c r="AI72" s="352"/>
      <c r="AJ72" s="356">
        <v>5.6163703005691383</v>
      </c>
      <c r="AK72" s="356">
        <v>1557.7618530170109</v>
      </c>
      <c r="AL72" s="354"/>
      <c r="AM72" s="381">
        <v>1557.7618530170109</v>
      </c>
      <c r="AN72" s="431"/>
    </row>
    <row r="73" spans="1:41" s="434" customFormat="1" ht="12.75" customHeight="1">
      <c r="A73" s="299" t="s">
        <v>376</v>
      </c>
      <c r="B73" s="300"/>
      <c r="C73" s="301">
        <v>0</v>
      </c>
      <c r="D73" s="306"/>
      <c r="E73" s="307"/>
      <c r="F73" s="304"/>
      <c r="G73" s="304"/>
      <c r="H73" s="305">
        <v>0</v>
      </c>
      <c r="I73" s="306"/>
      <c r="J73" s="307"/>
      <c r="K73" s="307"/>
      <c r="L73" s="305">
        <v>0</v>
      </c>
      <c r="M73" s="307"/>
      <c r="N73" s="307"/>
      <c r="O73" s="307"/>
      <c r="P73" s="307"/>
      <c r="Q73" s="307"/>
      <c r="R73" s="307"/>
      <c r="S73" s="307"/>
      <c r="T73" s="307"/>
      <c r="U73" s="307"/>
      <c r="V73" s="304"/>
      <c r="W73" s="304"/>
      <c r="X73" s="304"/>
      <c r="Y73" s="307"/>
      <c r="Z73" s="305"/>
      <c r="AA73" s="308">
        <v>4.3639643361000005</v>
      </c>
      <c r="AB73" s="309"/>
      <c r="AC73" s="307"/>
      <c r="AD73" s="307">
        <v>1.250507252</v>
      </c>
      <c r="AE73" s="307"/>
      <c r="AF73" s="307">
        <v>3.1134570841000002</v>
      </c>
      <c r="AG73" s="307"/>
      <c r="AH73" s="306"/>
      <c r="AI73" s="304"/>
      <c r="AJ73" s="310"/>
      <c r="AK73" s="383">
        <v>178.16793204555418</v>
      </c>
      <c r="AL73" s="308"/>
      <c r="AM73" s="311">
        <v>178.16793204555418</v>
      </c>
      <c r="AN73" s="431"/>
    </row>
    <row r="74" spans="1:41" s="434" customFormat="1" ht="12.75" customHeight="1">
      <c r="A74" s="299" t="s">
        <v>377</v>
      </c>
      <c r="B74" s="300"/>
      <c r="C74" s="301"/>
      <c r="D74" s="306"/>
      <c r="E74" s="307"/>
      <c r="F74" s="304"/>
      <c r="G74" s="304"/>
      <c r="H74" s="305"/>
      <c r="I74" s="306"/>
      <c r="J74" s="307"/>
      <c r="K74" s="307"/>
      <c r="L74" s="305"/>
      <c r="M74" s="307"/>
      <c r="N74" s="307"/>
      <c r="O74" s="307"/>
      <c r="P74" s="307"/>
      <c r="Q74" s="307"/>
      <c r="R74" s="307"/>
      <c r="S74" s="307"/>
      <c r="T74" s="307"/>
      <c r="U74" s="307"/>
      <c r="V74" s="304"/>
      <c r="W74" s="304"/>
      <c r="X74" s="304"/>
      <c r="Y74" s="307"/>
      <c r="Z74" s="305"/>
      <c r="AA74" s="308">
        <v>0</v>
      </c>
      <c r="AB74" s="309"/>
      <c r="AC74" s="307"/>
      <c r="AD74" s="307"/>
      <c r="AE74" s="307"/>
      <c r="AF74" s="307"/>
      <c r="AG74" s="307"/>
      <c r="AH74" s="306"/>
      <c r="AI74" s="304"/>
      <c r="AJ74" s="310"/>
      <c r="AK74" s="310"/>
      <c r="AL74" s="308"/>
      <c r="AM74" s="311">
        <v>0</v>
      </c>
      <c r="AN74" s="431"/>
    </row>
    <row r="75" spans="1:41" s="434" customFormat="1" ht="12.75" customHeight="1">
      <c r="A75" s="299" t="s">
        <v>378</v>
      </c>
      <c r="B75" s="300"/>
      <c r="C75" s="301"/>
      <c r="D75" s="306"/>
      <c r="E75" s="307"/>
      <c r="F75" s="304"/>
      <c r="G75" s="304"/>
      <c r="H75" s="305"/>
      <c r="I75" s="306"/>
      <c r="J75" s="307"/>
      <c r="K75" s="307"/>
      <c r="L75" s="305"/>
      <c r="M75" s="307"/>
      <c r="N75" s="307"/>
      <c r="O75" s="307"/>
      <c r="P75" s="307"/>
      <c r="Q75" s="307"/>
      <c r="R75" s="307"/>
      <c r="S75" s="307"/>
      <c r="T75" s="307"/>
      <c r="U75" s="307"/>
      <c r="V75" s="304"/>
      <c r="W75" s="304"/>
      <c r="X75" s="304"/>
      <c r="Y75" s="307"/>
      <c r="Z75" s="305"/>
      <c r="AA75" s="308"/>
      <c r="AB75" s="309"/>
      <c r="AC75" s="307"/>
      <c r="AD75" s="307"/>
      <c r="AE75" s="307"/>
      <c r="AF75" s="307"/>
      <c r="AG75" s="307"/>
      <c r="AH75" s="306"/>
      <c r="AI75" s="304"/>
      <c r="AJ75" s="310"/>
      <c r="AK75" s="310">
        <v>24.000643107840006</v>
      </c>
      <c r="AL75" s="308"/>
      <c r="AM75" s="311">
        <v>24.000643107840006</v>
      </c>
      <c r="AN75" s="431"/>
    </row>
    <row r="76" spans="1:41" s="434" customFormat="1" ht="12.75" customHeight="1">
      <c r="A76" s="299" t="s">
        <v>373</v>
      </c>
      <c r="B76" s="300"/>
      <c r="C76" s="301"/>
      <c r="E76" s="307"/>
      <c r="F76" s="304"/>
      <c r="G76" s="304"/>
      <c r="H76" s="305">
        <v>91.775424000000001</v>
      </c>
      <c r="I76" s="306"/>
      <c r="J76" s="307"/>
      <c r="K76" s="307">
        <v>91.775424000000001</v>
      </c>
      <c r="L76" s="305">
        <v>0</v>
      </c>
      <c r="M76" s="307"/>
      <c r="N76" s="307"/>
      <c r="O76" s="307"/>
      <c r="P76" s="307"/>
      <c r="Q76" s="307"/>
      <c r="R76" s="307"/>
      <c r="S76" s="307"/>
      <c r="T76" s="307"/>
      <c r="U76" s="307"/>
      <c r="V76" s="304"/>
      <c r="W76" s="304"/>
      <c r="X76" s="304"/>
      <c r="Y76" s="307"/>
      <c r="Z76" s="305"/>
      <c r="AA76" s="308">
        <v>0</v>
      </c>
      <c r="AB76" s="309"/>
      <c r="AC76" s="307"/>
      <c r="AD76" s="307"/>
      <c r="AE76" s="307"/>
      <c r="AF76" s="307"/>
      <c r="AG76" s="307"/>
      <c r="AH76" s="306"/>
      <c r="AI76" s="304"/>
      <c r="AJ76" s="310"/>
      <c r="AK76" s="310"/>
      <c r="AL76" s="308"/>
      <c r="AM76" s="311">
        <v>91.775424000000001</v>
      </c>
      <c r="AN76" s="431"/>
    </row>
    <row r="77" spans="1:41" s="434" customFormat="1" ht="12.75" customHeight="1">
      <c r="A77" s="438" t="s">
        <v>379</v>
      </c>
      <c r="B77" s="439"/>
      <c r="C77" s="440"/>
      <c r="D77" s="441"/>
      <c r="E77" s="442"/>
      <c r="F77" s="443"/>
      <c r="G77" s="443"/>
      <c r="H77" s="444">
        <v>0</v>
      </c>
      <c r="I77" s="441"/>
      <c r="J77" s="442"/>
      <c r="K77" s="442"/>
      <c r="L77" s="444">
        <v>2871.4458206664322</v>
      </c>
      <c r="M77" s="442"/>
      <c r="N77" s="442">
        <v>74.22189472710744</v>
      </c>
      <c r="O77" s="442">
        <v>523.95213249999995</v>
      </c>
      <c r="P77" s="442">
        <v>144.39412638560003</v>
      </c>
      <c r="Q77" s="442">
        <v>0</v>
      </c>
      <c r="R77" s="442">
        <v>918.2172360666666</v>
      </c>
      <c r="S77" s="442">
        <v>67.173742993054844</v>
      </c>
      <c r="T77" s="442">
        <v>1122.5326375181742</v>
      </c>
      <c r="U77" s="442"/>
      <c r="V77" s="443">
        <v>20.95405047582873</v>
      </c>
      <c r="W77" s="443"/>
      <c r="X77" s="443"/>
      <c r="Y77" s="442"/>
      <c r="Z77" s="444"/>
      <c r="AA77" s="445">
        <v>0</v>
      </c>
      <c r="AB77" s="446"/>
      <c r="AC77" s="442"/>
      <c r="AD77" s="442"/>
      <c r="AE77" s="442"/>
      <c r="AF77" s="442"/>
      <c r="AG77" s="442"/>
      <c r="AH77" s="441"/>
      <c r="AI77" s="443"/>
      <c r="AJ77" s="447"/>
      <c r="AK77" s="447"/>
      <c r="AL77" s="445"/>
      <c r="AM77" s="448">
        <v>2871.4458206664322</v>
      </c>
      <c r="AN77" s="431"/>
    </row>
    <row r="78" spans="1:41" s="434" customFormat="1" ht="12.75" customHeight="1">
      <c r="A78" s="384" t="s">
        <v>380</v>
      </c>
      <c r="B78" s="385"/>
      <c r="C78" s="386">
        <v>17.236365325401415</v>
      </c>
      <c r="D78" s="387">
        <v>-11.541075000000001</v>
      </c>
      <c r="E78" s="388">
        <v>28.777440325401415</v>
      </c>
      <c r="F78" s="389">
        <v>0</v>
      </c>
      <c r="G78" s="389">
        <v>0</v>
      </c>
      <c r="H78" s="390">
        <v>0</v>
      </c>
      <c r="I78" s="387">
        <v>0</v>
      </c>
      <c r="J78" s="388">
        <v>0</v>
      </c>
      <c r="K78" s="388">
        <v>0</v>
      </c>
      <c r="L78" s="390">
        <v>-19.289998189989539</v>
      </c>
      <c r="M78" s="388">
        <v>0</v>
      </c>
      <c r="N78" s="388">
        <v>0</v>
      </c>
      <c r="O78" s="388">
        <v>-0.10381462222222221</v>
      </c>
      <c r="P78" s="388">
        <v>204.55238023584002</v>
      </c>
      <c r="Q78" s="388">
        <v>-204.14611135823998</v>
      </c>
      <c r="R78" s="388">
        <v>1.4972557378531075</v>
      </c>
      <c r="S78" s="388">
        <v>0</v>
      </c>
      <c r="T78" s="388">
        <v>-3.8533428578190581</v>
      </c>
      <c r="U78" s="388">
        <v>-17.236365325401412</v>
      </c>
      <c r="V78" s="389">
        <v>0</v>
      </c>
      <c r="W78" s="389">
        <v>0</v>
      </c>
      <c r="X78" s="389">
        <v>0</v>
      </c>
      <c r="Y78" s="388">
        <v>0</v>
      </c>
      <c r="Z78" s="390">
        <v>0</v>
      </c>
      <c r="AA78" s="391">
        <v>-503.07084831419115</v>
      </c>
      <c r="AB78" s="392">
        <v>-60.944232425259983</v>
      </c>
      <c r="AC78" s="388">
        <v>-442.04525606199996</v>
      </c>
      <c r="AD78" s="388">
        <v>0</v>
      </c>
      <c r="AE78" s="393">
        <v>0</v>
      </c>
      <c r="AF78" s="393">
        <v>0</v>
      </c>
      <c r="AG78" s="393">
        <v>0</v>
      </c>
      <c r="AH78" s="387">
        <v>-8.1359826931200002E-2</v>
      </c>
      <c r="AI78" s="389">
        <v>0</v>
      </c>
      <c r="AJ78" s="394">
        <v>0</v>
      </c>
      <c r="AK78" s="390">
        <v>503.07084831419115</v>
      </c>
      <c r="AL78" s="391">
        <v>0</v>
      </c>
      <c r="AM78" s="395">
        <v>-2.0536328645881241</v>
      </c>
      <c r="AN78" s="431"/>
      <c r="AO78" s="432"/>
    </row>
    <row r="79" spans="1:41" s="434" customFormat="1" ht="12.75" customHeight="1">
      <c r="A79" s="347" t="s">
        <v>381</v>
      </c>
      <c r="B79" s="348"/>
      <c r="C79" s="396"/>
      <c r="D79" s="397"/>
      <c r="E79" s="398"/>
      <c r="F79" s="352"/>
      <c r="G79" s="352"/>
      <c r="H79" s="353"/>
      <c r="I79" s="399"/>
      <c r="J79" s="351"/>
      <c r="K79" s="351"/>
      <c r="L79" s="353"/>
      <c r="M79" s="351"/>
      <c r="N79" s="351"/>
      <c r="O79" s="351"/>
      <c r="P79" s="351"/>
      <c r="Q79" s="351"/>
      <c r="R79" s="351"/>
      <c r="S79" s="351"/>
      <c r="T79" s="351"/>
      <c r="U79" s="351"/>
      <c r="V79" s="352"/>
      <c r="W79" s="352"/>
      <c r="X79" s="352"/>
      <c r="Y79" s="351"/>
      <c r="Z79" s="353"/>
      <c r="AA79" s="354">
        <v>-503.07084831419115</v>
      </c>
      <c r="AB79" s="355">
        <v>-60.944232425259983</v>
      </c>
      <c r="AC79" s="351">
        <v>-442.04525606199996</v>
      </c>
      <c r="AD79" s="351"/>
      <c r="AE79" s="358"/>
      <c r="AF79" s="358"/>
      <c r="AG79" s="358"/>
      <c r="AH79" s="350">
        <v>-8.1359826931200002E-2</v>
      </c>
      <c r="AI79" s="352"/>
      <c r="AJ79" s="356"/>
      <c r="AK79" s="353">
        <v>503.07084831419115</v>
      </c>
      <c r="AL79" s="354"/>
      <c r="AM79" s="381">
        <v>0</v>
      </c>
      <c r="AN79" s="431"/>
    </row>
    <row r="80" spans="1:41" s="434" customFormat="1" ht="12.75" customHeight="1">
      <c r="A80" s="400" t="s">
        <v>382</v>
      </c>
      <c r="B80" s="371"/>
      <c r="C80" s="401"/>
      <c r="D80" s="402"/>
      <c r="E80" s="374"/>
      <c r="F80" s="403"/>
      <c r="G80" s="403"/>
      <c r="H80" s="376"/>
      <c r="I80" s="404"/>
      <c r="J80" s="405"/>
      <c r="K80" s="405"/>
      <c r="L80" s="376"/>
      <c r="M80" s="405"/>
      <c r="N80" s="405"/>
      <c r="O80" s="405"/>
      <c r="P80" s="405"/>
      <c r="Q80" s="405"/>
      <c r="R80" s="405"/>
      <c r="S80" s="405"/>
      <c r="T80" s="405"/>
      <c r="U80" s="405"/>
      <c r="V80" s="403"/>
      <c r="W80" s="403"/>
      <c r="X80" s="403"/>
      <c r="Y80" s="405"/>
      <c r="Z80" s="376"/>
      <c r="AA80" s="377"/>
      <c r="AB80" s="406"/>
      <c r="AC80" s="405"/>
      <c r="AD80" s="405"/>
      <c r="AE80" s="405"/>
      <c r="AF80" s="405"/>
      <c r="AG80" s="405"/>
      <c r="AH80" s="407"/>
      <c r="AI80" s="403"/>
      <c r="AJ80" s="408"/>
      <c r="AK80" s="376"/>
      <c r="AL80" s="377"/>
      <c r="AM80" s="409">
        <v>0</v>
      </c>
      <c r="AN80" s="431"/>
    </row>
    <row r="81" spans="1:41" s="434" customFormat="1" ht="12.75" customHeight="1" thickBot="1">
      <c r="A81" s="313" t="s">
        <v>383</v>
      </c>
      <c r="B81" s="314"/>
      <c r="C81" s="410">
        <v>17.236365325401415</v>
      </c>
      <c r="D81" s="411">
        <v>-11.541075000000001</v>
      </c>
      <c r="E81" s="321">
        <v>28.777440325401415</v>
      </c>
      <c r="F81" s="316"/>
      <c r="G81" s="316"/>
      <c r="H81" s="317"/>
      <c r="I81" s="412"/>
      <c r="J81" s="321"/>
      <c r="K81" s="321"/>
      <c r="L81" s="317">
        <v>-19.289998189989539</v>
      </c>
      <c r="M81" s="321"/>
      <c r="N81" s="321"/>
      <c r="O81" s="321">
        <v>-0.10381462222222221</v>
      </c>
      <c r="P81" s="321">
        <v>204.55238023584002</v>
      </c>
      <c r="Q81" s="321">
        <v>-204.14611135823998</v>
      </c>
      <c r="R81" s="321">
        <v>1.4972557378531075</v>
      </c>
      <c r="S81" s="321"/>
      <c r="T81" s="321">
        <v>-3.8533428578190581</v>
      </c>
      <c r="U81" s="316">
        <v>-17.236365325401412</v>
      </c>
      <c r="V81" s="316"/>
      <c r="W81" s="316"/>
      <c r="X81" s="316"/>
      <c r="Y81" s="321"/>
      <c r="Z81" s="317"/>
      <c r="AA81" s="317">
        <v>0</v>
      </c>
      <c r="AB81" s="320"/>
      <c r="AC81" s="321"/>
      <c r="AD81" s="321"/>
      <c r="AE81" s="321"/>
      <c r="AF81" s="321"/>
      <c r="AG81" s="321"/>
      <c r="AH81" s="318"/>
      <c r="AI81" s="316"/>
      <c r="AJ81" s="322"/>
      <c r="AK81" s="317"/>
      <c r="AL81" s="319"/>
      <c r="AM81" s="323">
        <v>-2.0536328645881241</v>
      </c>
      <c r="AN81" s="431"/>
    </row>
    <row r="82" spans="1:41" s="434" customFormat="1" ht="12.75" customHeight="1" thickBot="1">
      <c r="A82" s="370" t="s">
        <v>384</v>
      </c>
      <c r="B82" s="371"/>
      <c r="C82" s="372">
        <v>0</v>
      </c>
      <c r="D82" s="373"/>
      <c r="E82" s="374"/>
      <c r="F82" s="403"/>
      <c r="G82" s="403"/>
      <c r="H82" s="376">
        <v>13.034293271425252</v>
      </c>
      <c r="I82" s="403">
        <v>13.034293271425252</v>
      </c>
      <c r="J82" s="405"/>
      <c r="K82" s="405"/>
      <c r="L82" s="376">
        <v>70.70367153247237</v>
      </c>
      <c r="M82" s="405"/>
      <c r="N82" s="405">
        <v>69.399251852547224</v>
      </c>
      <c r="O82" s="405"/>
      <c r="P82" s="405"/>
      <c r="Q82" s="405"/>
      <c r="R82" s="405">
        <v>0</v>
      </c>
      <c r="S82" s="405">
        <v>4.1693256233877908E-3</v>
      </c>
      <c r="T82" s="405">
        <v>1.3002503543017518</v>
      </c>
      <c r="U82" s="405"/>
      <c r="V82" s="403"/>
      <c r="W82" s="403"/>
      <c r="X82" s="403"/>
      <c r="Y82" s="405"/>
      <c r="Z82" s="376">
        <v>63.79750643224147</v>
      </c>
      <c r="AA82" s="377">
        <v>0</v>
      </c>
      <c r="AB82" s="378"/>
      <c r="AC82" s="405"/>
      <c r="AD82" s="405"/>
      <c r="AE82" s="405"/>
      <c r="AF82" s="405"/>
      <c r="AG82" s="405"/>
      <c r="AH82" s="407"/>
      <c r="AI82" s="403"/>
      <c r="AJ82" s="408"/>
      <c r="AK82" s="376">
        <v>262.19016108209235</v>
      </c>
      <c r="AL82" s="377"/>
      <c r="AM82" s="409">
        <v>409.72563231823142</v>
      </c>
      <c r="AN82" s="431"/>
      <c r="AO82" s="432"/>
    </row>
    <row r="83" spans="1:41" s="433" customFormat="1" ht="12.75" customHeight="1" thickBot="1">
      <c r="A83" s="413" t="s">
        <v>385</v>
      </c>
      <c r="B83" s="414"/>
      <c r="C83" s="415">
        <v>337.5338416126977</v>
      </c>
      <c r="D83" s="416">
        <v>251.47086554038512</v>
      </c>
      <c r="E83" s="417">
        <v>71.95068636561885</v>
      </c>
      <c r="F83" s="417">
        <v>0</v>
      </c>
      <c r="G83" s="417">
        <v>14.112289706693874</v>
      </c>
      <c r="H83" s="418">
        <v>178.76299040430254</v>
      </c>
      <c r="I83" s="416">
        <v>-30.1624015956974</v>
      </c>
      <c r="J83" s="417">
        <v>127.70399999999999</v>
      </c>
      <c r="K83" s="417">
        <v>81.221392000000009</v>
      </c>
      <c r="L83" s="418">
        <v>6359.4877448285479</v>
      </c>
      <c r="M83" s="417">
        <v>-3.0149591901999884</v>
      </c>
      <c r="N83" s="417">
        <v>0</v>
      </c>
      <c r="O83" s="417">
        <v>1132.1671281111112</v>
      </c>
      <c r="P83" s="417">
        <v>721.83719057632015</v>
      </c>
      <c r="Q83" s="417">
        <v>766.24918745928005</v>
      </c>
      <c r="R83" s="417">
        <v>96.06570271551557</v>
      </c>
      <c r="S83" s="417">
        <v>141.48977519594635</v>
      </c>
      <c r="T83" s="417">
        <v>3175.6952592835069</v>
      </c>
      <c r="U83" s="417">
        <v>121.58830177562007</v>
      </c>
      <c r="V83" s="417">
        <v>4.3562070103591211</v>
      </c>
      <c r="W83" s="417">
        <v>169.12410940328547</v>
      </c>
      <c r="X83" s="417">
        <v>1.5053893483028999</v>
      </c>
      <c r="Y83" s="417">
        <v>32.424453139500002</v>
      </c>
      <c r="Z83" s="418">
        <v>1639.6360081250309</v>
      </c>
      <c r="AA83" s="419">
        <v>390.4851119891548</v>
      </c>
      <c r="AB83" s="345">
        <v>0</v>
      </c>
      <c r="AC83" s="328">
        <v>0</v>
      </c>
      <c r="AD83" s="328">
        <v>220.18812171767007</v>
      </c>
      <c r="AE83" s="328">
        <v>0</v>
      </c>
      <c r="AF83" s="328">
        <v>8.1488192903878911</v>
      </c>
      <c r="AG83" s="328">
        <v>112.20739237951543</v>
      </c>
      <c r="AH83" s="330">
        <v>12.19492822506346</v>
      </c>
      <c r="AI83" s="420">
        <v>37.745850376518071</v>
      </c>
      <c r="AJ83" s="418">
        <v>38.48907949940822</v>
      </c>
      <c r="AK83" s="418">
        <v>2127.4031458465038</v>
      </c>
      <c r="AL83" s="419">
        <v>0</v>
      </c>
      <c r="AM83" s="421">
        <v>11071.797922305646</v>
      </c>
      <c r="AN83" s="431"/>
      <c r="AO83" s="432"/>
    </row>
    <row r="85" spans="1:41" ht="86.25" thickBot="1">
      <c r="A85" s="273" t="s">
        <v>445</v>
      </c>
      <c r="B85" s="274" t="s">
        <v>324</v>
      </c>
      <c r="C85" s="275" t="s">
        <v>325</v>
      </c>
      <c r="D85" s="276" t="s">
        <v>326</v>
      </c>
      <c r="E85" s="277" t="s">
        <v>327</v>
      </c>
      <c r="F85" s="278" t="s">
        <v>328</v>
      </c>
      <c r="G85" s="278" t="s">
        <v>329</v>
      </c>
      <c r="H85" s="279" t="s">
        <v>330</v>
      </c>
      <c r="I85" s="276" t="s">
        <v>331</v>
      </c>
      <c r="J85" s="277" t="s">
        <v>332</v>
      </c>
      <c r="K85" s="277" t="s">
        <v>333</v>
      </c>
      <c r="L85" s="279" t="s">
        <v>334</v>
      </c>
      <c r="M85" s="276" t="s">
        <v>335</v>
      </c>
      <c r="N85" s="277" t="s">
        <v>336</v>
      </c>
      <c r="O85" s="277" t="s">
        <v>337</v>
      </c>
      <c r="P85" s="277" t="s">
        <v>338</v>
      </c>
      <c r="Q85" s="277" t="s">
        <v>339</v>
      </c>
      <c r="R85" s="277" t="s">
        <v>340</v>
      </c>
      <c r="S85" s="277" t="s">
        <v>341</v>
      </c>
      <c r="T85" s="277" t="s">
        <v>342</v>
      </c>
      <c r="U85" s="277" t="s">
        <v>343</v>
      </c>
      <c r="V85" s="278" t="s">
        <v>344</v>
      </c>
      <c r="W85" s="278" t="s">
        <v>345</v>
      </c>
      <c r="X85" s="278" t="s">
        <v>346</v>
      </c>
      <c r="Y85" s="277" t="s">
        <v>347</v>
      </c>
      <c r="Z85" s="279" t="s">
        <v>348</v>
      </c>
      <c r="AA85" s="280" t="s">
        <v>349</v>
      </c>
      <c r="AB85" s="281" t="s">
        <v>350</v>
      </c>
      <c r="AC85" s="277" t="s">
        <v>351</v>
      </c>
      <c r="AD85" s="277" t="s">
        <v>352</v>
      </c>
      <c r="AE85" s="277" t="s">
        <v>353</v>
      </c>
      <c r="AF85" s="277" t="s">
        <v>354</v>
      </c>
      <c r="AG85" s="277" t="s">
        <v>355</v>
      </c>
      <c r="AH85" s="277" t="s">
        <v>356</v>
      </c>
      <c r="AI85" s="278" t="s">
        <v>357</v>
      </c>
      <c r="AJ85" s="279" t="s">
        <v>358</v>
      </c>
      <c r="AK85" s="279" t="s">
        <v>359</v>
      </c>
      <c r="AL85" s="280" t="s">
        <v>360</v>
      </c>
      <c r="AM85" s="282" t="s">
        <v>361</v>
      </c>
    </row>
    <row r="86" spans="1:41">
      <c r="A86" s="284" t="s">
        <v>362</v>
      </c>
      <c r="B86" s="285"/>
      <c r="C86" s="286">
        <v>0</v>
      </c>
      <c r="D86" s="287">
        <v>0</v>
      </c>
      <c r="E86" s="288"/>
      <c r="F86" s="289"/>
      <c r="G86" s="289"/>
      <c r="H86" s="290">
        <v>761.70763590773026</v>
      </c>
      <c r="I86" s="291">
        <v>634.00363590773031</v>
      </c>
      <c r="J86" s="292">
        <v>127.70399999999999</v>
      </c>
      <c r="K86" s="292"/>
      <c r="L86" s="290">
        <v>0</v>
      </c>
      <c r="M86" s="291"/>
      <c r="N86" s="293"/>
      <c r="O86" s="293"/>
      <c r="P86" s="293"/>
      <c r="Q86" s="293"/>
      <c r="R86" s="293"/>
      <c r="S86" s="293"/>
      <c r="T86" s="293"/>
      <c r="U86" s="293"/>
      <c r="V86" s="289"/>
      <c r="W86" s="289"/>
      <c r="X86" s="289"/>
      <c r="Y86" s="292"/>
      <c r="Z86" s="290">
        <v>107.45580499386362</v>
      </c>
      <c r="AA86" s="294">
        <v>1025.6192332066662</v>
      </c>
      <c r="AB86" s="295">
        <v>69.358155996860006</v>
      </c>
      <c r="AC86" s="292">
        <v>565.277794202</v>
      </c>
      <c r="AD86" s="292">
        <v>254.00082678560469</v>
      </c>
      <c r="AE86" s="292">
        <v>41.011254769021484</v>
      </c>
      <c r="AF86" s="292">
        <v>13.60554532380441</v>
      </c>
      <c r="AG86" s="292">
        <v>24.078432909586283</v>
      </c>
      <c r="AH86" s="291">
        <v>13.136807353841927</v>
      </c>
      <c r="AI86" s="289">
        <v>45.150415865947451</v>
      </c>
      <c r="AJ86" s="296">
        <v>62.006582672407923</v>
      </c>
      <c r="AK86" s="296"/>
      <c r="AL86" s="294"/>
      <c r="AM86" s="297">
        <v>1956.7892567806678</v>
      </c>
    </row>
    <row r="87" spans="1:41">
      <c r="A87" s="299" t="s">
        <v>363</v>
      </c>
      <c r="B87" s="300"/>
      <c r="C87" s="301">
        <v>1480.8561810077201</v>
      </c>
      <c r="D87" s="302">
        <v>1419.3245167438956</v>
      </c>
      <c r="E87" s="303">
        <v>48.638129791947776</v>
      </c>
      <c r="F87" s="304"/>
      <c r="G87" s="304">
        <v>12.893534471876839</v>
      </c>
      <c r="H87" s="305">
        <v>0</v>
      </c>
      <c r="I87" s="306"/>
      <c r="J87" s="307"/>
      <c r="K87" s="307"/>
      <c r="L87" s="305">
        <v>9105.9898844214713</v>
      </c>
      <c r="M87" s="306">
        <v>3725.1582678477998</v>
      </c>
      <c r="N87" s="307">
        <v>0</v>
      </c>
      <c r="O87" s="307">
        <v>847.66482598888888</v>
      </c>
      <c r="P87" s="307">
        <v>446.09681081056004</v>
      </c>
      <c r="Q87" s="307">
        <v>1215.53298794088</v>
      </c>
      <c r="R87" s="307">
        <v>118.23049259237288</v>
      </c>
      <c r="S87" s="307">
        <v>120.28455064966059</v>
      </c>
      <c r="T87" s="307">
        <v>2267.71850562705</v>
      </c>
      <c r="U87" s="307">
        <v>148.76918240020279</v>
      </c>
      <c r="V87" s="304">
        <v>0</v>
      </c>
      <c r="W87" s="304">
        <v>174.06439741855056</v>
      </c>
      <c r="X87" s="304">
        <v>1.4416431455041887</v>
      </c>
      <c r="Y87" s="307">
        <v>41.028219999999997</v>
      </c>
      <c r="Z87" s="305">
        <v>3628.7520365355981</v>
      </c>
      <c r="AA87" s="308">
        <v>124.32951742525199</v>
      </c>
      <c r="AB87" s="309"/>
      <c r="AC87" s="307"/>
      <c r="AD87" s="477">
        <v>27.322662714563993</v>
      </c>
      <c r="AE87" s="307"/>
      <c r="AF87" s="307"/>
      <c r="AG87" s="477">
        <v>97.006854710688003</v>
      </c>
      <c r="AH87" s="306"/>
      <c r="AI87" s="304"/>
      <c r="AJ87" s="310"/>
      <c r="AK87" s="310">
        <v>150.66980699999999</v>
      </c>
      <c r="AL87" s="308"/>
      <c r="AM87" s="311">
        <v>14490.597426390043</v>
      </c>
    </row>
    <row r="88" spans="1:41">
      <c r="A88" s="299" t="s">
        <v>364</v>
      </c>
      <c r="B88" s="300"/>
      <c r="C88" s="301">
        <v>11.4325550038792</v>
      </c>
      <c r="D88" s="302">
        <v>0</v>
      </c>
      <c r="E88" s="312">
        <v>10.291667649999999</v>
      </c>
      <c r="F88" s="304"/>
      <c r="G88" s="304">
        <v>1.1408873538792002</v>
      </c>
      <c r="H88" s="305">
        <v>6.9838950000000004</v>
      </c>
      <c r="I88" s="306"/>
      <c r="J88" s="307"/>
      <c r="K88" s="307">
        <v>6.9838950000000004</v>
      </c>
      <c r="L88" s="305">
        <v>1777.4210655236768</v>
      </c>
      <c r="M88" s="306">
        <v>0</v>
      </c>
      <c r="N88" s="307"/>
      <c r="O88" s="307">
        <v>414.29421579999996</v>
      </c>
      <c r="P88" s="307">
        <v>18.861340039360002</v>
      </c>
      <c r="Q88" s="307">
        <v>84.796615891200005</v>
      </c>
      <c r="R88" s="307">
        <v>1147.0051231689265</v>
      </c>
      <c r="S88" s="307">
        <v>16.342021913054833</v>
      </c>
      <c r="T88" s="307">
        <v>60.418044008114961</v>
      </c>
      <c r="U88" s="307">
        <v>0.439036343074581</v>
      </c>
      <c r="V88" s="304">
        <v>26.2553830269337</v>
      </c>
      <c r="W88" s="304">
        <v>1.1139046488</v>
      </c>
      <c r="X88" s="304">
        <v>3.9475559999999996E-3</v>
      </c>
      <c r="Y88" s="307">
        <v>7.8914331282124301</v>
      </c>
      <c r="Z88" s="305">
        <v>0</v>
      </c>
      <c r="AA88" s="308">
        <v>0.20694933359999998</v>
      </c>
      <c r="AB88" s="309"/>
      <c r="AC88" s="307"/>
      <c r="AD88" s="307">
        <v>0.20694933359999998</v>
      </c>
      <c r="AE88" s="307"/>
      <c r="AF88" s="307"/>
      <c r="AG88" s="307">
        <v>0</v>
      </c>
      <c r="AH88" s="306"/>
      <c r="AI88" s="304"/>
      <c r="AJ88" s="310"/>
      <c r="AK88" s="310">
        <v>92.759986999999981</v>
      </c>
      <c r="AL88" s="308"/>
      <c r="AM88" s="311">
        <v>1888.8044518611559</v>
      </c>
    </row>
    <row r="89" spans="1:41">
      <c r="A89" s="299" t="s">
        <v>365</v>
      </c>
      <c r="B89" s="300"/>
      <c r="C89" s="301">
        <v>0</v>
      </c>
      <c r="D89" s="302"/>
      <c r="E89" s="312"/>
      <c r="F89" s="304"/>
      <c r="G89" s="304"/>
      <c r="H89" s="305">
        <v>0</v>
      </c>
      <c r="I89" s="306"/>
      <c r="J89" s="307"/>
      <c r="K89" s="307"/>
      <c r="L89" s="305">
        <v>159.60393936750791</v>
      </c>
      <c r="M89" s="306"/>
      <c r="N89" s="307"/>
      <c r="O89" s="307"/>
      <c r="P89" s="307"/>
      <c r="Q89" s="307"/>
      <c r="R89" s="307">
        <v>13.614509187288135</v>
      </c>
      <c r="S89" s="307"/>
      <c r="T89" s="307">
        <v>145.98943018021978</v>
      </c>
      <c r="U89" s="307"/>
      <c r="V89" s="304"/>
      <c r="W89" s="304"/>
      <c r="X89" s="304"/>
      <c r="Y89" s="307"/>
      <c r="Z89" s="305"/>
      <c r="AA89" s="308">
        <v>0</v>
      </c>
      <c r="AB89" s="309"/>
      <c r="AC89" s="307"/>
      <c r="AD89" s="307"/>
      <c r="AE89" s="307"/>
      <c r="AF89" s="307"/>
      <c r="AG89" s="307"/>
      <c r="AH89" s="306"/>
      <c r="AI89" s="304"/>
      <c r="AJ89" s="310"/>
      <c r="AK89" s="310"/>
      <c r="AL89" s="308"/>
      <c r="AM89" s="311">
        <v>159.60393936750791</v>
      </c>
    </row>
    <row r="90" spans="1:41" ht="13.5" thickBot="1">
      <c r="A90" s="313" t="s">
        <v>366</v>
      </c>
      <c r="B90" s="314"/>
      <c r="C90" s="301">
        <v>-43.353999663869153</v>
      </c>
      <c r="D90" s="315">
        <v>-49.87240463484995</v>
      </c>
      <c r="E90" s="304">
        <v>6.1992574654499997</v>
      </c>
      <c r="F90" s="316"/>
      <c r="G90" s="316">
        <v>0.31914750553080012</v>
      </c>
      <c r="H90" s="317">
        <v>4.6751440926291323</v>
      </c>
      <c r="I90" s="318">
        <v>-9.4069399073708695</v>
      </c>
      <c r="J90" s="318">
        <v>0</v>
      </c>
      <c r="K90" s="318">
        <v>14.082084000000002</v>
      </c>
      <c r="L90" s="317">
        <v>-303.07898124682441</v>
      </c>
      <c r="M90" s="306">
        <v>-310.50166782419996</v>
      </c>
      <c r="N90" s="307"/>
      <c r="O90" s="307">
        <v>9.5819328000000006</v>
      </c>
      <c r="P90" s="307">
        <v>-7.0956714192000003</v>
      </c>
      <c r="Q90" s="307">
        <v>9.0425080329600007</v>
      </c>
      <c r="R90" s="307">
        <v>5.9342024158192102</v>
      </c>
      <c r="S90" s="307">
        <v>-0.46439142845953013</v>
      </c>
      <c r="T90" s="307">
        <v>-4.8885123185122588</v>
      </c>
      <c r="U90" s="307">
        <v>-2.6442048429390725</v>
      </c>
      <c r="V90" s="316">
        <v>-2.0431766622928174</v>
      </c>
      <c r="W90" s="316">
        <v>0</v>
      </c>
      <c r="X90" s="316">
        <v>0</v>
      </c>
      <c r="Y90" s="318">
        <v>0</v>
      </c>
      <c r="Z90" s="317">
        <v>24.350353264387156</v>
      </c>
      <c r="AA90" s="319">
        <v>0.72127593063599993</v>
      </c>
      <c r="AB90" s="320"/>
      <c r="AC90" s="321"/>
      <c r="AD90" s="321">
        <v>-0.57397924299600001</v>
      </c>
      <c r="AE90" s="321"/>
      <c r="AF90" s="321"/>
      <c r="AG90" s="321">
        <v>1.2952551736319999</v>
      </c>
      <c r="AH90" s="318"/>
      <c r="AI90" s="316"/>
      <c r="AJ90" s="322"/>
      <c r="AK90" s="322"/>
      <c r="AL90" s="319"/>
      <c r="AM90" s="323">
        <v>-316.6862076230413</v>
      </c>
    </row>
    <row r="91" spans="1:41">
      <c r="A91" s="324" t="s">
        <v>367</v>
      </c>
      <c r="B91" s="325"/>
      <c r="C91" s="326">
        <v>1426.0696263399718</v>
      </c>
      <c r="D91" s="327">
        <v>1369.4521121090456</v>
      </c>
      <c r="E91" s="328">
        <v>44.545719607397771</v>
      </c>
      <c r="F91" s="328">
        <v>0</v>
      </c>
      <c r="G91" s="328">
        <v>12.071794623528438</v>
      </c>
      <c r="H91" s="329">
        <v>759.39888500035943</v>
      </c>
      <c r="I91" s="327">
        <v>624.59669600035943</v>
      </c>
      <c r="J91" s="328">
        <v>127.70399999999999</v>
      </c>
      <c r="K91" s="328">
        <v>7.0981890000000014</v>
      </c>
      <c r="L91" s="329">
        <v>6865.8858982834618</v>
      </c>
      <c r="M91" s="327">
        <v>3414.6566000235998</v>
      </c>
      <c r="N91" s="328">
        <v>0</v>
      </c>
      <c r="O91" s="328">
        <v>442.95254298888892</v>
      </c>
      <c r="P91" s="328">
        <v>420.13979935200001</v>
      </c>
      <c r="Q91" s="328">
        <v>1139.7788800826402</v>
      </c>
      <c r="R91" s="328">
        <v>-1036.4549373480224</v>
      </c>
      <c r="S91" s="328">
        <v>103.47813730814622</v>
      </c>
      <c r="T91" s="328">
        <v>2056.4225191202031</v>
      </c>
      <c r="U91" s="328">
        <v>145.68594121418914</v>
      </c>
      <c r="V91" s="328">
        <v>-28.298559689226519</v>
      </c>
      <c r="W91" s="328">
        <v>172.95049276975055</v>
      </c>
      <c r="X91" s="328">
        <v>1.4376955895041887</v>
      </c>
      <c r="Y91" s="328">
        <v>33.136786871787564</v>
      </c>
      <c r="Z91" s="329">
        <v>3760.558194793849</v>
      </c>
      <c r="AA91" s="329">
        <v>1150.4630772289543</v>
      </c>
      <c r="AB91" s="327">
        <v>69.358155996860006</v>
      </c>
      <c r="AC91" s="328">
        <v>565.277794202</v>
      </c>
      <c r="AD91" s="328">
        <v>280.54256092357269</v>
      </c>
      <c r="AE91" s="328">
        <v>41.011254769021484</v>
      </c>
      <c r="AF91" s="328">
        <v>13.60554532380441</v>
      </c>
      <c r="AG91" s="328">
        <v>122.38054279390629</v>
      </c>
      <c r="AH91" s="330">
        <v>13.136807353841927</v>
      </c>
      <c r="AI91" s="327">
        <v>45.150415865947451</v>
      </c>
      <c r="AJ91" s="329">
        <v>62.006582672407923</v>
      </c>
      <c r="AK91" s="329">
        <v>57.909820000000011</v>
      </c>
      <c r="AL91" s="331">
        <v>0</v>
      </c>
      <c r="AM91" s="332">
        <v>14082.292084319004</v>
      </c>
    </row>
    <row r="92" spans="1:41" ht="13.5" thickBot="1">
      <c r="A92" s="334" t="s">
        <v>368</v>
      </c>
      <c r="B92" s="335"/>
      <c r="C92" s="336">
        <v>1426.0696263399718</v>
      </c>
      <c r="D92" s="337">
        <v>1369.4521121090456</v>
      </c>
      <c r="E92" s="338">
        <v>44.545719607397771</v>
      </c>
      <c r="F92" s="339">
        <v>0</v>
      </c>
      <c r="G92" s="339">
        <v>12.071794623528438</v>
      </c>
      <c r="H92" s="340">
        <v>759.39888500035943</v>
      </c>
      <c r="I92" s="337">
        <v>624.59669600035943</v>
      </c>
      <c r="J92" s="338">
        <v>127.70399999999999</v>
      </c>
      <c r="K92" s="338">
        <v>7.0981890000000014</v>
      </c>
      <c r="L92" s="340">
        <v>6658.3609230524198</v>
      </c>
      <c r="M92" s="337">
        <v>3414.6566000235998</v>
      </c>
      <c r="N92" s="338">
        <v>0</v>
      </c>
      <c r="O92" s="338">
        <v>442.95254298888892</v>
      </c>
      <c r="P92" s="338">
        <v>420.13979935200001</v>
      </c>
      <c r="Q92" s="338">
        <v>1139.7788800826402</v>
      </c>
      <c r="R92" s="338">
        <v>-1036.4549373480224</v>
      </c>
      <c r="S92" s="338">
        <v>103.47813730814622</v>
      </c>
      <c r="T92" s="338">
        <v>2056.4225191202031</v>
      </c>
      <c r="U92" s="338">
        <v>145.68594121418914</v>
      </c>
      <c r="V92" s="339">
        <v>-28.298559689226519</v>
      </c>
      <c r="W92" s="339">
        <v>0</v>
      </c>
      <c r="X92" s="339">
        <v>0</v>
      </c>
      <c r="Y92" s="338">
        <v>0</v>
      </c>
      <c r="Z92" s="340">
        <v>3760.558194793849</v>
      </c>
      <c r="AA92" s="341">
        <v>1150.4630772289543</v>
      </c>
      <c r="AB92" s="337">
        <v>69.358155996860006</v>
      </c>
      <c r="AC92" s="338">
        <v>565.277794202</v>
      </c>
      <c r="AD92" s="338">
        <v>280.54256092357269</v>
      </c>
      <c r="AE92" s="338">
        <v>41.011254769021484</v>
      </c>
      <c r="AF92" s="338">
        <v>13.60554532380441</v>
      </c>
      <c r="AG92" s="338">
        <v>122.38054279390629</v>
      </c>
      <c r="AH92" s="342">
        <v>13.136807353841927</v>
      </c>
      <c r="AI92" s="337">
        <v>45.150415865947451</v>
      </c>
      <c r="AJ92" s="340">
        <v>62.006582672407923</v>
      </c>
      <c r="AK92" s="340">
        <v>57.909820000000011</v>
      </c>
      <c r="AL92" s="337">
        <v>0</v>
      </c>
      <c r="AM92" s="343">
        <v>13874.767109087963</v>
      </c>
    </row>
    <row r="93" spans="1:41">
      <c r="A93" s="324" t="s">
        <v>369</v>
      </c>
      <c r="B93" s="325"/>
      <c r="C93" s="326">
        <v>1126.9085590705945</v>
      </c>
      <c r="D93" s="330">
        <v>1126.9085590705945</v>
      </c>
      <c r="E93" s="328">
        <v>0</v>
      </c>
      <c r="F93" s="344">
        <v>0</v>
      </c>
      <c r="G93" s="344">
        <v>0</v>
      </c>
      <c r="H93" s="329">
        <v>638.63601856628566</v>
      </c>
      <c r="I93" s="330">
        <v>638.63601856628566</v>
      </c>
      <c r="J93" s="328">
        <v>0</v>
      </c>
      <c r="K93" s="328">
        <v>0</v>
      </c>
      <c r="L93" s="329">
        <v>3526.1878097885847</v>
      </c>
      <c r="M93" s="328">
        <v>3414.6566000236003</v>
      </c>
      <c r="N93" s="328">
        <v>33.845876697599998</v>
      </c>
      <c r="O93" s="328">
        <v>0</v>
      </c>
      <c r="P93" s="328">
        <v>0</v>
      </c>
      <c r="Q93" s="328">
        <v>0</v>
      </c>
      <c r="R93" s="328">
        <v>58.029340981354551</v>
      </c>
      <c r="S93" s="328">
        <v>0.63707342085838004</v>
      </c>
      <c r="T93" s="328">
        <v>19.018918665171498</v>
      </c>
      <c r="U93" s="328">
        <v>0</v>
      </c>
      <c r="V93" s="344">
        <v>0</v>
      </c>
      <c r="W93" s="344">
        <v>0</v>
      </c>
      <c r="X93" s="344">
        <v>0</v>
      </c>
      <c r="Y93" s="328">
        <v>0</v>
      </c>
      <c r="Z93" s="329">
        <v>1942.6269931474885</v>
      </c>
      <c r="AA93" s="327">
        <v>114.6656156818615</v>
      </c>
      <c r="AB93" s="345">
        <v>0</v>
      </c>
      <c r="AC93" s="328">
        <v>0</v>
      </c>
      <c r="AD93" s="328">
        <v>68.888388612060652</v>
      </c>
      <c r="AE93" s="328">
        <v>41.011254769021484</v>
      </c>
      <c r="AF93" s="328">
        <v>4.7659723007793584</v>
      </c>
      <c r="AG93" s="328">
        <v>0</v>
      </c>
      <c r="AH93" s="330">
        <v>0</v>
      </c>
      <c r="AI93" s="344">
        <v>0</v>
      </c>
      <c r="AJ93" s="329">
        <v>24.810363388691997</v>
      </c>
      <c r="AK93" s="329">
        <v>56.421942600000001</v>
      </c>
      <c r="AL93" s="327">
        <v>0</v>
      </c>
      <c r="AM93" s="346">
        <v>7430.2573022435081</v>
      </c>
    </row>
    <row r="94" spans="1:41">
      <c r="A94" s="347" t="s">
        <v>370</v>
      </c>
      <c r="B94" s="348"/>
      <c r="C94" s="349">
        <v>1126.9085590705945</v>
      </c>
      <c r="D94" s="350">
        <v>1126.9085590705945</v>
      </c>
      <c r="E94" s="351"/>
      <c r="F94" s="352"/>
      <c r="G94" s="352"/>
      <c r="H94" s="353">
        <v>547.20073970697877</v>
      </c>
      <c r="I94" s="350">
        <v>547.20073970697877</v>
      </c>
      <c r="J94" s="351">
        <v>0</v>
      </c>
      <c r="K94" s="351"/>
      <c r="L94" s="353">
        <v>77.048259646526049</v>
      </c>
      <c r="M94" s="351"/>
      <c r="N94" s="351"/>
      <c r="O94" s="351"/>
      <c r="P94" s="351"/>
      <c r="Q94" s="351"/>
      <c r="R94" s="351">
        <v>58.029340981354551</v>
      </c>
      <c r="S94" s="351"/>
      <c r="T94" s="351">
        <v>19.018918665171498</v>
      </c>
      <c r="U94" s="351"/>
      <c r="V94" s="352"/>
      <c r="W94" s="352"/>
      <c r="X94" s="352"/>
      <c r="Y94" s="351"/>
      <c r="Z94" s="353">
        <v>1619.9789481399689</v>
      </c>
      <c r="AA94" s="354">
        <v>107.16488439457504</v>
      </c>
      <c r="AB94" s="355"/>
      <c r="AC94" s="351"/>
      <c r="AD94" s="351">
        <v>66.153629625553549</v>
      </c>
      <c r="AE94" s="351">
        <v>41.011254769021484</v>
      </c>
      <c r="AF94" s="351"/>
      <c r="AG94" s="351"/>
      <c r="AH94" s="350"/>
      <c r="AI94" s="352"/>
      <c r="AJ94" s="356">
        <v>24.810363388691997</v>
      </c>
      <c r="AK94" s="353"/>
      <c r="AL94" s="354"/>
      <c r="AM94" s="357">
        <v>3503.1117543473356</v>
      </c>
    </row>
    <row r="95" spans="1:41">
      <c r="A95" s="299" t="s">
        <v>371</v>
      </c>
      <c r="B95" s="300"/>
      <c r="C95" s="301">
        <v>0</v>
      </c>
      <c r="D95" s="306">
        <v>0</v>
      </c>
      <c r="E95" s="307"/>
      <c r="F95" s="304"/>
      <c r="G95" s="304"/>
      <c r="H95" s="305">
        <v>6.8342998573008806</v>
      </c>
      <c r="I95" s="306">
        <v>6.8342998573008806</v>
      </c>
      <c r="J95" s="307"/>
      <c r="K95" s="307"/>
      <c r="L95" s="305">
        <v>34.482950118458376</v>
      </c>
      <c r="M95" s="307"/>
      <c r="N95" s="358">
        <v>33.845876697599998</v>
      </c>
      <c r="O95" s="307"/>
      <c r="P95" s="307"/>
      <c r="Q95" s="307"/>
      <c r="R95" s="307">
        <v>0</v>
      </c>
      <c r="S95" s="307">
        <v>0.63707342085838004</v>
      </c>
      <c r="T95" s="307">
        <v>0</v>
      </c>
      <c r="U95" s="307"/>
      <c r="V95" s="304"/>
      <c r="W95" s="304"/>
      <c r="X95" s="304"/>
      <c r="Y95" s="307"/>
      <c r="Z95" s="305">
        <v>279.3462141168477</v>
      </c>
      <c r="AA95" s="308">
        <v>7.5007312872864587</v>
      </c>
      <c r="AB95" s="309"/>
      <c r="AC95" s="307"/>
      <c r="AD95" s="307">
        <v>2.7347589865071003</v>
      </c>
      <c r="AE95" s="307"/>
      <c r="AF95" s="307">
        <v>4.7659723007793584</v>
      </c>
      <c r="AG95" s="307"/>
      <c r="AH95" s="306"/>
      <c r="AI95" s="304"/>
      <c r="AJ95" s="310"/>
      <c r="AK95" s="310"/>
      <c r="AL95" s="308"/>
      <c r="AM95" s="311">
        <v>328.16419537989339</v>
      </c>
    </row>
    <row r="96" spans="1:41">
      <c r="A96" s="299" t="s">
        <v>372</v>
      </c>
      <c r="B96" s="300"/>
      <c r="C96" s="301"/>
      <c r="D96" s="306"/>
      <c r="E96" s="307"/>
      <c r="F96" s="304"/>
      <c r="G96" s="304"/>
      <c r="H96" s="305"/>
      <c r="I96" s="306"/>
      <c r="J96" s="307"/>
      <c r="K96" s="307"/>
      <c r="L96" s="305"/>
      <c r="M96" s="307"/>
      <c r="N96" s="358"/>
      <c r="O96" s="307"/>
      <c r="P96" s="307"/>
      <c r="Q96" s="307"/>
      <c r="R96" s="307"/>
      <c r="S96" s="307"/>
      <c r="T96" s="307"/>
      <c r="U96" s="307"/>
      <c r="V96" s="304"/>
      <c r="W96" s="304"/>
      <c r="X96" s="304"/>
      <c r="Y96" s="307"/>
      <c r="Z96" s="305"/>
      <c r="AA96" s="308"/>
      <c r="AB96" s="309"/>
      <c r="AC96" s="307"/>
      <c r="AD96" s="307"/>
      <c r="AE96" s="307"/>
      <c r="AF96" s="307"/>
      <c r="AG96" s="307"/>
      <c r="AH96" s="306"/>
      <c r="AI96" s="304"/>
      <c r="AJ96" s="310"/>
      <c r="AK96" s="310">
        <v>45.609850600000001</v>
      </c>
      <c r="AL96" s="308"/>
      <c r="AM96" s="311">
        <v>45.609850600000001</v>
      </c>
    </row>
    <row r="97" spans="1:39">
      <c r="A97" s="299" t="s">
        <v>373</v>
      </c>
      <c r="B97" s="300"/>
      <c r="C97" s="301">
        <v>0</v>
      </c>
      <c r="D97" s="306"/>
      <c r="E97" s="304"/>
      <c r="F97" s="304"/>
      <c r="G97" s="304"/>
      <c r="H97" s="305">
        <v>84.600979002006028</v>
      </c>
      <c r="I97" s="306">
        <v>84.600979002006028</v>
      </c>
      <c r="J97" s="307"/>
      <c r="K97" s="307"/>
      <c r="L97" s="305">
        <v>0</v>
      </c>
      <c r="M97" s="307"/>
      <c r="N97" s="307"/>
      <c r="O97" s="307"/>
      <c r="P97" s="307"/>
      <c r="Q97" s="307"/>
      <c r="R97" s="307"/>
      <c r="S97" s="307"/>
      <c r="T97" s="307"/>
      <c r="U97" s="307"/>
      <c r="V97" s="304"/>
      <c r="W97" s="304"/>
      <c r="X97" s="304"/>
      <c r="Y97" s="307"/>
      <c r="Z97" s="305"/>
      <c r="AA97" s="308">
        <v>0</v>
      </c>
      <c r="AB97" s="309"/>
      <c r="AC97" s="307"/>
      <c r="AD97" s="307"/>
      <c r="AE97" s="307"/>
      <c r="AF97" s="307"/>
      <c r="AG97" s="307"/>
      <c r="AH97" s="306"/>
      <c r="AI97" s="304"/>
      <c r="AJ97" s="310"/>
      <c r="AK97" s="310"/>
      <c r="AL97" s="308"/>
      <c r="AM97" s="311">
        <v>84.600979002006028</v>
      </c>
    </row>
    <row r="98" spans="1:39">
      <c r="A98" s="359" t="s">
        <v>374</v>
      </c>
      <c r="B98" s="360"/>
      <c r="C98" s="361">
        <v>0</v>
      </c>
      <c r="D98" s="362"/>
      <c r="E98" s="363"/>
      <c r="F98" s="364"/>
      <c r="G98" s="364"/>
      <c r="H98" s="365">
        <v>0</v>
      </c>
      <c r="I98" s="362"/>
      <c r="J98" s="363"/>
      <c r="K98" s="363"/>
      <c r="L98" s="365">
        <v>3414.6566000236003</v>
      </c>
      <c r="M98" s="363">
        <v>3414.6566000236003</v>
      </c>
      <c r="N98" s="363"/>
      <c r="O98" s="363"/>
      <c r="P98" s="363"/>
      <c r="Q98" s="363"/>
      <c r="R98" s="363"/>
      <c r="S98" s="363"/>
      <c r="T98" s="363"/>
      <c r="U98" s="363"/>
      <c r="V98" s="364"/>
      <c r="W98" s="364"/>
      <c r="X98" s="364"/>
      <c r="Y98" s="363"/>
      <c r="Z98" s="365">
        <v>43.301830890671894</v>
      </c>
      <c r="AA98" s="366">
        <v>0</v>
      </c>
      <c r="AB98" s="367"/>
      <c r="AC98" s="363"/>
      <c r="AD98" s="363"/>
      <c r="AE98" s="363"/>
      <c r="AF98" s="363"/>
      <c r="AG98" s="363"/>
      <c r="AH98" s="362"/>
      <c r="AI98" s="364"/>
      <c r="AJ98" s="368"/>
      <c r="AK98" s="368">
        <v>10.812091999999998</v>
      </c>
      <c r="AL98" s="366"/>
      <c r="AM98" s="369">
        <v>3468.7705229142721</v>
      </c>
    </row>
    <row r="99" spans="1:39">
      <c r="A99" s="370" t="s">
        <v>375</v>
      </c>
      <c r="B99" s="371"/>
      <c r="C99" s="372">
        <v>0</v>
      </c>
      <c r="D99" s="373">
        <v>0</v>
      </c>
      <c r="E99" s="374">
        <v>0</v>
      </c>
      <c r="F99" s="375">
        <v>0</v>
      </c>
      <c r="G99" s="375">
        <v>0</v>
      </c>
      <c r="H99" s="376">
        <v>65.371295000000003</v>
      </c>
      <c r="I99" s="373">
        <v>0</v>
      </c>
      <c r="J99" s="374">
        <v>0</v>
      </c>
      <c r="K99" s="374">
        <v>65.371295000000003</v>
      </c>
      <c r="L99" s="376">
        <v>3481.1652697032605</v>
      </c>
      <c r="M99" s="374">
        <v>0</v>
      </c>
      <c r="N99" s="374">
        <v>107.04912334314866</v>
      </c>
      <c r="O99" s="374">
        <v>644.09577492222229</v>
      </c>
      <c r="P99" s="374">
        <v>150.16423359391999</v>
      </c>
      <c r="Q99" s="374">
        <v>0</v>
      </c>
      <c r="R99" s="374">
        <v>1142.2272972220337</v>
      </c>
      <c r="S99" s="374">
        <v>52.699478191436029</v>
      </c>
      <c r="T99" s="374">
        <v>1354.6896696142012</v>
      </c>
      <c r="U99" s="374">
        <v>0</v>
      </c>
      <c r="V99" s="375">
        <v>30.239692816298341</v>
      </c>
      <c r="W99" s="375">
        <v>0</v>
      </c>
      <c r="X99" s="375">
        <v>0</v>
      </c>
      <c r="Y99" s="374">
        <v>0</v>
      </c>
      <c r="Z99" s="376">
        <v>0</v>
      </c>
      <c r="AA99" s="377">
        <v>40.949412345446866</v>
      </c>
      <c r="AB99" s="378">
        <v>0</v>
      </c>
      <c r="AC99" s="374">
        <v>0</v>
      </c>
      <c r="AD99" s="374">
        <v>23.623149604516094</v>
      </c>
      <c r="AE99" s="379">
        <v>14.779618982261171</v>
      </c>
      <c r="AF99" s="379">
        <v>2.5466437586696009</v>
      </c>
      <c r="AG99" s="379">
        <v>0</v>
      </c>
      <c r="AH99" s="373">
        <v>0</v>
      </c>
      <c r="AI99" s="375">
        <v>0</v>
      </c>
      <c r="AJ99" s="376">
        <v>6.3692817396053689</v>
      </c>
      <c r="AK99" s="376">
        <v>1806.2084570024481</v>
      </c>
      <c r="AL99" s="377">
        <v>0</v>
      </c>
      <c r="AM99" s="380">
        <v>5400.0637157907604</v>
      </c>
    </row>
    <row r="100" spans="1:39">
      <c r="A100" s="347" t="s">
        <v>370</v>
      </c>
      <c r="B100" s="348"/>
      <c r="C100" s="349">
        <v>0</v>
      </c>
      <c r="D100" s="350"/>
      <c r="E100" s="351"/>
      <c r="F100" s="352"/>
      <c r="G100" s="352"/>
      <c r="H100" s="353">
        <v>0</v>
      </c>
      <c r="I100" s="350"/>
      <c r="J100" s="351"/>
      <c r="K100" s="351"/>
      <c r="L100" s="353">
        <v>0</v>
      </c>
      <c r="M100" s="351"/>
      <c r="N100" s="351"/>
      <c r="O100" s="351"/>
      <c r="P100" s="351"/>
      <c r="Q100" s="351"/>
      <c r="R100" s="351"/>
      <c r="S100" s="351"/>
      <c r="T100" s="351"/>
      <c r="U100" s="351"/>
      <c r="V100" s="352"/>
      <c r="W100" s="352"/>
      <c r="X100" s="352"/>
      <c r="Y100" s="351"/>
      <c r="Z100" s="353"/>
      <c r="AA100" s="354">
        <v>37.236727266777265</v>
      </c>
      <c r="AB100" s="355"/>
      <c r="AC100" s="351"/>
      <c r="AD100" s="351">
        <v>22.457108284516092</v>
      </c>
      <c r="AE100" s="358">
        <v>14.779618982261171</v>
      </c>
      <c r="AF100" s="358"/>
      <c r="AG100" s="358"/>
      <c r="AH100" s="350"/>
      <c r="AI100" s="352"/>
      <c r="AJ100" s="356">
        <v>6.3692817396053689</v>
      </c>
      <c r="AK100" s="356">
        <v>1596.0576633487287</v>
      </c>
      <c r="AL100" s="354"/>
      <c r="AM100" s="381">
        <v>1596.0576633487287</v>
      </c>
    </row>
    <row r="101" spans="1:39">
      <c r="A101" s="299" t="s">
        <v>376</v>
      </c>
      <c r="B101" s="300"/>
      <c r="C101" s="301">
        <v>0</v>
      </c>
      <c r="D101" s="306"/>
      <c r="E101" s="307"/>
      <c r="F101" s="304"/>
      <c r="G101" s="304"/>
      <c r="H101" s="305">
        <v>0</v>
      </c>
      <c r="I101" s="306"/>
      <c r="J101" s="307"/>
      <c r="K101" s="307"/>
      <c r="L101" s="305">
        <v>0</v>
      </c>
      <c r="M101" s="307"/>
      <c r="N101" s="307"/>
      <c r="O101" s="307"/>
      <c r="P101" s="307"/>
      <c r="Q101" s="307"/>
      <c r="R101" s="307"/>
      <c r="S101" s="307"/>
      <c r="T101" s="307"/>
      <c r="U101" s="307"/>
      <c r="V101" s="304"/>
      <c r="W101" s="304"/>
      <c r="X101" s="304"/>
      <c r="Y101" s="307"/>
      <c r="Z101" s="305"/>
      <c r="AA101" s="308">
        <v>3.7126850786696011</v>
      </c>
      <c r="AB101" s="309"/>
      <c r="AC101" s="307"/>
      <c r="AD101" s="307">
        <v>1.1660413199999999</v>
      </c>
      <c r="AE101" s="307"/>
      <c r="AF101" s="307">
        <v>2.5466437586696009</v>
      </c>
      <c r="AG101" s="307"/>
      <c r="AH101" s="306"/>
      <c r="AI101" s="304"/>
      <c r="AJ101" s="310"/>
      <c r="AK101" s="383">
        <v>185.37352568827944</v>
      </c>
      <c r="AL101" s="308"/>
      <c r="AM101" s="311">
        <v>185.37352568827944</v>
      </c>
    </row>
    <row r="102" spans="1:39">
      <c r="A102" s="299" t="s">
        <v>377</v>
      </c>
      <c r="B102" s="300"/>
      <c r="C102" s="301"/>
      <c r="D102" s="306"/>
      <c r="E102" s="307"/>
      <c r="F102" s="304"/>
      <c r="G102" s="304"/>
      <c r="H102" s="305"/>
      <c r="I102" s="306"/>
      <c r="J102" s="307"/>
      <c r="K102" s="307"/>
      <c r="L102" s="305"/>
      <c r="M102" s="307"/>
      <c r="N102" s="307"/>
      <c r="O102" s="307"/>
      <c r="P102" s="307"/>
      <c r="Q102" s="307"/>
      <c r="R102" s="307"/>
      <c r="S102" s="307"/>
      <c r="T102" s="307"/>
      <c r="U102" s="307"/>
      <c r="V102" s="304"/>
      <c r="W102" s="304"/>
      <c r="X102" s="304"/>
      <c r="Y102" s="307"/>
      <c r="Z102" s="305"/>
      <c r="AA102" s="308">
        <v>0</v>
      </c>
      <c r="AB102" s="309"/>
      <c r="AC102" s="307"/>
      <c r="AD102" s="307"/>
      <c r="AE102" s="307"/>
      <c r="AF102" s="307"/>
      <c r="AG102" s="307"/>
      <c r="AH102" s="306"/>
      <c r="AI102" s="304"/>
      <c r="AJ102" s="310"/>
      <c r="AK102" s="310"/>
      <c r="AL102" s="308"/>
      <c r="AM102" s="311">
        <v>0</v>
      </c>
    </row>
    <row r="103" spans="1:39">
      <c r="A103" s="299" t="s">
        <v>378</v>
      </c>
      <c r="B103" s="300"/>
      <c r="C103" s="301"/>
      <c r="D103" s="306"/>
      <c r="E103" s="307"/>
      <c r="F103" s="304"/>
      <c r="G103" s="304"/>
      <c r="H103" s="305"/>
      <c r="I103" s="306"/>
      <c r="J103" s="307"/>
      <c r="K103" s="307"/>
      <c r="L103" s="305"/>
      <c r="M103" s="307"/>
      <c r="N103" s="307"/>
      <c r="O103" s="307"/>
      <c r="P103" s="307"/>
      <c r="Q103" s="307"/>
      <c r="R103" s="307"/>
      <c r="S103" s="307"/>
      <c r="T103" s="307"/>
      <c r="U103" s="307"/>
      <c r="V103" s="304"/>
      <c r="W103" s="304"/>
      <c r="X103" s="304"/>
      <c r="Y103" s="307"/>
      <c r="Z103" s="305"/>
      <c r="AA103" s="308"/>
      <c r="AB103" s="309"/>
      <c r="AC103" s="307"/>
      <c r="AD103" s="307"/>
      <c r="AE103" s="307"/>
      <c r="AF103" s="307"/>
      <c r="AG103" s="307"/>
      <c r="AH103" s="306"/>
      <c r="AI103" s="304"/>
      <c r="AJ103" s="310"/>
      <c r="AK103" s="310">
        <v>24.777267965439997</v>
      </c>
      <c r="AL103" s="308"/>
      <c r="AM103" s="311">
        <v>24.777267965439997</v>
      </c>
    </row>
    <row r="104" spans="1:39">
      <c r="A104" s="299" t="s">
        <v>373</v>
      </c>
      <c r="B104" s="300"/>
      <c r="C104" s="301"/>
      <c r="D104" s="491"/>
      <c r="E104" s="307"/>
      <c r="F104" s="304"/>
      <c r="G104" s="304"/>
      <c r="H104" s="305">
        <v>65.371295000000003</v>
      </c>
      <c r="I104" s="306"/>
      <c r="J104" s="307"/>
      <c r="K104" s="307">
        <v>65.371295000000003</v>
      </c>
      <c r="L104" s="305">
        <v>0</v>
      </c>
      <c r="M104" s="307"/>
      <c r="N104" s="307"/>
      <c r="O104" s="307"/>
      <c r="P104" s="307"/>
      <c r="Q104" s="307"/>
      <c r="R104" s="307"/>
      <c r="S104" s="307"/>
      <c r="T104" s="307"/>
      <c r="U104" s="307"/>
      <c r="V104" s="304"/>
      <c r="W104" s="304"/>
      <c r="X104" s="304"/>
      <c r="Y104" s="307"/>
      <c r="Z104" s="305"/>
      <c r="AA104" s="308">
        <v>0</v>
      </c>
      <c r="AB104" s="309"/>
      <c r="AC104" s="307"/>
      <c r="AD104" s="307"/>
      <c r="AE104" s="307"/>
      <c r="AF104" s="307"/>
      <c r="AG104" s="307"/>
      <c r="AH104" s="306"/>
      <c r="AI104" s="304"/>
      <c r="AJ104" s="310"/>
      <c r="AK104" s="310"/>
      <c r="AL104" s="308"/>
      <c r="AM104" s="311">
        <v>65.371295000000003</v>
      </c>
    </row>
    <row r="105" spans="1:39">
      <c r="A105" s="438" t="s">
        <v>379</v>
      </c>
      <c r="B105" s="439"/>
      <c r="C105" s="440"/>
      <c r="D105" s="441"/>
      <c r="E105" s="442"/>
      <c r="F105" s="443"/>
      <c r="G105" s="443"/>
      <c r="H105" s="444">
        <v>0</v>
      </c>
      <c r="I105" s="441"/>
      <c r="J105" s="442"/>
      <c r="K105" s="442"/>
      <c r="L105" s="444">
        <v>3481.1652697032605</v>
      </c>
      <c r="M105" s="442"/>
      <c r="N105" s="442">
        <v>107.04912334314866</v>
      </c>
      <c r="O105" s="442">
        <v>644.09577492222229</v>
      </c>
      <c r="P105" s="442">
        <v>150.16423359391999</v>
      </c>
      <c r="Q105" s="442">
        <v>0</v>
      </c>
      <c r="R105" s="442">
        <v>1142.2272972220337</v>
      </c>
      <c r="S105" s="442">
        <v>52.699478191436029</v>
      </c>
      <c r="T105" s="442">
        <v>1354.6896696142012</v>
      </c>
      <c r="U105" s="442"/>
      <c r="V105" s="443">
        <v>30.239692816298341</v>
      </c>
      <c r="W105" s="443"/>
      <c r="X105" s="443"/>
      <c r="Y105" s="442"/>
      <c r="Z105" s="444"/>
      <c r="AA105" s="445">
        <v>0</v>
      </c>
      <c r="AB105" s="446"/>
      <c r="AC105" s="442"/>
      <c r="AD105" s="442"/>
      <c r="AE105" s="442"/>
      <c r="AF105" s="442"/>
      <c r="AG105" s="442"/>
      <c r="AH105" s="441"/>
      <c r="AI105" s="443"/>
      <c r="AJ105" s="447"/>
      <c r="AK105" s="447"/>
      <c r="AL105" s="445"/>
      <c r="AM105" s="448">
        <v>3481.1652697032605</v>
      </c>
    </row>
    <row r="106" spans="1:39">
      <c r="A106" s="490" t="s">
        <v>380</v>
      </c>
      <c r="B106" s="495"/>
      <c r="C106" s="478">
        <v>15.165173583806995</v>
      </c>
      <c r="D106" s="489">
        <v>-9.8998550000000005</v>
      </c>
      <c r="E106" s="484">
        <v>25.065028583806995</v>
      </c>
      <c r="F106" s="475">
        <v>0</v>
      </c>
      <c r="G106" s="475">
        <v>0</v>
      </c>
      <c r="H106" s="472">
        <v>0</v>
      </c>
      <c r="I106" s="489">
        <v>0</v>
      </c>
      <c r="J106" s="484">
        <v>0</v>
      </c>
      <c r="K106" s="484">
        <v>0</v>
      </c>
      <c r="L106" s="472">
        <v>-17.772607549625931</v>
      </c>
      <c r="M106" s="484">
        <v>0</v>
      </c>
      <c r="N106" s="484">
        <v>0</v>
      </c>
      <c r="O106" s="484">
        <v>0.57492013333333336</v>
      </c>
      <c r="P106" s="484">
        <v>310.34640000000002</v>
      </c>
      <c r="Q106" s="484">
        <v>-309.67019999999997</v>
      </c>
      <c r="R106" s="484">
        <v>1.8791595231638418</v>
      </c>
      <c r="S106" s="484">
        <v>0</v>
      </c>
      <c r="T106" s="484">
        <v>-5.7377136223161358</v>
      </c>
      <c r="U106" s="484">
        <v>-15.165173583806995</v>
      </c>
      <c r="V106" s="475">
        <v>0</v>
      </c>
      <c r="W106" s="475">
        <v>0</v>
      </c>
      <c r="X106" s="475">
        <v>0</v>
      </c>
      <c r="Y106" s="484">
        <v>0</v>
      </c>
      <c r="Z106" s="472">
        <v>0</v>
      </c>
      <c r="AA106" s="483">
        <v>-634.77495461986473</v>
      </c>
      <c r="AB106" s="488">
        <v>-69.358155996860006</v>
      </c>
      <c r="AC106" s="484">
        <v>-565.277794202</v>
      </c>
      <c r="AD106" s="484">
        <v>0</v>
      </c>
      <c r="AE106" s="393">
        <v>0</v>
      </c>
      <c r="AF106" s="393">
        <v>0</v>
      </c>
      <c r="AG106" s="393">
        <v>0</v>
      </c>
      <c r="AH106" s="489">
        <v>-0.13900442100480001</v>
      </c>
      <c r="AI106" s="475">
        <v>0</v>
      </c>
      <c r="AJ106" s="482">
        <v>0</v>
      </c>
      <c r="AK106" s="472">
        <v>634.77495461986473</v>
      </c>
      <c r="AL106" s="483">
        <v>0</v>
      </c>
      <c r="AM106" s="474">
        <v>-2.6074339658189363</v>
      </c>
    </row>
    <row r="107" spans="1:39">
      <c r="A107" s="347" t="s">
        <v>381</v>
      </c>
      <c r="B107" s="348"/>
      <c r="C107" s="396"/>
      <c r="D107" s="397"/>
      <c r="E107" s="398"/>
      <c r="F107" s="352"/>
      <c r="G107" s="352"/>
      <c r="H107" s="353"/>
      <c r="I107" s="399"/>
      <c r="J107" s="351"/>
      <c r="K107" s="351"/>
      <c r="L107" s="353"/>
      <c r="M107" s="351"/>
      <c r="N107" s="351"/>
      <c r="O107" s="351"/>
      <c r="P107" s="351"/>
      <c r="Q107" s="351"/>
      <c r="R107" s="351"/>
      <c r="S107" s="351"/>
      <c r="T107" s="351"/>
      <c r="U107" s="351"/>
      <c r="V107" s="352"/>
      <c r="W107" s="352"/>
      <c r="X107" s="352"/>
      <c r="Y107" s="351"/>
      <c r="Z107" s="353"/>
      <c r="AA107" s="354">
        <v>-634.77495461986473</v>
      </c>
      <c r="AB107" s="355">
        <v>-69.358155996860006</v>
      </c>
      <c r="AC107" s="351">
        <v>-565.277794202</v>
      </c>
      <c r="AD107" s="351"/>
      <c r="AE107" s="358"/>
      <c r="AF107" s="358"/>
      <c r="AG107" s="358"/>
      <c r="AH107" s="350">
        <v>-0.13900442100480001</v>
      </c>
      <c r="AI107" s="352"/>
      <c r="AJ107" s="356"/>
      <c r="AK107" s="353">
        <v>634.77495461986473</v>
      </c>
      <c r="AL107" s="354"/>
      <c r="AM107" s="381">
        <v>0</v>
      </c>
    </row>
    <row r="108" spans="1:39">
      <c r="A108" s="400" t="s">
        <v>382</v>
      </c>
      <c r="B108" s="371"/>
      <c r="C108" s="401"/>
      <c r="D108" s="402"/>
      <c r="E108" s="374"/>
      <c r="F108" s="403"/>
      <c r="G108" s="403"/>
      <c r="H108" s="376"/>
      <c r="I108" s="404"/>
      <c r="J108" s="405"/>
      <c r="K108" s="405"/>
      <c r="L108" s="376"/>
      <c r="M108" s="405"/>
      <c r="N108" s="405"/>
      <c r="O108" s="405"/>
      <c r="P108" s="405"/>
      <c r="Q108" s="405"/>
      <c r="R108" s="405"/>
      <c r="S108" s="405"/>
      <c r="T108" s="405"/>
      <c r="U108" s="405"/>
      <c r="V108" s="403"/>
      <c r="W108" s="403"/>
      <c r="X108" s="403"/>
      <c r="Y108" s="405"/>
      <c r="Z108" s="376"/>
      <c r="AA108" s="377"/>
      <c r="AB108" s="406"/>
      <c r="AC108" s="405"/>
      <c r="AD108" s="405"/>
      <c r="AE108" s="405"/>
      <c r="AF108" s="405"/>
      <c r="AG108" s="405"/>
      <c r="AH108" s="407"/>
      <c r="AI108" s="403"/>
      <c r="AJ108" s="408"/>
      <c r="AK108" s="376"/>
      <c r="AL108" s="377"/>
      <c r="AM108" s="409">
        <v>0</v>
      </c>
    </row>
    <row r="109" spans="1:39" ht="13.5" thickBot="1">
      <c r="A109" s="313" t="s">
        <v>383</v>
      </c>
      <c r="B109" s="314"/>
      <c r="C109" s="410">
        <v>15.165173583806995</v>
      </c>
      <c r="D109" s="411">
        <v>-9.8998550000000005</v>
      </c>
      <c r="E109" s="321">
        <v>25.065028583806995</v>
      </c>
      <c r="F109" s="316"/>
      <c r="G109" s="316"/>
      <c r="H109" s="317"/>
      <c r="I109" s="412"/>
      <c r="J109" s="321"/>
      <c r="K109" s="321"/>
      <c r="L109" s="317">
        <v>-17.772607549625931</v>
      </c>
      <c r="M109" s="321"/>
      <c r="N109" s="321"/>
      <c r="O109" s="321">
        <v>0.57492013333333336</v>
      </c>
      <c r="P109" s="321">
        <v>310.34640000000002</v>
      </c>
      <c r="Q109" s="321">
        <v>-309.67019999999997</v>
      </c>
      <c r="R109" s="321">
        <v>1.8791595231638418</v>
      </c>
      <c r="S109" s="321"/>
      <c r="T109" s="321">
        <v>-5.7377136223161358</v>
      </c>
      <c r="U109" s="316">
        <v>-15.165173583806995</v>
      </c>
      <c r="V109" s="316"/>
      <c r="W109" s="316"/>
      <c r="X109" s="316"/>
      <c r="Y109" s="321"/>
      <c r="Z109" s="317"/>
      <c r="AA109" s="317">
        <v>0</v>
      </c>
      <c r="AB109" s="320"/>
      <c r="AC109" s="321"/>
      <c r="AD109" s="321"/>
      <c r="AE109" s="321"/>
      <c r="AF109" s="321"/>
      <c r="AG109" s="321"/>
      <c r="AH109" s="318"/>
      <c r="AI109" s="316"/>
      <c r="AJ109" s="322"/>
      <c r="AK109" s="317"/>
      <c r="AL109" s="319"/>
      <c r="AM109" s="323">
        <v>-2.6074339658189363</v>
      </c>
    </row>
    <row r="110" spans="1:39">
      <c r="A110" s="370" t="s">
        <v>384</v>
      </c>
      <c r="B110" s="371"/>
      <c r="C110" s="372">
        <v>0</v>
      </c>
      <c r="D110" s="373"/>
      <c r="E110" s="374"/>
      <c r="F110" s="403"/>
      <c r="G110" s="403"/>
      <c r="H110" s="376">
        <v>8.8111292294479444</v>
      </c>
      <c r="I110" s="403">
        <v>8.8111292294479444</v>
      </c>
      <c r="J110" s="405"/>
      <c r="K110" s="405"/>
      <c r="L110" s="376">
        <v>73.367793171897603</v>
      </c>
      <c r="M110" s="405"/>
      <c r="N110" s="405">
        <v>73.20324664554866</v>
      </c>
      <c r="O110" s="405"/>
      <c r="P110" s="405"/>
      <c r="Q110" s="405"/>
      <c r="R110" s="405">
        <v>0</v>
      </c>
      <c r="S110" s="405">
        <v>4.1693256233877908E-3</v>
      </c>
      <c r="T110" s="405">
        <v>0.16037720072554928</v>
      </c>
      <c r="U110" s="405"/>
      <c r="V110" s="403"/>
      <c r="W110" s="403"/>
      <c r="X110" s="403"/>
      <c r="Y110" s="405"/>
      <c r="Z110" s="376">
        <v>60.110290065384362</v>
      </c>
      <c r="AA110" s="377">
        <v>0</v>
      </c>
      <c r="AB110" s="378"/>
      <c r="AC110" s="405"/>
      <c r="AD110" s="405"/>
      <c r="AE110" s="405"/>
      <c r="AF110" s="405"/>
      <c r="AG110" s="405"/>
      <c r="AH110" s="407"/>
      <c r="AI110" s="403"/>
      <c r="AJ110" s="408"/>
      <c r="AK110" s="376">
        <v>245.07726951340476</v>
      </c>
      <c r="AL110" s="377"/>
      <c r="AM110" s="409">
        <v>387.36648198013467</v>
      </c>
    </row>
  </sheetData>
  <pageMargins left="0.19685039370078741" right="0.19685039370078741" top="0.59055118110236227" bottom="0.78740157480314965" header="0.31496062992125984" footer="0.19685039370078741"/>
  <pageSetup paperSize="9" scale="42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2DFA-A498-428E-8EBC-6735D731296E}">
  <sheetPr codeName="Sheet12">
    <tabColor theme="0" tint="-0.499984740745262"/>
  </sheetPr>
  <dimension ref="A1:C2"/>
  <sheetViews>
    <sheetView workbookViewId="0">
      <selection activeCell="N37" sqref="N37"/>
    </sheetView>
  </sheetViews>
  <sheetFormatPr defaultColWidth="9.1328125" defaultRowHeight="14.25"/>
  <cols>
    <col min="1" max="16384" width="9.1328125" style="265"/>
  </cols>
  <sheetData>
    <row r="1" spans="1:3">
      <c r="A1" s="168" t="s">
        <v>405</v>
      </c>
    </row>
    <row r="2" spans="1:3">
      <c r="A2" s="265" t="s">
        <v>203</v>
      </c>
      <c r="B2" s="265">
        <v>4.1868000000000002E-2</v>
      </c>
      <c r="C2" s="26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AC62"/>
  <sheetViews>
    <sheetView tabSelected="1" workbookViewId="0">
      <selection activeCell="E4" sqref="E4"/>
    </sheetView>
  </sheetViews>
  <sheetFormatPr defaultColWidth="9.1328125" defaultRowHeight="14.25"/>
  <cols>
    <col min="1" max="1" width="9.1328125" style="58"/>
    <col min="2" max="2" width="23.59765625" style="58" bestFit="1" customWidth="1"/>
    <col min="3" max="3" width="34.1328125" style="58" bestFit="1" customWidth="1"/>
    <col min="4" max="4" width="10.86328125" style="58" bestFit="1" customWidth="1"/>
    <col min="5" max="14" width="10.59765625" style="58" customWidth="1"/>
    <col min="15" max="21" width="9.1328125" style="58"/>
    <col min="22" max="22" width="16" style="58" bestFit="1" customWidth="1"/>
    <col min="23" max="23" width="19.3984375" style="58" customWidth="1"/>
    <col min="24" max="24" width="38.59765625" style="58" bestFit="1" customWidth="1"/>
    <col min="25" max="16384" width="9.1328125" style="58"/>
  </cols>
  <sheetData>
    <row r="2" spans="2:29" ht="18">
      <c r="B2" s="18" t="s">
        <v>188</v>
      </c>
      <c r="C2" s="19"/>
      <c r="D2" s="20" t="s">
        <v>321</v>
      </c>
      <c r="E2" s="21"/>
      <c r="F2" s="21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29">
      <c r="B3" s="22" t="s">
        <v>2</v>
      </c>
      <c r="C3" s="22" t="s">
        <v>3</v>
      </c>
      <c r="D3" s="36" t="s">
        <v>81</v>
      </c>
      <c r="E3" s="23" t="s">
        <v>561</v>
      </c>
      <c r="F3" s="23" t="s">
        <v>182</v>
      </c>
      <c r="G3" s="23" t="s">
        <v>183</v>
      </c>
      <c r="H3" s="23" t="s">
        <v>83</v>
      </c>
      <c r="I3" s="23" t="s">
        <v>84</v>
      </c>
      <c r="J3" s="23" t="s">
        <v>86</v>
      </c>
      <c r="K3" s="23" t="s">
        <v>87</v>
      </c>
      <c r="L3" s="23" t="s">
        <v>88</v>
      </c>
      <c r="M3" s="126" t="s">
        <v>185</v>
      </c>
      <c r="N3" s="23"/>
      <c r="O3" s="23"/>
      <c r="P3" s="1"/>
      <c r="Q3" s="1"/>
      <c r="V3" s="14" t="s">
        <v>0</v>
      </c>
      <c r="W3" s="14"/>
      <c r="X3" s="15"/>
      <c r="Y3" s="15"/>
      <c r="Z3" s="15"/>
      <c r="AA3" s="15"/>
      <c r="AB3" s="15"/>
      <c r="AC3" s="15"/>
    </row>
    <row r="4" spans="2:29" ht="26.65" thickBot="1">
      <c r="B4" s="27" t="s">
        <v>89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4" t="s">
        <v>92</v>
      </c>
      <c r="M4" s="24"/>
      <c r="N4" s="24"/>
      <c r="O4" s="24"/>
      <c r="P4" s="17"/>
      <c r="Q4" s="17"/>
      <c r="V4" s="13" t="s">
        <v>1</v>
      </c>
      <c r="W4" s="13" t="s">
        <v>2</v>
      </c>
      <c r="X4" s="13" t="s">
        <v>3</v>
      </c>
      <c r="Y4" s="13" t="s">
        <v>4</v>
      </c>
      <c r="Z4" s="13" t="s">
        <v>5</v>
      </c>
      <c r="AA4" s="13" t="s">
        <v>6</v>
      </c>
      <c r="AB4" s="13" t="s">
        <v>7</v>
      </c>
      <c r="AC4" s="13" t="s">
        <v>8</v>
      </c>
    </row>
    <row r="5" spans="2:29">
      <c r="B5" s="25" t="str">
        <f>Imports_Fossil!W11</f>
        <v>IMPOILCRD</v>
      </c>
      <c r="C5" s="17" t="str">
        <f>Imports_Fossil!X11</f>
        <v>Import of Crude Oil</v>
      </c>
      <c r="D5" s="17" t="str">
        <f>Commodities!C11</f>
        <v>OILCRD</v>
      </c>
      <c r="E5" s="26">
        <f>Imports_Fossil!D31</f>
        <v>15.082050573201174</v>
      </c>
      <c r="F5" s="26">
        <f>Imports_Fossil!E31</f>
        <v>14.450195333839423</v>
      </c>
      <c r="G5" s="26">
        <f>Imports_Fossil!F31</f>
        <v>13.015051138226342</v>
      </c>
      <c r="H5" s="26">
        <f>Imports_Fossil!G31</f>
        <v>6.8347633154600382</v>
      </c>
      <c r="I5" s="26">
        <f>Imports_Fossil!L31</f>
        <v>10.989227291523985</v>
      </c>
      <c r="J5" s="26">
        <f>Imports_Fossil!M31</f>
        <v>17.019900805165197</v>
      </c>
      <c r="K5" s="26">
        <f>Imports_Fossil!N31</f>
        <v>19.566185177591485</v>
      </c>
      <c r="L5" s="26">
        <f>Imports_Fossil!O31</f>
        <v>22.493409731719346</v>
      </c>
      <c r="M5" s="127" t="s">
        <v>411</v>
      </c>
      <c r="N5" s="128"/>
      <c r="O5" s="128"/>
      <c r="P5" s="17"/>
      <c r="Q5" s="1"/>
      <c r="V5" s="4" t="s">
        <v>28</v>
      </c>
      <c r="W5" s="4" t="s">
        <v>29</v>
      </c>
      <c r="X5" s="4" t="s">
        <v>30</v>
      </c>
      <c r="Y5" s="4" t="s">
        <v>11</v>
      </c>
      <c r="Z5" s="2"/>
      <c r="AA5" s="3" t="s">
        <v>140</v>
      </c>
      <c r="AB5" s="502"/>
      <c r="AC5" s="2"/>
    </row>
    <row r="6" spans="2:29">
      <c r="B6" s="25" t="str">
        <f>Imports_Fossil!W5</f>
        <v>IMPGASNAT_UK</v>
      </c>
      <c r="C6" s="25" t="str">
        <f>Imports_Fossil!X5</f>
        <v>Import of Natural Gas from UK</v>
      </c>
      <c r="D6" s="25" t="str">
        <f>Commodities!C4</f>
        <v>GASNAT</v>
      </c>
      <c r="E6" s="26">
        <f>Imports_Fossil!D32</f>
        <v>9.7972871002951827</v>
      </c>
      <c r="F6" s="26">
        <f>Imports_Fossil!E32</f>
        <v>8.7449996432258814</v>
      </c>
      <c r="G6" s="26">
        <f>Imports_Fossil!F32</f>
        <v>7.5516729202570847</v>
      </c>
      <c r="H6" s="26">
        <f>Imports_Fossil!G32</f>
        <v>5.6772421955803125</v>
      </c>
      <c r="I6" s="26">
        <f>Imports_Fossil!L32</f>
        <v>5.9205525753908965</v>
      </c>
      <c r="J6" s="26">
        <f>Imports_Fossil!M32</f>
        <v>9.0024840529916368</v>
      </c>
      <c r="K6" s="26">
        <f>Imports_Fossil!N32</f>
        <v>10.543449791792009</v>
      </c>
      <c r="L6" s="26">
        <f>Imports_Fossil!O32</f>
        <v>12.348184440837489</v>
      </c>
      <c r="M6" s="127" t="s">
        <v>411</v>
      </c>
      <c r="N6" s="128"/>
      <c r="O6" s="128"/>
      <c r="P6" s="17"/>
      <c r="Q6" s="17"/>
      <c r="V6" s="2"/>
      <c r="W6" s="4" t="s">
        <v>31</v>
      </c>
      <c r="X6" s="4" t="s">
        <v>32</v>
      </c>
      <c r="Y6" s="4" t="s">
        <v>11</v>
      </c>
      <c r="Z6" s="2"/>
      <c r="AA6" s="3"/>
      <c r="AB6" s="8"/>
      <c r="AC6" s="2"/>
    </row>
    <row r="7" spans="2:29">
      <c r="B7" s="124" t="str">
        <f>Imports_Fossil!W8</f>
        <v>IMPCOAHAR</v>
      </c>
      <c r="C7" s="124" t="str">
        <f>Imports_Fossil!X8</f>
        <v>Import of Hard Coal /  Anthracite</v>
      </c>
      <c r="D7" s="124" t="str">
        <f>Commodities!C7</f>
        <v>COAHAR</v>
      </c>
      <c r="E7" s="125">
        <f>Imports_Fossil!D33</f>
        <v>3.2875621451643875</v>
      </c>
      <c r="F7" s="125">
        <f>Imports_Fossil!E33</f>
        <v>2.8136572073855537</v>
      </c>
      <c r="G7" s="125">
        <f>Imports_Fossil!F33</f>
        <v>2.5117339106399146</v>
      </c>
      <c r="H7" s="125">
        <f>Imports_Fossil!G33</f>
        <v>1.8332979002949681</v>
      </c>
      <c r="I7" s="125">
        <f>Imports_Fossil!L33</f>
        <v>2.0906028687574199</v>
      </c>
      <c r="J7" s="125">
        <f>Imports_Fossil!M33</f>
        <v>2.5730496846245168</v>
      </c>
      <c r="K7" s="125">
        <f>Imports_Fossil!N33</f>
        <v>2.8303546530869679</v>
      </c>
      <c r="L7" s="125">
        <f>Imports_Fossil!O33</f>
        <v>3.1133901183956652</v>
      </c>
      <c r="M7" s="129" t="s">
        <v>411</v>
      </c>
      <c r="N7" s="130"/>
      <c r="O7" s="130"/>
      <c r="P7" s="17"/>
      <c r="Q7" s="17"/>
      <c r="V7" s="2"/>
      <c r="W7" s="4" t="s">
        <v>33</v>
      </c>
      <c r="X7" s="4" t="s">
        <v>34</v>
      </c>
      <c r="Y7" s="4" t="s">
        <v>11</v>
      </c>
      <c r="Z7" s="2"/>
      <c r="AA7" s="3"/>
      <c r="AB7" s="8"/>
      <c r="AC7" s="2"/>
    </row>
    <row r="8" spans="2:29">
      <c r="B8" s="25" t="str">
        <f>Imports_Fossil!W6</f>
        <v>IMPCOABIT</v>
      </c>
      <c r="C8" s="17" t="str">
        <f>Imports_Fossil!X6</f>
        <v>Import of Bituminous Coal</v>
      </c>
      <c r="D8" s="17" t="str">
        <f>Commodities!C6</f>
        <v>COABIT</v>
      </c>
      <c r="E8" s="26">
        <f t="shared" ref="E8:L8" si="0">E$7*$M$8</f>
        <v>3.1231840379061842</v>
      </c>
      <c r="F8" s="26">
        <f t="shared" si="0"/>
        <v>2.6729743470162894</v>
      </c>
      <c r="G8" s="26">
        <f t="shared" si="0"/>
        <v>2.3861472151079308</v>
      </c>
      <c r="H8" s="26">
        <f t="shared" si="0"/>
        <v>1.7416330052802285</v>
      </c>
      <c r="I8" s="26">
        <f t="shared" si="0"/>
        <v>1.9860727253195589</v>
      </c>
      <c r="J8" s="26">
        <f t="shared" si="0"/>
        <v>2.4443972003933032</v>
      </c>
      <c r="K8" s="26">
        <f t="shared" si="0"/>
        <v>2.688836920432633</v>
      </c>
      <c r="L8" s="26">
        <f t="shared" si="0"/>
        <v>2.9577206124758968</v>
      </c>
      <c r="M8" s="133">
        <v>0.95000000000000484</v>
      </c>
      <c r="N8" s="128"/>
      <c r="O8" s="128"/>
      <c r="P8" s="17"/>
      <c r="V8" s="2"/>
      <c r="W8" s="4" t="s">
        <v>35</v>
      </c>
      <c r="X8" s="4" t="s">
        <v>36</v>
      </c>
      <c r="Y8" s="4" t="s">
        <v>11</v>
      </c>
      <c r="Z8" s="2"/>
      <c r="AA8" s="3"/>
      <c r="AB8" s="8"/>
      <c r="AC8" s="2"/>
    </row>
    <row r="9" spans="2:29">
      <c r="B9" s="25" t="str">
        <f>Imports_Fossil!W7</f>
        <v>IMPCOACOK</v>
      </c>
      <c r="C9" s="17" t="str">
        <f>Imports_Fossil!X7</f>
        <v>Import of Coal Coke</v>
      </c>
      <c r="D9" s="17" t="str">
        <f>Commodities!C8</f>
        <v>COACOK</v>
      </c>
      <c r="E9" s="26">
        <f t="shared" ref="E9:L10" si="1">E$7*$M9</f>
        <v>4.1752039243587928</v>
      </c>
      <c r="F9" s="26">
        <f t="shared" si="1"/>
        <v>3.5733446533796709</v>
      </c>
      <c r="G9" s="26">
        <f t="shared" si="1"/>
        <v>3.1899020665127074</v>
      </c>
      <c r="H9" s="26">
        <f t="shared" si="1"/>
        <v>2.3282883333746209</v>
      </c>
      <c r="I9" s="26">
        <f t="shared" si="1"/>
        <v>2.6550656433219362</v>
      </c>
      <c r="J9" s="26">
        <f t="shared" si="1"/>
        <v>3.2677730994731524</v>
      </c>
      <c r="K9" s="26">
        <f t="shared" si="1"/>
        <v>3.5945504094204668</v>
      </c>
      <c r="L9" s="26">
        <f t="shared" si="1"/>
        <v>3.9540054503625139</v>
      </c>
      <c r="M9" s="133">
        <v>1.2700000000000062</v>
      </c>
      <c r="N9" s="128"/>
      <c r="O9" s="128"/>
      <c r="P9" s="26"/>
      <c r="V9" s="2"/>
      <c r="W9" s="4" t="s">
        <v>37</v>
      </c>
      <c r="X9" s="4" t="s">
        <v>38</v>
      </c>
      <c r="Y9" s="4" t="s">
        <v>11</v>
      </c>
      <c r="Z9" s="2"/>
      <c r="AA9" s="3"/>
      <c r="AB9" s="8"/>
      <c r="AC9" s="2"/>
    </row>
    <row r="10" spans="2:29">
      <c r="B10" s="25" t="str">
        <f>Imports_Fossil!W9</f>
        <v>IMPCOALIG</v>
      </c>
      <c r="C10" s="17" t="str">
        <f>Imports_Fossil!X9</f>
        <v>Import of Lignite /  Brown Coal Briquettes</v>
      </c>
      <c r="D10" s="17" t="str">
        <f>Commodities!C9</f>
        <v>COALIG</v>
      </c>
      <c r="E10" s="26">
        <f t="shared" si="1"/>
        <v>2.8785106340149222</v>
      </c>
      <c r="F10" s="26">
        <f t="shared" si="1"/>
        <v>2.4635708267431293</v>
      </c>
      <c r="G10" s="26">
        <f t="shared" si="1"/>
        <v>2.1992140231409549</v>
      </c>
      <c r="H10" s="26">
        <f t="shared" si="1"/>
        <v>1.6051917099356978</v>
      </c>
      <c r="I10" s="26">
        <f t="shared" si="1"/>
        <v>1.8304817744880766</v>
      </c>
      <c r="J10" s="26">
        <f t="shared" si="1"/>
        <v>2.2529006455237868</v>
      </c>
      <c r="K10" s="26">
        <f t="shared" si="1"/>
        <v>2.4781907100761646</v>
      </c>
      <c r="L10" s="26">
        <f t="shared" si="1"/>
        <v>2.7260097810837816</v>
      </c>
      <c r="M10" s="133">
        <v>0.87557603686636576</v>
      </c>
      <c r="N10" s="128"/>
      <c r="O10" s="128"/>
      <c r="P10" s="17"/>
      <c r="V10" s="2"/>
      <c r="W10" s="4" t="s">
        <v>39</v>
      </c>
      <c r="X10" s="4" t="s">
        <v>40</v>
      </c>
      <c r="Y10" s="4" t="s">
        <v>11</v>
      </c>
      <c r="Z10" s="2"/>
      <c r="AA10" s="3" t="s">
        <v>140</v>
      </c>
      <c r="AB10" s="8"/>
      <c r="AC10" s="2"/>
    </row>
    <row r="11" spans="2:29">
      <c r="B11" s="25" t="str">
        <f>Imports_Fossil!W10</f>
        <v>IMPLNG_GLOBAL</v>
      </c>
      <c r="C11" s="17" t="str">
        <f>Imports_Fossil!X10</f>
        <v>Import of Liquified Natural Gas</v>
      </c>
      <c r="D11" s="17" t="str">
        <f>Commodities!C5</f>
        <v>GASLNG</v>
      </c>
      <c r="E11" s="26">
        <f t="shared" ref="E11:L11" si="2">E$6*$M11</f>
        <v>10.453298862175467</v>
      </c>
      <c r="F11" s="26">
        <f t="shared" si="2"/>
        <v>9.3305518032133374</v>
      </c>
      <c r="G11" s="26">
        <f t="shared" si="2"/>
        <v>8.0573216990309788</v>
      </c>
      <c r="H11" s="26">
        <f t="shared" si="2"/>
        <v>6.0573818829465766</v>
      </c>
      <c r="I11" s="26">
        <f t="shared" si="2"/>
        <v>6.3169839636442857</v>
      </c>
      <c r="J11" s="26">
        <f t="shared" si="2"/>
        <v>9.6052769858152836</v>
      </c>
      <c r="K11" s="26">
        <f t="shared" si="2"/>
        <v>11.249423496900784</v>
      </c>
      <c r="L11" s="26">
        <f t="shared" si="2"/>
        <v>13.175000491865784</v>
      </c>
      <c r="M11" s="133">
        <v>1.0669585115925122</v>
      </c>
      <c r="N11" s="128"/>
      <c r="O11" s="128"/>
      <c r="P11" s="17"/>
      <c r="V11" s="2"/>
      <c r="W11" s="4" t="s">
        <v>41</v>
      </c>
      <c r="X11" s="4" t="s">
        <v>42</v>
      </c>
      <c r="Y11" s="4" t="s">
        <v>11</v>
      </c>
      <c r="Z11" s="2"/>
      <c r="AA11" s="3"/>
      <c r="AB11" s="8"/>
      <c r="AC11" s="2"/>
    </row>
    <row r="12" spans="2:29">
      <c r="B12" s="25" t="str">
        <f>Imports_Fossil!W12</f>
        <v>IMPOILDST</v>
      </c>
      <c r="C12" s="17" t="str">
        <f>Imports_Fossil!X12</f>
        <v>Import of Diesel Oil</v>
      </c>
      <c r="D12" s="17" t="str">
        <f>Commodities!C15</f>
        <v>OILDST</v>
      </c>
      <c r="E12" s="26">
        <f t="shared" ref="E12:L17" si="3">E$5*$M12</f>
        <v>23.066665582543003</v>
      </c>
      <c r="F12" s="26">
        <f t="shared" si="3"/>
        <v>22.100298745872085</v>
      </c>
      <c r="G12" s="26">
        <f t="shared" si="3"/>
        <v>19.905372329052078</v>
      </c>
      <c r="H12" s="26">
        <f t="shared" si="3"/>
        <v>10.453167423644777</v>
      </c>
      <c r="I12" s="26">
        <f t="shared" si="3"/>
        <v>16.807053504683761</v>
      </c>
      <c r="J12" s="26">
        <f t="shared" si="3"/>
        <v>26.030436525546804</v>
      </c>
      <c r="K12" s="26">
        <f t="shared" si="3"/>
        <v>29.924753801022309</v>
      </c>
      <c r="L12" s="26">
        <f t="shared" si="3"/>
        <v>34.401685472041393</v>
      </c>
      <c r="M12" s="134">
        <v>1.5294117647058842</v>
      </c>
      <c r="N12" s="128"/>
      <c r="O12" s="128"/>
      <c r="P12" s="17"/>
      <c r="V12" s="2"/>
      <c r="W12" s="4" t="s">
        <v>43</v>
      </c>
      <c r="X12" s="4" t="s">
        <v>44</v>
      </c>
      <c r="Y12" s="4" t="s">
        <v>11</v>
      </c>
      <c r="Z12" s="2"/>
      <c r="AA12" s="3"/>
      <c r="AB12" s="8"/>
      <c r="AC12" s="2"/>
    </row>
    <row r="13" spans="2:29">
      <c r="B13" s="25" t="str">
        <f>Imports_Fossil!W13</f>
        <v>IMPOILGSL</v>
      </c>
      <c r="C13" s="17" t="str">
        <f>Imports_Fossil!X13</f>
        <v>Import of Gasoline</v>
      </c>
      <c r="D13" s="17" t="str">
        <f>Commodities!C17</f>
        <v>OILGSL</v>
      </c>
      <c r="E13" s="26">
        <f t="shared" si="3"/>
        <v>24.84102447350779</v>
      </c>
      <c r="F13" s="26">
        <f t="shared" si="3"/>
        <v>23.80032172632373</v>
      </c>
      <c r="G13" s="26">
        <f t="shared" si="3"/>
        <v>21.436554815902188</v>
      </c>
      <c r="H13" s="26">
        <f t="shared" si="3"/>
        <v>11.257257225463581</v>
      </c>
      <c r="I13" s="26">
        <f t="shared" si="3"/>
        <v>18.099903774274782</v>
      </c>
      <c r="J13" s="26">
        <f t="shared" si="3"/>
        <v>28.03277779674265</v>
      </c>
      <c r="K13" s="26">
        <f t="shared" si="3"/>
        <v>32.226657939562415</v>
      </c>
      <c r="L13" s="26">
        <f t="shared" si="3"/>
        <v>37.047968969890654</v>
      </c>
      <c r="M13" s="134">
        <v>1.6470588235294101</v>
      </c>
      <c r="N13" s="128"/>
      <c r="O13" s="128"/>
      <c r="P13" s="17"/>
      <c r="V13" s="2"/>
      <c r="W13" s="4" t="s">
        <v>45</v>
      </c>
      <c r="X13" s="4" t="s">
        <v>46</v>
      </c>
      <c r="Y13" s="4" t="s">
        <v>11</v>
      </c>
      <c r="Z13" s="2"/>
      <c r="AA13" s="3"/>
      <c r="AB13" s="8"/>
      <c r="AC13" s="2"/>
    </row>
    <row r="14" spans="2:29">
      <c r="B14" s="25" t="str">
        <f>Imports_Fossil!W14</f>
        <v>IMPOILHFO</v>
      </c>
      <c r="C14" s="17" t="str">
        <f>Imports_Fossil!X14</f>
        <v>Import of Heavy Fuel Oil</v>
      </c>
      <c r="D14" s="17" t="str">
        <f>Commodities!C14</f>
        <v>OILHFO</v>
      </c>
      <c r="E14" s="26">
        <f t="shared" si="3"/>
        <v>12.216460964292931</v>
      </c>
      <c r="F14" s="26">
        <f t="shared" si="3"/>
        <v>11.704658220409915</v>
      </c>
      <c r="G14" s="26">
        <f t="shared" si="3"/>
        <v>10.54219142196332</v>
      </c>
      <c r="H14" s="26">
        <f t="shared" si="3"/>
        <v>5.5361582855226219</v>
      </c>
      <c r="I14" s="26">
        <f t="shared" si="3"/>
        <v>8.9012741061344141</v>
      </c>
      <c r="J14" s="26">
        <f t="shared" si="3"/>
        <v>13.786119652183787</v>
      </c>
      <c r="K14" s="26">
        <f t="shared" si="3"/>
        <v>15.848609993849077</v>
      </c>
      <c r="L14" s="26">
        <f t="shared" si="3"/>
        <v>18.219661882692641</v>
      </c>
      <c r="M14" s="134">
        <v>0.80999999999999872</v>
      </c>
      <c r="N14" s="128"/>
      <c r="O14" s="128"/>
      <c r="P14" s="17"/>
      <c r="V14" s="2"/>
      <c r="W14" s="4" t="s">
        <v>47</v>
      </c>
      <c r="X14" s="4" t="s">
        <v>48</v>
      </c>
      <c r="Y14" s="4" t="s">
        <v>11</v>
      </c>
      <c r="Z14" s="2"/>
      <c r="AA14" s="3"/>
      <c r="AB14" s="8"/>
      <c r="AC14" s="2"/>
    </row>
    <row r="15" spans="2:29">
      <c r="B15" s="25" t="str">
        <f>Imports_Fossil!W15</f>
        <v>IMPOILKER</v>
      </c>
      <c r="C15" s="17" t="str">
        <f>Imports_Fossil!X15</f>
        <v>Import of Kerosene</v>
      </c>
      <c r="D15" s="17" t="str">
        <f>Commodities!C13</f>
        <v>OILKER</v>
      </c>
      <c r="E15" s="26">
        <f t="shared" si="3"/>
        <v>24.84102447350779</v>
      </c>
      <c r="F15" s="26">
        <f t="shared" si="3"/>
        <v>23.80032172632373</v>
      </c>
      <c r="G15" s="26">
        <f t="shared" si="3"/>
        <v>21.436554815902188</v>
      </c>
      <c r="H15" s="26">
        <f t="shared" si="3"/>
        <v>11.257257225463581</v>
      </c>
      <c r="I15" s="26">
        <f t="shared" si="3"/>
        <v>18.099903774274782</v>
      </c>
      <c r="J15" s="26">
        <f t="shared" si="3"/>
        <v>28.03277779674265</v>
      </c>
      <c r="K15" s="26">
        <f t="shared" si="3"/>
        <v>32.226657939562415</v>
      </c>
      <c r="L15" s="26">
        <f t="shared" si="3"/>
        <v>37.047968969890654</v>
      </c>
      <c r="M15" s="134">
        <v>1.6470588235294101</v>
      </c>
      <c r="N15" s="128"/>
      <c r="O15" s="128"/>
      <c r="P15" s="17"/>
      <c r="V15" s="2"/>
      <c r="W15" s="4" t="s">
        <v>49</v>
      </c>
      <c r="X15" s="4" t="s">
        <v>50</v>
      </c>
      <c r="Y15" s="4" t="s">
        <v>11</v>
      </c>
      <c r="Z15" s="2"/>
      <c r="AA15" s="3"/>
      <c r="AB15" s="8"/>
      <c r="AC15" s="2"/>
    </row>
    <row r="16" spans="2:29" s="62" customFormat="1">
      <c r="B16" s="25" t="str">
        <f>Imports_Fossil!W16</f>
        <v>IMPOILLPG</v>
      </c>
      <c r="C16" s="25" t="str">
        <f>Imports_Fossil!X16</f>
        <v>Import of Liquified Petroleum Gas</v>
      </c>
      <c r="D16" s="25" t="str">
        <f>Commodities!C16</f>
        <v>OILLPG</v>
      </c>
      <c r="E16" s="75">
        <f t="shared" si="3"/>
        <v>19.517947800613243</v>
      </c>
      <c r="F16" s="75">
        <f t="shared" si="3"/>
        <v>18.700252784968622</v>
      </c>
      <c r="G16" s="75">
        <f t="shared" si="3"/>
        <v>16.843007355351698</v>
      </c>
      <c r="H16" s="75">
        <f t="shared" si="3"/>
        <v>8.8449878200070895</v>
      </c>
      <c r="I16" s="75">
        <f t="shared" si="3"/>
        <v>14.221352965501596</v>
      </c>
      <c r="J16" s="75">
        <f t="shared" si="3"/>
        <v>22.025753983154914</v>
      </c>
      <c r="K16" s="75">
        <f t="shared" si="3"/>
        <v>25.320945523941866</v>
      </c>
      <c r="L16" s="75">
        <f t="shared" si="3"/>
        <v>29.109118476342619</v>
      </c>
      <c r="M16" s="148">
        <v>1.2941176470588207</v>
      </c>
      <c r="N16" s="131"/>
      <c r="O16" s="131"/>
      <c r="P16" s="25"/>
      <c r="V16" s="10"/>
      <c r="W16" s="5" t="s">
        <v>51</v>
      </c>
      <c r="X16" s="5" t="s">
        <v>52</v>
      </c>
      <c r="Y16" s="5" t="s">
        <v>11</v>
      </c>
      <c r="Z16" s="10"/>
      <c r="AA16" s="8"/>
      <c r="AB16" s="8"/>
      <c r="AC16" s="10"/>
    </row>
    <row r="17" spans="2:29">
      <c r="B17" s="25" t="str">
        <f>Imports_Fossil!W17</f>
        <v>IMPOILCOK</v>
      </c>
      <c r="C17" s="25" t="str">
        <f>Imports_Fossil!X17</f>
        <v>Import of Petroleum Coke</v>
      </c>
      <c r="D17" s="25" t="str">
        <f>Commodities!C18</f>
        <v>OILCOK</v>
      </c>
      <c r="E17" s="26">
        <f t="shared" si="3"/>
        <v>24.84102447350779</v>
      </c>
      <c r="F17" s="26">
        <f t="shared" si="3"/>
        <v>23.80032172632373</v>
      </c>
      <c r="G17" s="26">
        <f t="shared" si="3"/>
        <v>21.436554815902188</v>
      </c>
      <c r="H17" s="26">
        <f t="shared" si="3"/>
        <v>11.257257225463581</v>
      </c>
      <c r="I17" s="26">
        <f t="shared" si="3"/>
        <v>18.099903774274782</v>
      </c>
      <c r="J17" s="26">
        <f t="shared" si="3"/>
        <v>28.03277779674265</v>
      </c>
      <c r="K17" s="26">
        <f t="shared" si="3"/>
        <v>32.226657939562415</v>
      </c>
      <c r="L17" s="26">
        <f t="shared" si="3"/>
        <v>37.047968969890654</v>
      </c>
      <c r="M17" s="133">
        <v>1.6470588235294101</v>
      </c>
      <c r="N17" s="128"/>
      <c r="O17" s="128"/>
      <c r="P17" s="17"/>
      <c r="V17" s="10"/>
      <c r="W17" s="11" t="s">
        <v>162</v>
      </c>
      <c r="X17" s="11" t="s">
        <v>163</v>
      </c>
      <c r="Y17" s="5" t="s">
        <v>11</v>
      </c>
      <c r="Z17" s="10"/>
      <c r="AA17" s="8"/>
      <c r="AB17" s="8"/>
      <c r="AC17" s="10"/>
    </row>
    <row r="18" spans="2:29">
      <c r="B18" s="28" t="str">
        <f>Imports_Fossil!W18</f>
        <v>IMPNUCU</v>
      </c>
      <c r="C18" s="28" t="str">
        <f>Imports_Fossil!X18</f>
        <v>Import of Uranium</v>
      </c>
      <c r="D18" s="28" t="s">
        <v>408</v>
      </c>
      <c r="E18" s="29">
        <v>2</v>
      </c>
      <c r="F18" s="29"/>
      <c r="G18" s="29"/>
      <c r="H18" s="466"/>
      <c r="I18" s="29"/>
      <c r="J18" s="29"/>
      <c r="K18" s="29"/>
      <c r="L18" s="29"/>
      <c r="M18" s="132"/>
      <c r="N18" s="132"/>
      <c r="O18" s="132"/>
      <c r="P18" s="17"/>
      <c r="Q18" s="17"/>
      <c r="V18" s="7"/>
      <c r="W18" s="12" t="s">
        <v>409</v>
      </c>
      <c r="X18" s="9" t="s">
        <v>53</v>
      </c>
      <c r="Y18" s="9" t="s">
        <v>11</v>
      </c>
      <c r="Z18" s="7"/>
      <c r="AA18" s="6"/>
      <c r="AB18" s="6"/>
      <c r="AC18" s="7"/>
    </row>
    <row r="19" spans="2:29">
      <c r="B19" s="28" t="str">
        <f>Imports_Fossil!W19</f>
        <v>IMPOILNEU</v>
      </c>
      <c r="C19" s="28" t="str">
        <f>Imports_Fossil!X19</f>
        <v>Import of Oil for Non-Energy uses</v>
      </c>
      <c r="D19" s="531" t="str">
        <f>Commodities!C20</f>
        <v>OILNEU</v>
      </c>
      <c r="E19" s="466">
        <f>E5</f>
        <v>15.082050573201174</v>
      </c>
      <c r="F19" s="466">
        <f t="shared" ref="F19:L19" si="4">F5</f>
        <v>14.450195333839423</v>
      </c>
      <c r="G19" s="466">
        <f t="shared" si="4"/>
        <v>13.015051138226342</v>
      </c>
      <c r="H19" s="466">
        <f t="shared" si="4"/>
        <v>6.8347633154600382</v>
      </c>
      <c r="I19" s="466">
        <f t="shared" si="4"/>
        <v>10.989227291523985</v>
      </c>
      <c r="J19" s="466">
        <f t="shared" si="4"/>
        <v>17.019900805165197</v>
      </c>
      <c r="K19" s="466">
        <f t="shared" si="4"/>
        <v>19.566185177591485</v>
      </c>
      <c r="L19" s="466">
        <f t="shared" si="4"/>
        <v>22.493409731719346</v>
      </c>
      <c r="M19" s="531"/>
      <c r="N19" s="531"/>
      <c r="O19" s="531"/>
      <c r="P19" s="17"/>
      <c r="Q19" s="17"/>
      <c r="V19" s="530"/>
      <c r="W19" s="530" t="s">
        <v>559</v>
      </c>
      <c r="X19" s="530" t="s">
        <v>560</v>
      </c>
      <c r="Y19" s="530" t="s">
        <v>11</v>
      </c>
      <c r="Z19" s="530"/>
      <c r="AA19" s="530"/>
      <c r="AB19" s="530"/>
      <c r="AC19" s="530"/>
    </row>
    <row r="20" spans="2:29">
      <c r="B20"/>
      <c r="C20"/>
      <c r="D20"/>
      <c r="E20"/>
      <c r="F20"/>
      <c r="G20"/>
      <c r="H20" s="463"/>
      <c r="I20"/>
      <c r="J20"/>
      <c r="K20"/>
      <c r="L20" s="56"/>
      <c r="M20"/>
      <c r="N20"/>
      <c r="O20"/>
      <c r="P20"/>
      <c r="Q20"/>
      <c r="R20"/>
      <c r="S20"/>
      <c r="T20"/>
    </row>
    <row r="21" spans="2:29">
      <c r="B21"/>
      <c r="C21"/>
      <c r="D21"/>
      <c r="E21"/>
      <c r="F21"/>
      <c r="G21"/>
      <c r="H21"/>
      <c r="I21"/>
      <c r="J21"/>
      <c r="K21" s="82"/>
      <c r="L21" s="82"/>
      <c r="M21" s="82"/>
      <c r="N21"/>
      <c r="O21"/>
      <c r="P21"/>
      <c r="Q21"/>
      <c r="R21"/>
      <c r="S21"/>
    </row>
    <row r="22" spans="2:29">
      <c r="D22"/>
      <c r="E22"/>
      <c r="F22"/>
      <c r="G22"/>
      <c r="H22"/>
      <c r="I22"/>
      <c r="J22"/>
      <c r="K22"/>
      <c r="L22"/>
      <c r="M22"/>
      <c r="N22"/>
      <c r="O22"/>
      <c r="P22" s="82"/>
      <c r="Q22" s="82"/>
      <c r="R22"/>
      <c r="S22"/>
    </row>
    <row r="23" spans="2:29">
      <c r="B23" s="159" t="s">
        <v>189</v>
      </c>
      <c r="C23" s="160"/>
      <c r="D23" s="160"/>
      <c r="E23" s="160"/>
      <c r="F23" s="160"/>
      <c r="G23" s="160"/>
      <c r="H23" s="539" t="s">
        <v>174</v>
      </c>
      <c r="I23" s="540"/>
      <c r="J23" s="540"/>
      <c r="K23" s="541"/>
      <c r="L23" s="542" t="s">
        <v>175</v>
      </c>
      <c r="M23" s="542"/>
      <c r="N23" s="542"/>
      <c r="O23" s="543"/>
      <c r="P23" s="532" t="s">
        <v>176</v>
      </c>
      <c r="Q23" s="532"/>
      <c r="R23" s="532"/>
      <c r="S23" s="533"/>
      <c r="T23"/>
    </row>
    <row r="24" spans="2:29">
      <c r="B24" s="83" t="s">
        <v>249</v>
      </c>
      <c r="C24" s="84" t="s">
        <v>177</v>
      </c>
      <c r="D24" s="85">
        <v>2012</v>
      </c>
      <c r="E24" s="85">
        <v>2013</v>
      </c>
      <c r="F24" s="85">
        <v>2014</v>
      </c>
      <c r="G24" s="85">
        <v>2015</v>
      </c>
      <c r="H24" s="84">
        <v>2020</v>
      </c>
      <c r="I24" s="85">
        <v>2030</v>
      </c>
      <c r="J24" s="85">
        <v>2040</v>
      </c>
      <c r="K24" s="86">
        <v>2050</v>
      </c>
      <c r="L24" s="85">
        <v>2020</v>
      </c>
      <c r="M24" s="85">
        <v>2030</v>
      </c>
      <c r="N24" s="87">
        <v>2040</v>
      </c>
      <c r="O24" s="88">
        <v>2050</v>
      </c>
      <c r="P24" s="85">
        <v>2020</v>
      </c>
      <c r="Q24" s="85">
        <v>2030</v>
      </c>
      <c r="R24" s="87">
        <v>2040</v>
      </c>
      <c r="S24" s="88">
        <v>2050</v>
      </c>
      <c r="T24" s="82"/>
    </row>
    <row r="25" spans="2:29">
      <c r="B25" s="89" t="s">
        <v>178</v>
      </c>
      <c r="C25" s="90" t="s">
        <v>246</v>
      </c>
      <c r="D25" s="91">
        <f>109*($L$53/$L$50)</f>
        <v>112.54004619200001</v>
      </c>
      <c r="E25" s="91">
        <f>106*($L$53/$L$51)</f>
        <v>107.82523519999999</v>
      </c>
      <c r="F25" s="91">
        <f>97*($L$53/$L$52)</f>
        <v>97.116400000000013</v>
      </c>
      <c r="G25" s="92">
        <v>51</v>
      </c>
      <c r="H25" s="91">
        <v>79</v>
      </c>
      <c r="I25" s="91">
        <v>111</v>
      </c>
      <c r="J25" s="91">
        <v>124</v>
      </c>
      <c r="K25" s="92">
        <f>J25*(1+(J25/I25-1))</f>
        <v>138.52252252252251</v>
      </c>
      <c r="L25" s="91">
        <v>82</v>
      </c>
      <c r="M25" s="91">
        <v>127</v>
      </c>
      <c r="N25" s="91">
        <v>146</v>
      </c>
      <c r="O25" s="92">
        <f>N25*(1+(N25/M25-1))</f>
        <v>167.84251968503938</v>
      </c>
      <c r="P25" s="91">
        <v>73</v>
      </c>
      <c r="Q25" s="91">
        <v>85</v>
      </c>
      <c r="R25" s="91">
        <v>78</v>
      </c>
      <c r="S25" s="92">
        <f>R25*(1+R25/Q25-1)</f>
        <v>71.576470588235281</v>
      </c>
      <c r="T25" s="82"/>
    </row>
    <row r="26" spans="2:29">
      <c r="B26" s="89" t="s">
        <v>412</v>
      </c>
      <c r="C26" s="90" t="s">
        <v>247</v>
      </c>
      <c r="D26" s="91">
        <f>11.7*($L$53/$L$50)</f>
        <v>12.079986609600001</v>
      </c>
      <c r="E26" s="91">
        <f>10.6*($L$53/$L$51)</f>
        <v>10.78252352</v>
      </c>
      <c r="F26" s="91">
        <f>9.3*($L$53/$L$52)</f>
        <v>9.311160000000001</v>
      </c>
      <c r="G26" s="92">
        <v>7</v>
      </c>
      <c r="H26" s="91">
        <v>7.1</v>
      </c>
      <c r="I26" s="91">
        <v>10.3</v>
      </c>
      <c r="J26" s="91">
        <v>11.5</v>
      </c>
      <c r="K26" s="92">
        <f>J26*(1+(J26/I26-1))</f>
        <v>12.839805825242717</v>
      </c>
      <c r="L26" s="91">
        <v>7.3</v>
      </c>
      <c r="M26" s="91">
        <v>11.1</v>
      </c>
      <c r="N26" s="91">
        <v>13</v>
      </c>
      <c r="O26" s="92">
        <f>N26*(1+(N26/M26-1))</f>
        <v>15.225225225225225</v>
      </c>
      <c r="P26" s="91">
        <v>6.9</v>
      </c>
      <c r="Q26" s="91">
        <v>9.4</v>
      </c>
      <c r="R26" s="91">
        <v>9.9</v>
      </c>
      <c r="S26" s="92">
        <f>R26*(1+R26/Q26-1)</f>
        <v>10.426595744680853</v>
      </c>
      <c r="T26" s="82"/>
    </row>
    <row r="27" spans="2:29">
      <c r="B27" s="89" t="s">
        <v>179</v>
      </c>
      <c r="C27" s="90" t="s">
        <v>248</v>
      </c>
      <c r="D27" s="91">
        <f>99*($L$53/$L$50)</f>
        <v>102.215271312</v>
      </c>
      <c r="E27" s="91">
        <f>86*($L$53/$L$51)</f>
        <v>87.480851200000004</v>
      </c>
      <c r="F27" s="91">
        <f>78*($L$53/$L$52)</f>
        <v>78.093600000000009</v>
      </c>
      <c r="G27" s="92">
        <v>57</v>
      </c>
      <c r="H27" s="91">
        <v>63</v>
      </c>
      <c r="I27" s="91">
        <v>74</v>
      </c>
      <c r="J27" s="91">
        <v>77</v>
      </c>
      <c r="K27" s="92">
        <f>J27*(1+(J27/I27-1))</f>
        <v>80.121621621621628</v>
      </c>
      <c r="L27" s="91">
        <v>65</v>
      </c>
      <c r="M27" s="91">
        <v>80</v>
      </c>
      <c r="N27" s="91">
        <v>88</v>
      </c>
      <c r="O27" s="92">
        <f>N27*(1+(N27/M27-1))</f>
        <v>96.800000000000011</v>
      </c>
      <c r="P27" s="91">
        <v>58</v>
      </c>
      <c r="Q27" s="91">
        <v>57</v>
      </c>
      <c r="R27" s="91">
        <v>51</v>
      </c>
      <c r="S27" s="92">
        <f>R27*(1+R27/Q27-1)</f>
        <v>45.631578947368425</v>
      </c>
      <c r="T27" s="93"/>
    </row>
    <row r="28" spans="2:29">
      <c r="B28" s="94" t="s">
        <v>178</v>
      </c>
      <c r="C28" s="95" t="s">
        <v>250</v>
      </c>
      <c r="D28" s="96">
        <f t="shared" ref="D28:S28" si="5">D25*$L$60</f>
        <v>86.509375195633794</v>
      </c>
      <c r="E28" s="96">
        <f t="shared" si="5"/>
        <v>82.885106618494888</v>
      </c>
      <c r="F28" s="96">
        <f>F25*$L$60</f>
        <v>74.653240064570696</v>
      </c>
      <c r="G28" s="96">
        <f>G25*$L$60</f>
        <v>39.203628257360286</v>
      </c>
      <c r="H28" s="97">
        <f t="shared" si="5"/>
        <v>60.727188869244372</v>
      </c>
      <c r="I28" s="96">
        <f t="shared" si="5"/>
        <v>85.325543854254747</v>
      </c>
      <c r="J28" s="96">
        <f t="shared" si="5"/>
        <v>95.318625566915216</v>
      </c>
      <c r="K28" s="98">
        <f t="shared" si="5"/>
        <v>106.48206820087825</v>
      </c>
      <c r="L28" s="97">
        <f t="shared" si="5"/>
        <v>63.03328464908909</v>
      </c>
      <c r="M28" s="96">
        <f t="shared" si="5"/>
        <v>97.624721346759941</v>
      </c>
      <c r="N28" s="96">
        <f t="shared" si="5"/>
        <v>112.22999461910985</v>
      </c>
      <c r="O28" s="98">
        <f t="shared" si="5"/>
        <v>129.02030877472473</v>
      </c>
      <c r="P28" s="97">
        <f t="shared" si="5"/>
        <v>56.114997309554923</v>
      </c>
      <c r="Q28" s="96">
        <f t="shared" si="5"/>
        <v>65.339380428933822</v>
      </c>
      <c r="R28" s="96">
        <f t="shared" si="5"/>
        <v>59.958490275962795</v>
      </c>
      <c r="S28" s="98">
        <f t="shared" si="5"/>
        <v>55.020732253236439</v>
      </c>
      <c r="T28" s="93"/>
    </row>
    <row r="29" spans="2:29">
      <c r="B29" s="94" t="s">
        <v>412</v>
      </c>
      <c r="C29" s="95" t="s">
        <v>251</v>
      </c>
      <c r="D29" s="96">
        <f t="shared" ref="D29:S29" si="6">D26*$L$60</f>
        <v>9.2858687136597737</v>
      </c>
      <c r="E29" s="96">
        <f t="shared" si="6"/>
        <v>8.2885106618494895</v>
      </c>
      <c r="F29" s="96">
        <f t="shared" si="6"/>
        <v>7.1574755938196644</v>
      </c>
      <c r="G29" s="96">
        <f t="shared" ref="G29" si="7">G26*$L$60</f>
        <v>5.3808901529710198</v>
      </c>
      <c r="H29" s="97">
        <f t="shared" si="6"/>
        <v>5.4577600122991772</v>
      </c>
      <c r="I29" s="96">
        <f t="shared" si="6"/>
        <v>7.9175955108002158</v>
      </c>
      <c r="J29" s="96">
        <f t="shared" si="6"/>
        <v>8.8400338227381052</v>
      </c>
      <c r="K29" s="98">
        <f t="shared" si="6"/>
        <v>9.8699406758726393</v>
      </c>
      <c r="L29" s="97">
        <f t="shared" si="6"/>
        <v>5.6114997309554919</v>
      </c>
      <c r="M29" s="96">
        <f t="shared" si="6"/>
        <v>8.532554385425474</v>
      </c>
      <c r="N29" s="96">
        <f t="shared" si="6"/>
        <v>9.9930817126604659</v>
      </c>
      <c r="O29" s="98">
        <f t="shared" si="6"/>
        <v>11.703609213025771</v>
      </c>
      <c r="P29" s="97">
        <f t="shared" si="6"/>
        <v>5.3040202936428633</v>
      </c>
      <c r="Q29" s="96">
        <f t="shared" si="6"/>
        <v>7.2257667768467986</v>
      </c>
      <c r="R29" s="96">
        <f t="shared" si="6"/>
        <v>7.6101160734875855</v>
      </c>
      <c r="S29" s="98">
        <f t="shared" si="6"/>
        <v>8.01490948165182</v>
      </c>
      <c r="T29" s="93"/>
    </row>
    <row r="30" spans="2:29">
      <c r="B30" s="94" t="s">
        <v>179</v>
      </c>
      <c r="C30" s="95" t="s">
        <v>252</v>
      </c>
      <c r="D30" s="96">
        <f t="shared" ref="D30:S30" si="8">D27*$L$60</f>
        <v>78.572735269428861</v>
      </c>
      <c r="E30" s="96">
        <f t="shared" si="8"/>
        <v>67.246407256514729</v>
      </c>
      <c r="F30" s="96">
        <f t="shared" si="8"/>
        <v>60.03044046429396</v>
      </c>
      <c r="G30" s="96">
        <f t="shared" ref="G30" si="9">G27*$L$60</f>
        <v>43.815819817049736</v>
      </c>
      <c r="H30" s="97">
        <f t="shared" si="8"/>
        <v>48.428011376739178</v>
      </c>
      <c r="I30" s="96">
        <f t="shared" si="8"/>
        <v>56.8836959028365</v>
      </c>
      <c r="J30" s="96">
        <f t="shared" si="8"/>
        <v>59.189791682681225</v>
      </c>
      <c r="K30" s="98">
        <f t="shared" si="8"/>
        <v>61.589377831979114</v>
      </c>
      <c r="L30" s="97">
        <f t="shared" si="8"/>
        <v>49.965408563302333</v>
      </c>
      <c r="M30" s="96">
        <f t="shared" si="8"/>
        <v>61.495887462525943</v>
      </c>
      <c r="N30" s="96">
        <f t="shared" si="8"/>
        <v>67.645476208778533</v>
      </c>
      <c r="O30" s="98">
        <f t="shared" si="8"/>
        <v>74.410023829656396</v>
      </c>
      <c r="P30" s="97">
        <f t="shared" si="8"/>
        <v>44.584518410331313</v>
      </c>
      <c r="Q30" s="96">
        <f t="shared" si="8"/>
        <v>43.815819817049736</v>
      </c>
      <c r="R30" s="96">
        <f t="shared" si="8"/>
        <v>39.203628257360286</v>
      </c>
      <c r="S30" s="98">
        <f t="shared" si="8"/>
        <v>35.076930546059209</v>
      </c>
      <c r="T30" s="99"/>
    </row>
    <row r="31" spans="2:29">
      <c r="B31" s="100" t="s">
        <v>178</v>
      </c>
      <c r="C31" s="101" t="s">
        <v>253</v>
      </c>
      <c r="D31" s="102">
        <f t="shared" ref="D31:S31" si="10">D28/$I$59</f>
        <v>15.082050573201174</v>
      </c>
      <c r="E31" s="102">
        <f t="shared" si="10"/>
        <v>14.450195333839423</v>
      </c>
      <c r="F31" s="102">
        <f t="shared" si="10"/>
        <v>13.015051138226342</v>
      </c>
      <c r="G31" s="102">
        <f>G28/$I$59</f>
        <v>6.8347633154600382</v>
      </c>
      <c r="H31" s="103">
        <f t="shared" si="10"/>
        <v>10.58718239061457</v>
      </c>
      <c r="I31" s="102">
        <f t="shared" si="10"/>
        <v>14.875661333648321</v>
      </c>
      <c r="J31" s="102">
        <f t="shared" si="10"/>
        <v>16.617855904255784</v>
      </c>
      <c r="K31" s="104">
        <f t="shared" si="10"/>
        <v>18.564091280429881</v>
      </c>
      <c r="L31" s="102">
        <f t="shared" si="10"/>
        <v>10.989227291523985</v>
      </c>
      <c r="M31" s="102">
        <f t="shared" si="10"/>
        <v>17.019900805165197</v>
      </c>
      <c r="N31" s="102">
        <f t="shared" si="10"/>
        <v>19.566185177591485</v>
      </c>
      <c r="O31" s="104">
        <f t="shared" si="10"/>
        <v>22.493409731719346</v>
      </c>
      <c r="P31" s="102">
        <f t="shared" si="10"/>
        <v>9.7830925887957427</v>
      </c>
      <c r="Q31" s="102">
        <f t="shared" si="10"/>
        <v>11.3912721924334</v>
      </c>
      <c r="R31" s="102">
        <f t="shared" si="10"/>
        <v>10.453167423644766</v>
      </c>
      <c r="S31" s="104">
        <f t="shared" si="10"/>
        <v>9.592318341697549</v>
      </c>
      <c r="T31" s="99"/>
    </row>
    <row r="32" spans="2:29">
      <c r="B32" s="100" t="s">
        <v>412</v>
      </c>
      <c r="C32" s="101" t="s">
        <v>253</v>
      </c>
      <c r="D32" s="102">
        <f t="shared" ref="D32:S32" si="11">D29/($I$58/1000)</f>
        <v>9.7972871002951827</v>
      </c>
      <c r="E32" s="102">
        <f t="shared" si="11"/>
        <v>8.7449996432258814</v>
      </c>
      <c r="F32" s="102">
        <f t="shared" si="11"/>
        <v>7.5516729202570847</v>
      </c>
      <c r="G32" s="102">
        <f t="shared" ref="G32" si="12">G29/($I$58/1000)</f>
        <v>5.6772421955803125</v>
      </c>
      <c r="H32" s="103">
        <f t="shared" si="11"/>
        <v>5.7583456555171741</v>
      </c>
      <c r="I32" s="102">
        <f t="shared" si="11"/>
        <v>8.3536563734967455</v>
      </c>
      <c r="J32" s="102">
        <f t="shared" si="11"/>
        <v>9.3268978927390851</v>
      </c>
      <c r="K32" s="104">
        <f t="shared" si="11"/>
        <v>10.413526773446549</v>
      </c>
      <c r="L32" s="102">
        <f t="shared" si="11"/>
        <v>5.9205525753908965</v>
      </c>
      <c r="M32" s="102">
        <f t="shared" si="11"/>
        <v>9.0024840529916368</v>
      </c>
      <c r="N32" s="102">
        <f t="shared" si="11"/>
        <v>10.543449791792009</v>
      </c>
      <c r="O32" s="104">
        <f t="shared" si="11"/>
        <v>12.348184440837489</v>
      </c>
      <c r="P32" s="102">
        <f t="shared" si="11"/>
        <v>5.5961387356434518</v>
      </c>
      <c r="Q32" s="102">
        <f t="shared" si="11"/>
        <v>7.6237252340649917</v>
      </c>
      <c r="R32" s="102">
        <f t="shared" si="11"/>
        <v>8.029242533749299</v>
      </c>
      <c r="S32" s="104">
        <f t="shared" si="11"/>
        <v>8.4563299025657521</v>
      </c>
      <c r="T32" s="82"/>
    </row>
    <row r="33" spans="2:20">
      <c r="B33" s="105" t="s">
        <v>179</v>
      </c>
      <c r="C33" s="109" t="s">
        <v>253</v>
      </c>
      <c r="D33" s="106">
        <f t="shared" ref="D33:S33" si="13">D30/$I$62</f>
        <v>3.2875621451643875</v>
      </c>
      <c r="E33" s="106">
        <f t="shared" si="13"/>
        <v>2.8136572073855537</v>
      </c>
      <c r="F33" s="106">
        <f t="shared" si="13"/>
        <v>2.5117339106399146</v>
      </c>
      <c r="G33" s="106">
        <f t="shared" ref="G33" si="14">G30/$I$62</f>
        <v>1.8332979002949681</v>
      </c>
      <c r="H33" s="107">
        <f t="shared" si="13"/>
        <v>2.0262766266418066</v>
      </c>
      <c r="I33" s="106">
        <f t="shared" si="13"/>
        <v>2.380070958277678</v>
      </c>
      <c r="J33" s="106">
        <f t="shared" si="13"/>
        <v>2.4765603214510974</v>
      </c>
      <c r="K33" s="108">
        <f t="shared" si="13"/>
        <v>2.57696141556398</v>
      </c>
      <c r="L33" s="106">
        <f t="shared" si="13"/>
        <v>2.0906028687574199</v>
      </c>
      <c r="M33" s="106">
        <f t="shared" si="13"/>
        <v>2.5730496846245168</v>
      </c>
      <c r="N33" s="106">
        <f t="shared" si="13"/>
        <v>2.8303546530869679</v>
      </c>
      <c r="O33" s="108">
        <f t="shared" si="13"/>
        <v>3.1133901183956652</v>
      </c>
      <c r="P33" s="106">
        <f t="shared" si="13"/>
        <v>1.8654610213527747</v>
      </c>
      <c r="Q33" s="106">
        <f t="shared" si="13"/>
        <v>1.8332979002949681</v>
      </c>
      <c r="R33" s="106">
        <f t="shared" si="13"/>
        <v>1.6403191739481293</v>
      </c>
      <c r="S33" s="108">
        <f t="shared" si="13"/>
        <v>1.4676539977430632</v>
      </c>
      <c r="T33" s="93"/>
    </row>
    <row r="34" spans="2:20">
      <c r="B34" s="76" t="s">
        <v>413</v>
      </c>
      <c r="C34" s="111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</row>
    <row r="35" spans="2:20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 s="82"/>
      <c r="R35"/>
      <c r="S35" s="56"/>
    </row>
    <row r="36" spans="2:20">
      <c r="C36"/>
      <c r="D36"/>
      <c r="E36"/>
      <c r="F36"/>
      <c r="G36"/>
      <c r="H36"/>
      <c r="I36"/>
      <c r="J36"/>
      <c r="K36"/>
      <c r="L36"/>
      <c r="M36"/>
      <c r="S36"/>
    </row>
    <row r="37" spans="2:20" ht="39.75">
      <c r="B37"/>
      <c r="C37"/>
      <c r="D37"/>
      <c r="E37"/>
      <c r="F37"/>
      <c r="G37"/>
      <c r="H37" s="77"/>
      <c r="I37" s="113" t="s">
        <v>180</v>
      </c>
      <c r="J37" s="114" t="s">
        <v>165</v>
      </c>
      <c r="K37" s="113" t="s">
        <v>166</v>
      </c>
      <c r="L37" s="114" t="s">
        <v>167</v>
      </c>
      <c r="M37"/>
      <c r="S37" s="110"/>
    </row>
    <row r="38" spans="2:20">
      <c r="B38"/>
      <c r="C38"/>
      <c r="D38"/>
      <c r="E38"/>
      <c r="F38"/>
      <c r="G38"/>
      <c r="H38" s="115">
        <v>2000</v>
      </c>
      <c r="I38" s="116"/>
      <c r="J38" s="116">
        <v>100</v>
      </c>
      <c r="K38" s="116"/>
      <c r="L38" s="116">
        <v>100</v>
      </c>
      <c r="M38"/>
      <c r="S38" s="121"/>
    </row>
    <row r="39" spans="2:20">
      <c r="B39"/>
      <c r="C39"/>
      <c r="D39"/>
      <c r="E39"/>
      <c r="F39"/>
      <c r="G39"/>
      <c r="H39" s="117">
        <v>2001</v>
      </c>
      <c r="I39" s="118">
        <v>2.1999999999999999E-2</v>
      </c>
      <c r="J39" s="116">
        <f t="shared" ref="J39:J53" si="15">J38+(J38*I39)</f>
        <v>102.2</v>
      </c>
      <c r="K39" s="118">
        <v>2.8000000000000001E-2</v>
      </c>
      <c r="L39" s="116">
        <f t="shared" ref="L39:L50" si="16">L38+(L38*K39)</f>
        <v>102.8</v>
      </c>
      <c r="M39"/>
      <c r="S39" s="121"/>
    </row>
    <row r="40" spans="2:20">
      <c r="B40"/>
      <c r="C40"/>
      <c r="D40"/>
      <c r="E40"/>
      <c r="F40"/>
      <c r="G40"/>
      <c r="H40" s="117">
        <v>2002</v>
      </c>
      <c r="I40" s="118">
        <v>2.1000000000000001E-2</v>
      </c>
      <c r="J40" s="119">
        <f t="shared" si="15"/>
        <v>104.34620000000001</v>
      </c>
      <c r="K40" s="118">
        <v>1.6E-2</v>
      </c>
      <c r="L40" s="119">
        <f t="shared" si="16"/>
        <v>104.4448</v>
      </c>
      <c r="M40"/>
      <c r="S40" s="122"/>
    </row>
    <row r="41" spans="2:20">
      <c r="B41"/>
      <c r="C41"/>
      <c r="D41"/>
      <c r="E41"/>
      <c r="F41"/>
      <c r="G41"/>
      <c r="H41" s="117">
        <v>2003</v>
      </c>
      <c r="I41" s="118">
        <v>0.02</v>
      </c>
      <c r="J41" s="119">
        <f t="shared" si="15"/>
        <v>106.43312400000001</v>
      </c>
      <c r="K41" s="118">
        <v>2.3E-2</v>
      </c>
      <c r="L41" s="119">
        <f t="shared" si="16"/>
        <v>106.84703039999999</v>
      </c>
      <c r="M41"/>
      <c r="S41" s="122"/>
    </row>
    <row r="42" spans="2:20">
      <c r="B42"/>
      <c r="C42"/>
      <c r="D42"/>
      <c r="E42"/>
      <c r="F42"/>
      <c r="G42"/>
      <c r="H42" s="117">
        <v>2004</v>
      </c>
      <c r="I42" s="118">
        <v>0.02</v>
      </c>
      <c r="J42" s="119">
        <f t="shared" si="15"/>
        <v>108.56178648000001</v>
      </c>
      <c r="K42" s="118">
        <v>2.7E-2</v>
      </c>
      <c r="L42" s="119">
        <f t="shared" si="16"/>
        <v>109.7319002208</v>
      </c>
      <c r="M42"/>
      <c r="S42" s="122"/>
    </row>
    <row r="43" spans="2:20">
      <c r="B43"/>
      <c r="C43"/>
      <c r="D43"/>
      <c r="E43"/>
      <c r="F43"/>
      <c r="G43"/>
      <c r="H43" s="117">
        <v>2005</v>
      </c>
      <c r="I43" s="118">
        <v>2.1999999999999999E-2</v>
      </c>
      <c r="J43" s="119">
        <f t="shared" si="15"/>
        <v>110.95014578256001</v>
      </c>
      <c r="K43" s="118">
        <v>3.4000000000000002E-2</v>
      </c>
      <c r="L43" s="119">
        <f t="shared" si="16"/>
        <v>113.46278482830721</v>
      </c>
      <c r="M43"/>
      <c r="S43" s="122"/>
    </row>
    <row r="44" spans="2:20">
      <c r="B44"/>
      <c r="C44"/>
      <c r="D44"/>
      <c r="E44"/>
      <c r="F44"/>
      <c r="G44"/>
      <c r="H44" s="117">
        <v>2006</v>
      </c>
      <c r="I44" s="118">
        <v>2.1999999999999999E-2</v>
      </c>
      <c r="J44" s="119">
        <f t="shared" si="15"/>
        <v>113.39104898977634</v>
      </c>
      <c r="K44" s="118">
        <v>3.2000000000000001E-2</v>
      </c>
      <c r="L44" s="119">
        <f t="shared" si="16"/>
        <v>117.09359394281304</v>
      </c>
      <c r="M44"/>
      <c r="S44" s="122"/>
    </row>
    <row r="45" spans="2:20">
      <c r="B45"/>
      <c r="C45"/>
      <c r="D45"/>
      <c r="E45"/>
      <c r="F45"/>
      <c r="G45"/>
      <c r="H45" s="117">
        <v>2007</v>
      </c>
      <c r="I45" s="118">
        <v>2.3E-2</v>
      </c>
      <c r="J45" s="119">
        <f t="shared" si="15"/>
        <v>115.99904311654119</v>
      </c>
      <c r="K45" s="118">
        <v>2.8000000000000001E-2</v>
      </c>
      <c r="L45" s="119">
        <f t="shared" si="16"/>
        <v>120.37221457321181</v>
      </c>
      <c r="M45"/>
      <c r="S45" s="122"/>
    </row>
    <row r="46" spans="2:20">
      <c r="B46"/>
      <c r="C46"/>
      <c r="D46"/>
      <c r="E46"/>
      <c r="F46"/>
      <c r="G46"/>
      <c r="H46" s="117">
        <v>2008</v>
      </c>
      <c r="I46" s="118">
        <v>3.6999999999999998E-2</v>
      </c>
      <c r="J46" s="119">
        <f t="shared" si="15"/>
        <v>120.29100771185321</v>
      </c>
      <c r="K46" s="118">
        <v>3.7999999999999999E-2</v>
      </c>
      <c r="L46" s="119">
        <f t="shared" si="16"/>
        <v>124.94635872699385</v>
      </c>
      <c r="M46"/>
      <c r="S46" s="122"/>
    </row>
    <row r="47" spans="2:20">
      <c r="B47"/>
      <c r="C47"/>
      <c r="D47"/>
      <c r="E47"/>
      <c r="F47"/>
      <c r="G47"/>
      <c r="H47" s="117">
        <v>2009</v>
      </c>
      <c r="I47" s="118">
        <v>0.01</v>
      </c>
      <c r="J47" s="119">
        <f t="shared" si="15"/>
        <v>121.49391778897174</v>
      </c>
      <c r="K47" s="118">
        <v>-4.0000000000000001E-3</v>
      </c>
      <c r="L47" s="119">
        <f t="shared" si="16"/>
        <v>124.44657329208587</v>
      </c>
      <c r="M47"/>
      <c r="S47" s="122"/>
    </row>
    <row r="48" spans="2:20">
      <c r="B48"/>
      <c r="C48"/>
      <c r="D48"/>
      <c r="E48"/>
      <c r="F48"/>
      <c r="G48"/>
      <c r="H48" s="117">
        <v>2010</v>
      </c>
      <c r="I48" s="118">
        <v>2.1000000000000001E-2</v>
      </c>
      <c r="J48" s="119">
        <f t="shared" si="15"/>
        <v>124.04529006254015</v>
      </c>
      <c r="K48" s="118">
        <v>1.6E-2</v>
      </c>
      <c r="L48" s="119">
        <f t="shared" si="16"/>
        <v>126.43771846475924</v>
      </c>
      <c r="M48"/>
      <c r="S48" s="122"/>
    </row>
    <row r="49" spans="2:19">
      <c r="B49"/>
      <c r="C49"/>
      <c r="D49"/>
      <c r="E49"/>
      <c r="F49"/>
      <c r="G49"/>
      <c r="H49" s="117">
        <v>2011</v>
      </c>
      <c r="I49" s="118">
        <v>3.1E-2</v>
      </c>
      <c r="J49" s="119">
        <f t="shared" si="15"/>
        <v>127.89069405447889</v>
      </c>
      <c r="K49" s="118">
        <v>3.2000000000000001E-2</v>
      </c>
      <c r="L49" s="119">
        <f t="shared" si="16"/>
        <v>130.48372545563154</v>
      </c>
      <c r="M49"/>
      <c r="S49" s="122"/>
    </row>
    <row r="50" spans="2:19">
      <c r="B50"/>
      <c r="C50"/>
      <c r="D50"/>
      <c r="E50"/>
      <c r="F50"/>
      <c r="G50"/>
      <c r="H50" s="117">
        <v>2012</v>
      </c>
      <c r="I50" s="118">
        <v>2.6000000000000002E-2</v>
      </c>
      <c r="J50" s="119">
        <f t="shared" si="15"/>
        <v>131.21585209989533</v>
      </c>
      <c r="K50" s="118">
        <v>2.1000000000000001E-2</v>
      </c>
      <c r="L50" s="119">
        <f t="shared" si="16"/>
        <v>133.22388369019981</v>
      </c>
      <c r="M50"/>
      <c r="S50" s="122"/>
    </row>
    <row r="51" spans="2:19">
      <c r="B51"/>
      <c r="C51"/>
      <c r="D51"/>
      <c r="E51"/>
      <c r="F51"/>
      <c r="G51"/>
      <c r="H51" s="117">
        <v>2013</v>
      </c>
      <c r="I51" s="118">
        <v>1.4999999999999999E-2</v>
      </c>
      <c r="J51" s="119">
        <f t="shared" si="15"/>
        <v>133.18408988139376</v>
      </c>
      <c r="K51" s="118">
        <v>1.4999999999999999E-2</v>
      </c>
      <c r="L51" s="119">
        <f>(L50)+(L50*K51)</f>
        <v>135.22224194555281</v>
      </c>
      <c r="M51"/>
      <c r="S51" s="122"/>
    </row>
    <row r="52" spans="2:19">
      <c r="B52"/>
      <c r="C52"/>
      <c r="D52"/>
      <c r="E52"/>
      <c r="F52"/>
      <c r="G52"/>
      <c r="H52" s="117">
        <v>2014</v>
      </c>
      <c r="I52" s="118">
        <v>6.0000000000000001E-3</v>
      </c>
      <c r="J52" s="119">
        <f t="shared" si="15"/>
        <v>133.98319442068211</v>
      </c>
      <c r="K52" s="118">
        <v>1.6E-2</v>
      </c>
      <c r="L52" s="119">
        <f>L51+(L51*K52)</f>
        <v>137.38579781668165</v>
      </c>
      <c r="M52"/>
      <c r="S52" s="122"/>
    </row>
    <row r="53" spans="2:19">
      <c r="B53"/>
      <c r="C53"/>
      <c r="D53"/>
      <c r="E53"/>
      <c r="F53"/>
      <c r="G53"/>
      <c r="H53" s="117">
        <v>2015</v>
      </c>
      <c r="I53" s="118">
        <v>0</v>
      </c>
      <c r="J53" s="119">
        <f t="shared" si="15"/>
        <v>133.98319442068211</v>
      </c>
      <c r="K53" s="118">
        <v>1.1999999999999999E-3</v>
      </c>
      <c r="L53" s="119">
        <f>L52+(L52*K53)</f>
        <v>137.55066077406167</v>
      </c>
      <c r="M53"/>
      <c r="S53" s="123"/>
    </row>
    <row r="54" spans="2:19">
      <c r="B54"/>
      <c r="C54"/>
      <c r="D54"/>
      <c r="E54"/>
      <c r="F54"/>
      <c r="G54"/>
      <c r="H54" s="120" t="s">
        <v>164</v>
      </c>
      <c r="I54"/>
      <c r="J54" s="120"/>
      <c r="K54" s="120" t="s">
        <v>168</v>
      </c>
      <c r="L54"/>
      <c r="M54"/>
      <c r="S54"/>
    </row>
    <row r="55" spans="2:19">
      <c r="B55"/>
      <c r="C55"/>
      <c r="D55"/>
      <c r="E55"/>
      <c r="F55"/>
      <c r="G55"/>
      <c r="H55"/>
      <c r="I55"/>
      <c r="J55"/>
      <c r="K55" s="120" t="s">
        <v>414</v>
      </c>
      <c r="L55"/>
      <c r="M55"/>
      <c r="S55"/>
    </row>
    <row r="56" spans="2:19">
      <c r="B56"/>
      <c r="C56"/>
      <c r="D56"/>
      <c r="E56"/>
      <c r="F56"/>
      <c r="G56"/>
      <c r="H56"/>
      <c r="I56"/>
      <c r="J56"/>
      <c r="K56"/>
      <c r="L56"/>
      <c r="M56"/>
      <c r="S56"/>
    </row>
    <row r="57" spans="2:19">
      <c r="B57"/>
      <c r="C57"/>
      <c r="D57"/>
      <c r="E57"/>
      <c r="F57"/>
      <c r="G57"/>
      <c r="H57" s="534" t="s">
        <v>170</v>
      </c>
      <c r="I57" s="535"/>
      <c r="J57"/>
      <c r="K57" s="534" t="s">
        <v>181</v>
      </c>
      <c r="L57" s="535"/>
      <c r="M57"/>
      <c r="S57"/>
    </row>
    <row r="58" spans="2:19">
      <c r="B58"/>
      <c r="C58"/>
      <c r="D58"/>
      <c r="E58"/>
      <c r="F58"/>
      <c r="G58"/>
      <c r="H58" s="77" t="s">
        <v>171</v>
      </c>
      <c r="I58" s="80">
        <v>947.8</v>
      </c>
      <c r="J58"/>
      <c r="K58" s="78"/>
      <c r="L58" s="78" t="s">
        <v>415</v>
      </c>
      <c r="M58"/>
      <c r="S58"/>
    </row>
    <row r="59" spans="2:19">
      <c r="B59"/>
      <c r="C59"/>
      <c r="D59"/>
      <c r="E59"/>
      <c r="F59"/>
      <c r="G59"/>
      <c r="H59" s="536" t="s">
        <v>172</v>
      </c>
      <c r="I59" s="80">
        <f>I60*I61</f>
        <v>5.7359160000000005</v>
      </c>
      <c r="J59"/>
      <c r="K59" s="77" t="s">
        <v>244</v>
      </c>
      <c r="L59" s="79">
        <v>1.3008999999999999</v>
      </c>
      <c r="M59"/>
      <c r="S59"/>
    </row>
    <row r="60" spans="2:19">
      <c r="B60"/>
      <c r="C60"/>
      <c r="D60"/>
      <c r="E60"/>
      <c r="F60"/>
      <c r="G60"/>
      <c r="H60" s="537"/>
      <c r="I60" s="81">
        <v>0.13700000000000001</v>
      </c>
      <c r="J60"/>
      <c r="K60" s="77" t="s">
        <v>245</v>
      </c>
      <c r="L60" s="172">
        <f>1/L59</f>
        <v>0.76869859328157431</v>
      </c>
      <c r="M60"/>
      <c r="S60"/>
    </row>
    <row r="61" spans="2:19">
      <c r="H61" s="538"/>
      <c r="I61" s="81">
        <v>41.868000000000002</v>
      </c>
      <c r="J61"/>
      <c r="K61" t="s">
        <v>169</v>
      </c>
      <c r="L61"/>
    </row>
    <row r="62" spans="2:19">
      <c r="H62" s="77" t="s">
        <v>173</v>
      </c>
      <c r="I62" s="81">
        <v>23.9</v>
      </c>
      <c r="J62"/>
      <c r="K62"/>
      <c r="L62"/>
    </row>
  </sheetData>
  <mergeCells count="6">
    <mergeCell ref="P23:S23"/>
    <mergeCell ref="H57:I57"/>
    <mergeCell ref="K57:L57"/>
    <mergeCell ref="H59:H61"/>
    <mergeCell ref="H23:K23"/>
    <mergeCell ref="L23:O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X60"/>
  <sheetViews>
    <sheetView zoomScale="85" zoomScaleNormal="85" workbookViewId="0">
      <selection activeCell="E38" sqref="E38"/>
    </sheetView>
  </sheetViews>
  <sheetFormatPr defaultColWidth="9.1328125" defaultRowHeight="14.25"/>
  <cols>
    <col min="1" max="1" width="9.1328125" style="498"/>
    <col min="2" max="2" width="22.1328125" style="498" bestFit="1" customWidth="1"/>
    <col min="3" max="3" width="25.265625" style="498" bestFit="1" customWidth="1"/>
    <col min="4" max="4" width="16.265625" style="498" bestFit="1" customWidth="1"/>
    <col min="5" max="13" width="12.86328125" style="498" customWidth="1"/>
    <col min="14" max="15" width="13" style="498" customWidth="1"/>
    <col min="16" max="16" width="21.86328125" style="498" customWidth="1"/>
    <col min="17" max="17" width="29.59765625" style="498" bestFit="1" customWidth="1"/>
    <col min="18" max="21" width="9.1328125" style="498"/>
    <col min="22" max="22" width="14.59765625" style="498" bestFit="1" customWidth="1"/>
    <col min="23" max="23" width="29.59765625" style="498" bestFit="1" customWidth="1"/>
    <col min="24" max="16384" width="9.1328125" style="498"/>
  </cols>
  <sheetData>
    <row r="2" spans="2:22" ht="18">
      <c r="B2" s="18" t="s">
        <v>191</v>
      </c>
      <c r="C2" s="18"/>
      <c r="D2" s="32" t="s">
        <v>219</v>
      </c>
      <c r="E2" s="198"/>
      <c r="F2" s="198"/>
      <c r="G2" s="198"/>
      <c r="H2" s="197"/>
      <c r="I2" s="197"/>
      <c r="J2" s="197"/>
      <c r="K2" s="197"/>
      <c r="L2" s="197"/>
    </row>
    <row r="3" spans="2:22">
      <c r="B3" s="36" t="s">
        <v>2</v>
      </c>
      <c r="C3" s="36" t="s">
        <v>3</v>
      </c>
      <c r="D3" s="36" t="s">
        <v>81</v>
      </c>
      <c r="E3" s="59" t="s">
        <v>561</v>
      </c>
      <c r="F3" s="59" t="s">
        <v>83</v>
      </c>
      <c r="G3" s="59" t="s">
        <v>84</v>
      </c>
      <c r="H3" s="59" t="s">
        <v>85</v>
      </c>
      <c r="I3" s="59" t="s">
        <v>86</v>
      </c>
      <c r="J3" s="59" t="s">
        <v>87</v>
      </c>
      <c r="K3" s="59" t="s">
        <v>88</v>
      </c>
      <c r="L3" s="199" t="s">
        <v>138</v>
      </c>
      <c r="M3" s="486"/>
      <c r="O3" s="223" t="s">
        <v>0</v>
      </c>
      <c r="P3" s="223"/>
      <c r="Q3" s="224"/>
      <c r="R3" s="224"/>
      <c r="S3" s="224"/>
      <c r="T3" s="224"/>
      <c r="U3" s="224"/>
      <c r="V3" s="224"/>
    </row>
    <row r="4" spans="2:22" ht="14.65" thickBot="1">
      <c r="B4" s="27" t="s">
        <v>104</v>
      </c>
      <c r="C4" s="27" t="s">
        <v>90</v>
      </c>
      <c r="D4" s="27" t="s">
        <v>91</v>
      </c>
      <c r="E4" s="24" t="s">
        <v>92</v>
      </c>
      <c r="F4" s="24" t="s">
        <v>92</v>
      </c>
      <c r="G4" s="24" t="s">
        <v>92</v>
      </c>
      <c r="H4" s="24" t="s">
        <v>92</v>
      </c>
      <c r="I4" s="24" t="s">
        <v>92</v>
      </c>
      <c r="J4" s="24" t="s">
        <v>92</v>
      </c>
      <c r="K4" s="24" t="s">
        <v>92</v>
      </c>
      <c r="L4" s="200"/>
      <c r="M4" s="481"/>
      <c r="O4" s="13" t="s">
        <v>1</v>
      </c>
      <c r="P4" s="13" t="s">
        <v>2</v>
      </c>
      <c r="Q4" s="13" t="s">
        <v>3</v>
      </c>
      <c r="R4" s="13" t="s">
        <v>4</v>
      </c>
      <c r="S4" s="13" t="s">
        <v>5</v>
      </c>
      <c r="T4" s="13" t="s">
        <v>6</v>
      </c>
      <c r="U4" s="13" t="s">
        <v>7</v>
      </c>
      <c r="V4" s="13" t="s">
        <v>8</v>
      </c>
    </row>
    <row r="5" spans="2:22">
      <c r="B5" s="53" t="str">
        <f>Imports_Bio!P5</f>
        <v>IMPBIOETH1G1</v>
      </c>
      <c r="C5" s="54" t="str">
        <f>Imports_Bio!Q5</f>
        <v>Import of BIOETH1G - RSV 1</v>
      </c>
      <c r="D5" s="54" t="str">
        <f>Commodities!$C$28</f>
        <v>BIOETH1G</v>
      </c>
      <c r="E5" s="201">
        <f>'SEAI-AEA_BioData'!$J$12</f>
        <v>18.606095347281933</v>
      </c>
      <c r="F5" s="201">
        <f>$E$5*'SEAI-AEA_BioData'!Q23</f>
        <v>18.176172733352441</v>
      </c>
      <c r="G5" s="201">
        <f>$E$5*'SEAI-AEA_BioData'!R23</f>
        <v>17.579057991783699</v>
      </c>
      <c r="H5" s="201">
        <f>$E$5*'SEAI-AEA_BioData'!S23</f>
        <v>16.599789815610968</v>
      </c>
      <c r="I5" s="201">
        <f>$E$5*'SEAI-AEA_BioData'!T23</f>
        <v>15.883252125728479</v>
      </c>
      <c r="J5" s="201">
        <f>$I$5</f>
        <v>15.883252125728479</v>
      </c>
      <c r="K5" s="201">
        <f>$I$5</f>
        <v>15.883252125728479</v>
      </c>
      <c r="L5" s="54"/>
      <c r="M5" s="261"/>
      <c r="O5" s="61" t="s">
        <v>28</v>
      </c>
      <c r="P5" s="60" t="s">
        <v>145</v>
      </c>
      <c r="Q5" s="60" t="s">
        <v>157</v>
      </c>
      <c r="R5" s="60" t="s">
        <v>11</v>
      </c>
      <c r="S5" s="467"/>
      <c r="T5" s="74"/>
      <c r="U5" s="54"/>
      <c r="V5" s="467"/>
    </row>
    <row r="6" spans="2:22">
      <c r="B6" s="53" t="str">
        <f>Imports_Bio!P6</f>
        <v>IMPBIOETH1G2</v>
      </c>
      <c r="C6" s="54" t="str">
        <f>Imports_Bio!Q6</f>
        <v>Import of BIOETH1G - RSV 2</v>
      </c>
      <c r="D6" s="54" t="str">
        <f>Commodities!$C$28</f>
        <v>BIOETH1G</v>
      </c>
      <c r="E6" s="201">
        <f>'SEAI-AEA_BioData'!$J$12</f>
        <v>18.606095347281933</v>
      </c>
      <c r="F6" s="201">
        <f>$E$6*'SEAI-AEA_BioData'!Q33</f>
        <v>18.916595012897677</v>
      </c>
      <c r="G6" s="201">
        <f>$E$6*'SEAI-AEA_BioData'!R33</f>
        <v>19.083787140536923</v>
      </c>
      <c r="H6" s="201">
        <f>$E$6*'SEAI-AEA_BioData'!S33</f>
        <v>18.916595012897677</v>
      </c>
      <c r="I6" s="201">
        <f>$E$6*'SEAI-AEA_BioData'!T33</f>
        <v>19.131556319862423</v>
      </c>
      <c r="J6" s="201">
        <f>I6*Imports_Fossil!$N$31/Imports_Fossil!$M$31</f>
        <v>21.993757659054438</v>
      </c>
      <c r="K6" s="201">
        <f>I6*Imports_Fossil!$O$31/Imports_Fossil!$M$31</f>
        <v>25.284162348204315</v>
      </c>
      <c r="L6" s="54"/>
      <c r="M6" s="261"/>
      <c r="O6" s="61"/>
      <c r="P6" s="60" t="s">
        <v>146</v>
      </c>
      <c r="Q6" s="60" t="s">
        <v>158</v>
      </c>
      <c r="R6" s="60" t="s">
        <v>11</v>
      </c>
      <c r="S6" s="467"/>
      <c r="T6" s="74"/>
      <c r="U6" s="54"/>
      <c r="V6" s="467"/>
    </row>
    <row r="7" spans="2:22">
      <c r="B7" s="55" t="str">
        <f>Imports_Bio!P7</f>
        <v>IMPBIOETH1G3</v>
      </c>
      <c r="C7" s="54" t="str">
        <f>Imports_Bio!Q7</f>
        <v>Import of BIOETH1G - RSV 3</v>
      </c>
      <c r="D7" s="54" t="str">
        <f>Commodities!$C$28</f>
        <v>BIOETH1G</v>
      </c>
      <c r="E7" s="201">
        <f>'SEAI-AEA_BioData'!$J$12</f>
        <v>18.606095347281933</v>
      </c>
      <c r="F7" s="201">
        <f>$E$7*'SEAI-AEA_BioData'!Q44</f>
        <v>19.680901882105665</v>
      </c>
      <c r="G7" s="201">
        <f>$E$7*'SEAI-AEA_BioData'!R44</f>
        <v>20.684054647941146</v>
      </c>
      <c r="H7" s="201">
        <f>$E$7*'SEAI-AEA_BioData'!S44</f>
        <v>21.758861182764878</v>
      </c>
      <c r="I7" s="201">
        <f>$E$7*'SEAI-AEA_BioData'!T44</f>
        <v>23.550205407471097</v>
      </c>
      <c r="J7" s="201">
        <f>I7*Imports_Fossil!$N$31/Imports_Fossil!$M$31</f>
        <v>27.073464484179372</v>
      </c>
      <c r="K7" s="201">
        <f>I7*Imports_Fossil!$O$31/Imports_Fossil!$M$31</f>
        <v>31.123825312521166</v>
      </c>
      <c r="L7" s="54"/>
      <c r="M7" s="261"/>
      <c r="O7" s="61"/>
      <c r="P7" s="60" t="s">
        <v>147</v>
      </c>
      <c r="Q7" s="60" t="s">
        <v>159</v>
      </c>
      <c r="R7" s="61" t="s">
        <v>11</v>
      </c>
      <c r="S7" s="467"/>
      <c r="T7" s="74"/>
      <c r="U7" s="54"/>
      <c r="V7" s="467"/>
    </row>
    <row r="8" spans="2:22">
      <c r="B8" s="135" t="str">
        <f>Imports_Bio!P8</f>
        <v>IMPBIOETH1G4</v>
      </c>
      <c r="C8" s="135" t="str">
        <f>Imports_Bio!Q8</f>
        <v>Import of BIOETH1G - RSV 4</v>
      </c>
      <c r="D8" s="135" t="str">
        <f>Commodities!$C$28</f>
        <v>BIOETH1G</v>
      </c>
      <c r="E8" s="147">
        <f>'SEAI-AEA_BioData'!$J$12</f>
        <v>18.606095347281933</v>
      </c>
      <c r="F8" s="147">
        <f>$E$8*'SEAI-AEA_BioData'!Q55</f>
        <v>20.636285468615647</v>
      </c>
      <c r="G8" s="147">
        <f>$E$8*'SEAI-AEA_BioData'!R55</f>
        <v>22.714244769274863</v>
      </c>
      <c r="H8" s="147">
        <f>$E$8*'SEAI-AEA_BioData'!S55</f>
        <v>25.174357504538072</v>
      </c>
      <c r="I8" s="147">
        <f>$E$8*'SEAI-AEA_BioData'!T55</f>
        <v>28.757045953950509</v>
      </c>
      <c r="J8" s="147">
        <f>I8*Imports_Fossil!$N$31/Imports_Fossil!$M$31</f>
        <v>33.059281175407669</v>
      </c>
      <c r="K8" s="147">
        <f>I8*Imports_Fossil!$O$31/Imports_Fossil!$M$31</f>
        <v>38.005157886689133</v>
      </c>
      <c r="L8" s="135"/>
      <c r="M8" s="261"/>
      <c r="O8" s="61"/>
      <c r="P8" s="60" t="s">
        <v>148</v>
      </c>
      <c r="Q8" s="60" t="s">
        <v>160</v>
      </c>
      <c r="R8" s="61" t="s">
        <v>11</v>
      </c>
      <c r="U8" s="54"/>
    </row>
    <row r="9" spans="2:22">
      <c r="B9" s="55" t="str">
        <f>Imports_Bio!P9</f>
        <v>IMPBIODST1G1</v>
      </c>
      <c r="C9" s="54" t="str">
        <f>Imports_Bio!Q9</f>
        <v>Import of BIODST1G - RSV 1</v>
      </c>
      <c r="D9" s="54" t="str">
        <f>Commodities!$C$30</f>
        <v>BIODST1G</v>
      </c>
      <c r="E9" s="201">
        <f>'SEAI-AEA_BioData'!$J$14</f>
        <v>28.876468902264257</v>
      </c>
      <c r="F9" s="201">
        <f>$E$9*'SEAI-AEA_BioData'!Q25</f>
        <v>31.360466227190212</v>
      </c>
      <c r="G9" s="201">
        <f>$E$9*'SEAI-AEA_BioData'!R25</f>
        <v>33.175695041559187</v>
      </c>
      <c r="H9" s="201">
        <f>$E$9*'SEAI-AEA_BioData'!S25</f>
        <v>31.862042610107956</v>
      </c>
      <c r="I9" s="201">
        <f>$E$9*'SEAI-AEA_BioData'!T25</f>
        <v>31.336581637527466</v>
      </c>
      <c r="J9" s="201">
        <f>$I9</f>
        <v>31.336581637527466</v>
      </c>
      <c r="K9" s="201">
        <f>$I9</f>
        <v>31.336581637527466</v>
      </c>
      <c r="L9" s="54"/>
      <c r="M9" s="261"/>
      <c r="O9" s="61"/>
      <c r="P9" s="61" t="s">
        <v>149</v>
      </c>
      <c r="Q9" s="61" t="s">
        <v>153</v>
      </c>
      <c r="R9" s="61" t="s">
        <v>11</v>
      </c>
      <c r="U9" s="54"/>
    </row>
    <row r="10" spans="2:22">
      <c r="B10" s="55" t="str">
        <f>Imports_Bio!P10</f>
        <v>IMPBIODST1G2</v>
      </c>
      <c r="C10" s="54" t="str">
        <f>Imports_Bio!Q10</f>
        <v>Import of BIODST1G - RSV 2</v>
      </c>
      <c r="D10" s="54" t="str">
        <f>Commodities!$C$30</f>
        <v>BIODST1G</v>
      </c>
      <c r="E10" s="201">
        <f>'SEAI-AEA_BioData'!$J$14</f>
        <v>28.876468902264257</v>
      </c>
      <c r="F10" s="201">
        <f>$E$10*'SEAI-AEA_BioData'!Q35</f>
        <v>32.650234068978691</v>
      </c>
      <c r="G10" s="201">
        <f>$E$10*'SEAI-AEA_BioData'!R35</f>
        <v>35.826884494124393</v>
      </c>
      <c r="H10" s="201">
        <f>$E$10*'SEAI-AEA_BioData'!S35</f>
        <v>35.97019203210089</v>
      </c>
      <c r="I10" s="201">
        <f>$E$10*'SEAI-AEA_BioData'!T35</f>
        <v>37.021113977261869</v>
      </c>
      <c r="J10" s="201">
        <f>I10*Imports_Fossil!$N$31/Imports_Fossil!$M$31</f>
        <v>42.559705832127818</v>
      </c>
      <c r="K10" s="201">
        <f>I10*Imports_Fossil!$O$31/Imports_Fossil!$M$31</f>
        <v>48.9269059172493</v>
      </c>
      <c r="L10" s="54"/>
      <c r="M10" s="261"/>
      <c r="O10" s="61"/>
      <c r="P10" s="61" t="s">
        <v>150</v>
      </c>
      <c r="Q10" s="61" t="s">
        <v>154</v>
      </c>
      <c r="R10" s="61" t="s">
        <v>11</v>
      </c>
      <c r="U10" s="54"/>
    </row>
    <row r="11" spans="2:22">
      <c r="B11" s="55" t="str">
        <f>Imports_Bio!P11</f>
        <v>IMPBIODST1G3</v>
      </c>
      <c r="C11" s="54" t="str">
        <f>Imports_Bio!Q11</f>
        <v>Import of BIODST1G - RSV 3</v>
      </c>
      <c r="D11" s="54" t="str">
        <f>Commodities!$C$30</f>
        <v>BIODST1G</v>
      </c>
      <c r="E11" s="201">
        <f>'SEAI-AEA_BioData'!$J$14</f>
        <v>28.876468902264257</v>
      </c>
      <c r="F11" s="201">
        <f>$E$11*'SEAI-AEA_BioData'!Q46</f>
        <v>33.916117321104423</v>
      </c>
      <c r="G11" s="201">
        <f>$E$11*'SEAI-AEA_BioData'!R46</f>
        <v>38.334766408713094</v>
      </c>
      <c r="H11" s="201">
        <f>$E$11*'SEAI-AEA_BioData'!S46</f>
        <v>40.460494888697809</v>
      </c>
      <c r="I11" s="201">
        <f>$E$11*'SEAI-AEA_BioData'!T46</f>
        <v>43.756568262157252</v>
      </c>
      <c r="J11" s="201">
        <f>I11*Imports_Fossil!$N$31/Imports_Fossil!$M$31</f>
        <v>50.302826506102036</v>
      </c>
      <c r="K11" s="201">
        <f>I11*Imports_Fossil!$O$31/Imports_Fossil!$M$31</f>
        <v>57.828446219613369</v>
      </c>
      <c r="L11" s="54"/>
      <c r="M11" s="261"/>
      <c r="O11" s="61"/>
      <c r="P11" s="61" t="s">
        <v>151</v>
      </c>
      <c r="Q11" s="61" t="s">
        <v>155</v>
      </c>
      <c r="R11" s="61" t="s">
        <v>11</v>
      </c>
      <c r="U11" s="54"/>
    </row>
    <row r="12" spans="2:22">
      <c r="B12" s="135" t="str">
        <f>Imports_Bio!P12</f>
        <v>IMPBIODST1G4</v>
      </c>
      <c r="C12" s="135" t="str">
        <f>Imports_Bio!Q12</f>
        <v>Import of BIODST1G - RSV 4</v>
      </c>
      <c r="D12" s="135" t="str">
        <f>Commodities!$C$30</f>
        <v>BIODST1G</v>
      </c>
      <c r="E12" s="147">
        <f>'SEAI-AEA_BioData'!$J$14</f>
        <v>28.876468902264257</v>
      </c>
      <c r="F12" s="147">
        <f>$E$12*'SEAI-AEA_BioData'!Q57</f>
        <v>35.540269418171391</v>
      </c>
      <c r="G12" s="147">
        <f>$E$12*'SEAI-AEA_BioData'!R57</f>
        <v>41.917454858125538</v>
      </c>
      <c r="H12" s="147">
        <f>$E$12*'SEAI-AEA_BioData'!S57</f>
        <v>46.527180663036205</v>
      </c>
      <c r="I12" s="147">
        <f>$E$12*'SEAI-AEA_BioData'!T57</f>
        <v>52.832712334002096</v>
      </c>
      <c r="J12" s="147">
        <f>I12*Imports_Fossil!$N$31/Imports_Fossil!$M$31</f>
        <v>60.736818903655944</v>
      </c>
      <c r="K12" s="147">
        <f>I12*Imports_Fossil!$O$31/Imports_Fossil!$M$31</f>
        <v>69.823429605777719</v>
      </c>
      <c r="L12" s="135"/>
      <c r="M12" s="261"/>
      <c r="O12" s="61"/>
      <c r="P12" s="61" t="s">
        <v>152</v>
      </c>
      <c r="Q12" s="61" t="s">
        <v>156</v>
      </c>
      <c r="R12" s="61" t="s">
        <v>11</v>
      </c>
      <c r="U12" s="54"/>
    </row>
    <row r="13" spans="2:22">
      <c r="B13" s="55" t="str">
        <f>Imports_Bio!P13</f>
        <v>IMPBIOWPE1</v>
      </c>
      <c r="C13" s="54" t="str">
        <f>Imports_Bio!Q13</f>
        <v>Import of Wood Pellets - RSV 1</v>
      </c>
      <c r="D13" s="54" t="str">
        <f>Commodities!$C$35</f>
        <v>BIOWPE</v>
      </c>
      <c r="E13" s="201">
        <f>'SEAI-AEA_BioData'!$J$10</f>
        <v>14.09190790102226</v>
      </c>
      <c r="F13" s="201">
        <f>$E13*'SEAI-AEA_BioData'!Q21</f>
        <v>10.652526989586319</v>
      </c>
      <c r="G13" s="201">
        <f>$E13*'SEAI-AEA_BioData'!R21</f>
        <v>8.5029139199388553</v>
      </c>
      <c r="H13" s="201">
        <f>$E13*'SEAI-AEA_BioData'!S21</f>
        <v>7.2847998471386255</v>
      </c>
      <c r="I13" s="201">
        <f>$E13*'SEAI-AEA_BioData'!T21</f>
        <v>6.9504155918601311</v>
      </c>
      <c r="J13" s="201">
        <f t="shared" ref="J13:K20" si="0">$I13</f>
        <v>6.9504155918601311</v>
      </c>
      <c r="K13" s="201">
        <f t="shared" si="0"/>
        <v>6.9504155918601311</v>
      </c>
      <c r="L13" s="54"/>
      <c r="M13" s="261"/>
      <c r="O13" s="61"/>
      <c r="P13" s="492" t="s">
        <v>110</v>
      </c>
      <c r="Q13" s="61" t="s">
        <v>108</v>
      </c>
      <c r="R13" s="61" t="s">
        <v>11</v>
      </c>
      <c r="U13" s="54"/>
    </row>
    <row r="14" spans="2:22">
      <c r="B14" s="55" t="str">
        <f>Imports_Bio!P14</f>
        <v>IMPBIOWPE2</v>
      </c>
      <c r="C14" s="54" t="str">
        <f>Imports_Bio!Q14</f>
        <v>Import of Wood Pellets - RSV 2</v>
      </c>
      <c r="D14" s="54" t="str">
        <f>Commodities!$C$35</f>
        <v>BIOWPE</v>
      </c>
      <c r="E14" s="201">
        <f>'SEAI-AEA_BioData'!$J$10</f>
        <v>14.09190790102226</v>
      </c>
      <c r="F14" s="201">
        <f>$E14*'SEAI-AEA_BioData'!Q42</f>
        <v>11.034680424190311</v>
      </c>
      <c r="G14" s="201">
        <f>$E14*'SEAI-AEA_BioData'!R42</f>
        <v>9.0522594821820963</v>
      </c>
      <c r="H14" s="201">
        <f>$E14*'SEAI-AEA_BioData'!S42</f>
        <v>8.0729913060093619</v>
      </c>
      <c r="I14" s="201">
        <f>$E14*'SEAI-AEA_BioData'!T42</f>
        <v>7.9057991783701143</v>
      </c>
      <c r="J14" s="201">
        <f t="shared" si="0"/>
        <v>7.9057991783701143</v>
      </c>
      <c r="K14" s="201">
        <f t="shared" si="0"/>
        <v>7.9057991783701143</v>
      </c>
      <c r="L14" s="54"/>
      <c r="M14" s="261"/>
      <c r="O14" s="61"/>
      <c r="P14" s="492" t="s">
        <v>111</v>
      </c>
      <c r="Q14" s="61" t="s">
        <v>105</v>
      </c>
      <c r="R14" s="61" t="s">
        <v>11</v>
      </c>
      <c r="U14" s="54"/>
    </row>
    <row r="15" spans="2:22">
      <c r="B15" s="55" t="str">
        <f>Imports_Bio!P15</f>
        <v>IMPBIOWPE3</v>
      </c>
      <c r="C15" s="54" t="str">
        <f>Imports_Bio!Q15</f>
        <v>Import of Wood Pellets - RSV 3</v>
      </c>
      <c r="D15" s="54" t="str">
        <f>Commodities!$C$35</f>
        <v>BIOWPE</v>
      </c>
      <c r="E15" s="201">
        <f>'SEAI-AEA_BioData'!$J$10</f>
        <v>14.09190790102226</v>
      </c>
      <c r="F15" s="201">
        <f>$E15+'SEAI-AEA_BioData'!Q31</f>
        <v>14.963094341700227</v>
      </c>
      <c r="G15" s="201">
        <f>$E15+'SEAI-AEA_BioData'!R31</f>
        <v>14.808857053564633</v>
      </c>
      <c r="H15" s="201">
        <f>$E15+'SEAI-AEA_BioData'!S31</f>
        <v>14.725806206107006</v>
      </c>
      <c r="I15" s="201">
        <f>$E15+'SEAI-AEA_BioData'!T31</f>
        <v>14.713941799327346</v>
      </c>
      <c r="J15" s="201">
        <f t="shared" si="0"/>
        <v>14.713941799327346</v>
      </c>
      <c r="K15" s="201">
        <f t="shared" si="0"/>
        <v>14.713941799327346</v>
      </c>
      <c r="L15" s="54"/>
      <c r="M15" s="261"/>
      <c r="O15" s="61"/>
      <c r="P15" s="492" t="s">
        <v>112</v>
      </c>
      <c r="Q15" s="61" t="s">
        <v>106</v>
      </c>
      <c r="R15" s="61" t="s">
        <v>11</v>
      </c>
      <c r="U15" s="54"/>
    </row>
    <row r="16" spans="2:22">
      <c r="B16" s="135" t="str">
        <f>Imports_Bio!P16</f>
        <v>IMPBIOWPE4</v>
      </c>
      <c r="C16" s="135" t="str">
        <f>Imports_Bio!Q16</f>
        <v>Import of Wood Pellets - RSV 4</v>
      </c>
      <c r="D16" s="135" t="str">
        <f>Commodities!$C$35</f>
        <v>BIOWPE</v>
      </c>
      <c r="E16" s="147">
        <f>'SEAI-AEA_BioData'!$J$10</f>
        <v>14.09190790102226</v>
      </c>
      <c r="F16" s="147">
        <f>$E16+'SEAI-AEA_BioData'!Q53</f>
        <v>14.99868756203921</v>
      </c>
      <c r="G16" s="147">
        <f>$E16+'SEAI-AEA_BioData'!R53</f>
        <v>14.858009595937514</v>
      </c>
      <c r="H16" s="147">
        <f>$E16+'SEAI-AEA_BioData'!S53</f>
        <v>14.800382477293446</v>
      </c>
      <c r="I16" s="147">
        <f>$E16+'SEAI-AEA_BioData'!T53</f>
        <v>14.805467223056159</v>
      </c>
      <c r="J16" s="147">
        <f t="shared" si="0"/>
        <v>14.805467223056159</v>
      </c>
      <c r="K16" s="147">
        <f t="shared" si="0"/>
        <v>14.805467223056159</v>
      </c>
      <c r="L16" s="135"/>
      <c r="M16" s="261"/>
      <c r="O16" s="60"/>
      <c r="P16" s="468" t="s">
        <v>113</v>
      </c>
      <c r="Q16" s="60" t="s">
        <v>107</v>
      </c>
      <c r="R16" s="60" t="s">
        <v>11</v>
      </c>
      <c r="S16" s="270"/>
      <c r="T16" s="270"/>
      <c r="U16" s="54"/>
      <c r="V16" s="270"/>
    </row>
    <row r="17" spans="2:22">
      <c r="B17" s="55" t="str">
        <f>Imports_Bio!P17</f>
        <v>IMPBIOWCH1</v>
      </c>
      <c r="C17" s="54" t="str">
        <f>Imports_Bio!Q17</f>
        <v>Import of Wood Chip - RSV 1</v>
      </c>
      <c r="D17" s="54" t="str">
        <f>Commodities!$C$36</f>
        <v>BIOWCH</v>
      </c>
      <c r="E17" s="201">
        <f>'SEAI-AEA_BioData'!$J$8</f>
        <v>6.8787618228718825</v>
      </c>
      <c r="F17" s="201">
        <f>$E17*'SEAI-AEA_BioData'!Q19</f>
        <v>5.2068405464794116</v>
      </c>
      <c r="G17" s="201">
        <f>$E17*'SEAI-AEA_BioData'!R19</f>
        <v>4.1559186013184295</v>
      </c>
      <c r="H17" s="201">
        <f>$E17*'SEAI-AEA_BioData'!S19</f>
        <v>3.5588038597496894</v>
      </c>
      <c r="I17" s="201">
        <f>$E17*'SEAI-AEA_BioData'!T19</f>
        <v>3.3916117321104422</v>
      </c>
      <c r="J17" s="201">
        <f t="shared" si="0"/>
        <v>3.3916117321104422</v>
      </c>
      <c r="K17" s="201">
        <f t="shared" si="0"/>
        <v>3.3916117321104422</v>
      </c>
      <c r="L17" s="54"/>
      <c r="M17" s="261"/>
      <c r="O17" s="270"/>
      <c r="P17" s="60" t="s">
        <v>114</v>
      </c>
      <c r="Q17" s="60" t="s">
        <v>115</v>
      </c>
      <c r="R17" s="60" t="s">
        <v>11</v>
      </c>
      <c r="S17" s="270"/>
      <c r="T17" s="270"/>
      <c r="U17" s="54"/>
      <c r="V17" s="270"/>
    </row>
    <row r="18" spans="2:22">
      <c r="B18" s="55" t="str">
        <f>Imports_Bio!P18</f>
        <v>IMPBIOWCH2</v>
      </c>
      <c r="C18" s="54" t="str">
        <f>Imports_Bio!Q18</f>
        <v>Import of Wood Chip - RSV 2</v>
      </c>
      <c r="D18" s="54" t="str">
        <f>Commodities!$C$36</f>
        <v>BIOWCH</v>
      </c>
      <c r="E18" s="201">
        <f>'SEAI-AEA_BioData'!$J$8</f>
        <v>6.8787618228718825</v>
      </c>
      <c r="F18" s="201">
        <f>$E18*'SEAI-AEA_BioData'!Q40</f>
        <v>5.3979172637814079</v>
      </c>
      <c r="G18" s="201">
        <f>$E18*'SEAI-AEA_BioData'!R40</f>
        <v>4.4186490876086744</v>
      </c>
      <c r="H18" s="201">
        <f>$E18*'SEAI-AEA_BioData'!S40</f>
        <v>3.9409572943536824</v>
      </c>
      <c r="I18" s="201">
        <f>$E18*'SEAI-AEA_BioData'!T40</f>
        <v>3.8693035253654338</v>
      </c>
      <c r="J18" s="201">
        <f t="shared" si="0"/>
        <v>3.8693035253654338</v>
      </c>
      <c r="K18" s="201">
        <f t="shared" si="0"/>
        <v>3.8693035253654338</v>
      </c>
      <c r="L18" s="54"/>
      <c r="M18" s="261"/>
      <c r="O18" s="270"/>
      <c r="P18" s="60" t="s">
        <v>116</v>
      </c>
      <c r="Q18" s="60" t="s">
        <v>117</v>
      </c>
      <c r="R18" s="60" t="s">
        <v>11</v>
      </c>
      <c r="S18" s="270"/>
      <c r="T18" s="270"/>
      <c r="U18" s="54"/>
      <c r="V18" s="270"/>
    </row>
    <row r="19" spans="2:22">
      <c r="B19" s="55" t="str">
        <f>Imports_Bio!P19</f>
        <v>IMPBIOWCH3</v>
      </c>
      <c r="C19" s="54" t="str">
        <f>Imports_Bio!Q19</f>
        <v>Import of Wood Chip - RSV 3</v>
      </c>
      <c r="D19" s="54" t="str">
        <f>Commodities!$C$36</f>
        <v>BIOWCH</v>
      </c>
      <c r="E19" s="201">
        <f>'SEAI-AEA_BioData'!$J$8</f>
        <v>6.8787618228718825</v>
      </c>
      <c r="F19" s="201">
        <f>$E19*'SEAI-AEA_BioData'!Q29</f>
        <v>6.1383395433266452</v>
      </c>
      <c r="G19" s="201">
        <f>$E19*'SEAI-AEA_BioData'!R29</f>
        <v>5.039648418840164</v>
      </c>
      <c r="H19" s="201">
        <f>$E19*'SEAI-AEA_BioData'!S29</f>
        <v>4.4664182669341734</v>
      </c>
      <c r="I19" s="201">
        <f>$E19*'SEAI-AEA_BioData'!T29</f>
        <v>4.3708799082831753</v>
      </c>
      <c r="J19" s="201">
        <f t="shared" si="0"/>
        <v>4.3708799082831753</v>
      </c>
      <c r="K19" s="201">
        <f t="shared" si="0"/>
        <v>4.3708799082831753</v>
      </c>
      <c r="L19" s="54"/>
      <c r="M19" s="261"/>
      <c r="O19" s="270"/>
      <c r="P19" s="60" t="s">
        <v>118</v>
      </c>
      <c r="Q19" s="60" t="s">
        <v>120</v>
      </c>
      <c r="R19" s="60" t="s">
        <v>11</v>
      </c>
      <c r="S19" s="270"/>
      <c r="T19" s="270"/>
      <c r="U19" s="54"/>
      <c r="V19" s="270"/>
    </row>
    <row r="20" spans="2:22">
      <c r="B20" s="135" t="str">
        <f>Imports_Bio!P20</f>
        <v>IMPBIOWCH4</v>
      </c>
      <c r="C20" s="135" t="str">
        <f>Imports_Bio!Q20</f>
        <v>Import of Wood Chip - RSV 4</v>
      </c>
      <c r="D20" s="135" t="str">
        <f>Commodities!$C$36</f>
        <v>BIOWCH</v>
      </c>
      <c r="E20" s="147">
        <f>'SEAI-AEA_BioData'!$J$8</f>
        <v>6.8787618228718825</v>
      </c>
      <c r="F20" s="147">
        <f>$E20*'SEAI-AEA_BioData'!Q51</f>
        <v>6.3771854399541414</v>
      </c>
      <c r="G20" s="147">
        <f>$E20*'SEAI-AEA_BioData'!R51</f>
        <v>5.3979172637814079</v>
      </c>
      <c r="H20" s="147">
        <f>$E20*'SEAI-AEA_BioData'!S51</f>
        <v>4.9918792395146649</v>
      </c>
      <c r="I20" s="147">
        <f>$E20*'SEAI-AEA_BioData'!T51</f>
        <v>5.039648418840164</v>
      </c>
      <c r="J20" s="147">
        <f t="shared" si="0"/>
        <v>5.039648418840164</v>
      </c>
      <c r="K20" s="147">
        <f t="shared" si="0"/>
        <v>5.039648418840164</v>
      </c>
      <c r="L20" s="135"/>
      <c r="M20" s="261"/>
      <c r="O20" s="65"/>
      <c r="P20" s="485" t="s">
        <v>119</v>
      </c>
      <c r="Q20" s="485" t="s">
        <v>121</v>
      </c>
      <c r="R20" s="485" t="s">
        <v>11</v>
      </c>
      <c r="S20" s="65"/>
      <c r="T20" s="65"/>
      <c r="U20" s="135"/>
      <c r="V20" s="65"/>
    </row>
    <row r="21" spans="2:22">
      <c r="B21" s="197"/>
      <c r="C21" s="54"/>
      <c r="D21" s="54"/>
      <c r="E21" s="138"/>
      <c r="F21" s="197"/>
      <c r="G21" s="197"/>
      <c r="H21" s="197"/>
      <c r="I21" s="197"/>
      <c r="J21" s="197"/>
      <c r="K21" s="197"/>
      <c r="L21" s="197"/>
    </row>
    <row r="22" spans="2:22" ht="25.5">
      <c r="B22" s="18" t="s">
        <v>222</v>
      </c>
      <c r="C22" s="18"/>
      <c r="D22" s="32" t="s">
        <v>221</v>
      </c>
      <c r="E22" s="138"/>
      <c r="F22" s="197"/>
      <c r="G22" s="197"/>
      <c r="H22" s="197"/>
      <c r="I22" s="197"/>
      <c r="J22" s="197"/>
      <c r="K22" s="197"/>
      <c r="M22" s="264" t="s">
        <v>315</v>
      </c>
      <c r="N22" s="262"/>
      <c r="O22" s="262"/>
      <c r="P22" s="262"/>
      <c r="Q22" s="262"/>
    </row>
    <row r="23" spans="2:22">
      <c r="B23" s="36" t="s">
        <v>2</v>
      </c>
      <c r="C23" s="36" t="s">
        <v>3</v>
      </c>
      <c r="D23" s="36" t="s">
        <v>81</v>
      </c>
      <c r="E23" s="59" t="s">
        <v>562</v>
      </c>
      <c r="F23" s="59" t="s">
        <v>223</v>
      </c>
      <c r="G23" s="59" t="s">
        <v>224</v>
      </c>
      <c r="H23" s="59" t="s">
        <v>225</v>
      </c>
      <c r="I23" s="59" t="s">
        <v>226</v>
      </c>
      <c r="J23" s="199" t="s">
        <v>138</v>
      </c>
      <c r="K23" s="197"/>
      <c r="M23" s="498" t="s">
        <v>316</v>
      </c>
    </row>
    <row r="24" spans="2:22" ht="14.65" thickBot="1">
      <c r="B24" s="27" t="s">
        <v>104</v>
      </c>
      <c r="C24" s="27" t="s">
        <v>90</v>
      </c>
      <c r="D24" s="27" t="s">
        <v>91</v>
      </c>
      <c r="E24" s="24" t="s">
        <v>92</v>
      </c>
      <c r="F24" s="24" t="s">
        <v>92</v>
      </c>
      <c r="G24" s="24" t="s">
        <v>92</v>
      </c>
      <c r="H24" s="24" t="s">
        <v>92</v>
      </c>
      <c r="I24" s="24" t="s">
        <v>92</v>
      </c>
      <c r="J24" s="200"/>
      <c r="K24" s="197"/>
      <c r="M24" s="263"/>
      <c r="N24" s="263"/>
      <c r="O24" s="496" t="s">
        <v>317</v>
      </c>
      <c r="P24" s="496"/>
      <c r="Q24" s="496" t="s">
        <v>318</v>
      </c>
    </row>
    <row r="25" spans="2:22" ht="14.65" thickBot="1">
      <c r="B25" s="139" t="str">
        <f t="shared" ref="B25:C25" si="1">B13</f>
        <v>IMPBIOWPE1</v>
      </c>
      <c r="C25" s="139" t="str">
        <f t="shared" si="1"/>
        <v>Import of Wood Pellets - RSV 1</v>
      </c>
      <c r="D25" s="54" t="str">
        <f>Commodities!$C$35</f>
        <v>BIOWPE</v>
      </c>
      <c r="E25" s="202">
        <f t="shared" ref="E25:E32" si="2">SUM($O$25:$Q$25)</f>
        <v>4.8499999999999996</v>
      </c>
      <c r="F25" s="202">
        <f>SUM($O$25:$P$25)+$Q$25*(Imports_Fossil!L$31/Imports_Fossil!$D$31)</f>
        <v>4.1959971466765573</v>
      </c>
      <c r="G25" s="202">
        <f>SUM($O$25:$P$25)+$Q$25*(Imports_Fossil!M$31/Imports_Fossil!$D$31)</f>
        <v>5.1596541174136927</v>
      </c>
      <c r="H25" s="202">
        <f>SUM($O$25:$P$25)+$Q$25*(Imports_Fossil!N$31/Imports_Fossil!$D$31)</f>
        <v>5.5665315050582613</v>
      </c>
      <c r="I25" s="202">
        <f>SUM($O$25:$P$25)+$Q$25*(Imports_Fossil!O$31/Imports_Fossil!$D$31)</f>
        <v>6.0342803129016236</v>
      </c>
      <c r="J25" s="544" t="s">
        <v>227</v>
      </c>
      <c r="K25" s="197"/>
      <c r="M25" s="272" t="s">
        <v>319</v>
      </c>
      <c r="N25" s="493" t="s">
        <v>320</v>
      </c>
      <c r="O25" s="469">
        <v>0.53</v>
      </c>
      <c r="P25" s="469">
        <v>1.91</v>
      </c>
      <c r="Q25" s="469">
        <v>2.41</v>
      </c>
    </row>
    <row r="26" spans="2:22">
      <c r="B26" s="53" t="str">
        <f t="shared" ref="B26:C26" si="3">B14</f>
        <v>IMPBIOWPE2</v>
      </c>
      <c r="C26" s="53" t="str">
        <f t="shared" si="3"/>
        <v>Import of Wood Pellets - RSV 2</v>
      </c>
      <c r="D26" s="54" t="str">
        <f>Commodities!$C$35</f>
        <v>BIOWPE</v>
      </c>
      <c r="E26" s="266">
        <f t="shared" si="2"/>
        <v>4.8499999999999996</v>
      </c>
      <c r="F26" s="266">
        <f>SUM($O$25:$P$25)+$Q$25*(Imports_Fossil!L$31/Imports_Fossil!$D$31)</f>
        <v>4.1959971466765573</v>
      </c>
      <c r="G26" s="266">
        <f>SUM($O$25:$P$25)+$Q$25*(Imports_Fossil!M$31/Imports_Fossil!$D$31)</f>
        <v>5.1596541174136927</v>
      </c>
      <c r="H26" s="266">
        <f>SUM($O$25:$P$25)+$Q$25*(Imports_Fossil!N$31/Imports_Fossil!$D$31)</f>
        <v>5.5665315050582613</v>
      </c>
      <c r="I26" s="266">
        <f>SUM($O$25:$P$25)+$Q$25*(Imports_Fossil!O$31/Imports_Fossil!$D$31)</f>
        <v>6.0342803129016236</v>
      </c>
      <c r="J26" s="545"/>
      <c r="K26" s="197"/>
      <c r="L26" s="268"/>
      <c r="M26" s="494"/>
      <c r="N26" s="479"/>
      <c r="O26" s="479"/>
      <c r="P26" s="479"/>
    </row>
    <row r="27" spans="2:22">
      <c r="B27" s="53" t="str">
        <f t="shared" ref="B27:C27" si="4">B15</f>
        <v>IMPBIOWPE3</v>
      </c>
      <c r="C27" s="53" t="str">
        <f t="shared" si="4"/>
        <v>Import of Wood Pellets - RSV 3</v>
      </c>
      <c r="D27" s="54" t="str">
        <f>Commodities!$C$35</f>
        <v>BIOWPE</v>
      </c>
      <c r="E27" s="266">
        <f t="shared" si="2"/>
        <v>4.8499999999999996</v>
      </c>
      <c r="F27" s="266">
        <f>SUM($O$25:$P$25)+$Q$25*(Imports_Fossil!L$31/Imports_Fossil!$D$31)</f>
        <v>4.1959971466765573</v>
      </c>
      <c r="G27" s="266">
        <f>SUM($O$25:$P$25)+$Q$25*(Imports_Fossil!M$31/Imports_Fossil!$D$31)</f>
        <v>5.1596541174136927</v>
      </c>
      <c r="H27" s="266">
        <f>SUM($O$25:$P$25)+$Q$25*(Imports_Fossil!N$31/Imports_Fossil!$D$31)</f>
        <v>5.5665315050582613</v>
      </c>
      <c r="I27" s="266">
        <f>SUM($O$25:$P$25)+$Q$25*(Imports_Fossil!O$31/Imports_Fossil!$D$31)</f>
        <v>6.0342803129016236</v>
      </c>
      <c r="J27" s="545"/>
      <c r="K27" s="197"/>
      <c r="L27" s="261"/>
      <c r="M27" s="270"/>
      <c r="N27" s="270"/>
      <c r="O27" s="270"/>
      <c r="P27" s="270"/>
      <c r="Q27" s="270"/>
    </row>
    <row r="28" spans="2:22">
      <c r="B28" s="141" t="str">
        <f t="shared" ref="B28:C28" si="5">B16</f>
        <v>IMPBIOWPE4</v>
      </c>
      <c r="C28" s="141" t="str">
        <f t="shared" si="5"/>
        <v>Import of Wood Pellets - RSV 4</v>
      </c>
      <c r="D28" s="135" t="str">
        <f>Commodities!$C$35</f>
        <v>BIOWPE</v>
      </c>
      <c r="E28" s="267">
        <f t="shared" si="2"/>
        <v>4.8499999999999996</v>
      </c>
      <c r="F28" s="267">
        <f>SUM($O$25:$P$25)+$Q$25*(Imports_Fossil!L$31/Imports_Fossil!$D$31)</f>
        <v>4.1959971466765573</v>
      </c>
      <c r="G28" s="267">
        <f>SUM($O$25:$P$25)+$Q$25*(Imports_Fossil!M$31/Imports_Fossil!$D$31)</f>
        <v>5.1596541174136927</v>
      </c>
      <c r="H28" s="267">
        <f>SUM($O$25:$P$25)+$Q$25*(Imports_Fossil!N$31/Imports_Fossil!$D$31)</f>
        <v>5.5665315050582613</v>
      </c>
      <c r="I28" s="267">
        <f>SUM($O$25:$P$25)+$Q$25*(Imports_Fossil!O$31/Imports_Fossil!$D$31)</f>
        <v>6.0342803129016236</v>
      </c>
      <c r="J28" s="545"/>
      <c r="K28" s="197"/>
      <c r="L28" s="197"/>
    </row>
    <row r="29" spans="2:22">
      <c r="B29" s="203" t="str">
        <f t="shared" ref="B29:C29" si="6">B17</f>
        <v>IMPBIOWCH1</v>
      </c>
      <c r="C29" s="203" t="str">
        <f t="shared" si="6"/>
        <v>Import of Wood Chip - RSV 1</v>
      </c>
      <c r="D29" s="54" t="str">
        <f>Commodities!$C$36</f>
        <v>BIOWCH</v>
      </c>
      <c r="E29" s="204">
        <f t="shared" si="2"/>
        <v>4.8499999999999996</v>
      </c>
      <c r="F29" s="204">
        <f>SUM($O$25:$P$25)+$Q$25*(Imports_Fossil!L$31/Imports_Fossil!$D$31)</f>
        <v>4.1959971466765573</v>
      </c>
      <c r="G29" s="204">
        <f>SUM($O$25:$P$25)+$Q$25*(Imports_Fossil!M$31/Imports_Fossil!$D$31)</f>
        <v>5.1596541174136927</v>
      </c>
      <c r="H29" s="204">
        <f>SUM($O$25:$P$25)+$Q$25*(Imports_Fossil!N$31/Imports_Fossil!$D$31)</f>
        <v>5.5665315050582613</v>
      </c>
      <c r="I29" s="204">
        <f>SUM($O$25:$P$25)+$Q$25*(Imports_Fossil!O$31/Imports_Fossil!$D$31)</f>
        <v>6.0342803129016236</v>
      </c>
      <c r="J29" s="545"/>
      <c r="K29" s="197"/>
      <c r="L29" s="197"/>
    </row>
    <row r="30" spans="2:22">
      <c r="B30" s="53" t="str">
        <f t="shared" ref="B30:C30" si="7">B18</f>
        <v>IMPBIOWCH2</v>
      </c>
      <c r="C30" s="53" t="str">
        <f t="shared" si="7"/>
        <v>Import of Wood Chip - RSV 2</v>
      </c>
      <c r="D30" s="54" t="str">
        <f>Commodities!$C$36</f>
        <v>BIOWCH</v>
      </c>
      <c r="E30" s="266">
        <f t="shared" si="2"/>
        <v>4.8499999999999996</v>
      </c>
      <c r="F30" s="266">
        <f>SUM($O$25:$P$25)+$Q$25*(Imports_Fossil!L$31/Imports_Fossil!$D$31)</f>
        <v>4.1959971466765573</v>
      </c>
      <c r="G30" s="266">
        <f>SUM($O$25:$P$25)+$Q$25*(Imports_Fossil!M$31/Imports_Fossil!$D$31)</f>
        <v>5.1596541174136927</v>
      </c>
      <c r="H30" s="266">
        <f>SUM($O$25:$P$25)+$Q$25*(Imports_Fossil!N$31/Imports_Fossil!$D$31)</f>
        <v>5.5665315050582613</v>
      </c>
      <c r="I30" s="266">
        <f>SUM($O$25:$P$25)+$Q$25*(Imports_Fossil!O$31/Imports_Fossil!$D$31)</f>
        <v>6.0342803129016236</v>
      </c>
      <c r="J30" s="545"/>
      <c r="K30" s="197"/>
      <c r="L30" s="197"/>
    </row>
    <row r="31" spans="2:22">
      <c r="B31" s="53" t="str">
        <f t="shared" ref="B31:C31" si="8">B19</f>
        <v>IMPBIOWCH3</v>
      </c>
      <c r="C31" s="53" t="str">
        <f t="shared" si="8"/>
        <v>Import of Wood Chip - RSV 3</v>
      </c>
      <c r="D31" s="54" t="str">
        <f>Commodities!$C$36</f>
        <v>BIOWCH</v>
      </c>
      <c r="E31" s="266">
        <f t="shared" si="2"/>
        <v>4.8499999999999996</v>
      </c>
      <c r="F31" s="266">
        <f>SUM($O$25:$P$25)+$Q$25*(Imports_Fossil!L$31/Imports_Fossil!$D$31)</f>
        <v>4.1959971466765573</v>
      </c>
      <c r="G31" s="266">
        <f>SUM($O$25:$P$25)+$Q$25*(Imports_Fossil!M$31/Imports_Fossil!$D$31)</f>
        <v>5.1596541174136927</v>
      </c>
      <c r="H31" s="266">
        <f>SUM($O$25:$P$25)+$Q$25*(Imports_Fossil!N$31/Imports_Fossil!$D$31)</f>
        <v>5.5665315050582613</v>
      </c>
      <c r="I31" s="266">
        <f>SUM($O$25:$P$25)+$Q$25*(Imports_Fossil!O$31/Imports_Fossil!$D$31)</f>
        <v>6.0342803129016236</v>
      </c>
      <c r="J31" s="545"/>
      <c r="K31" s="197"/>
      <c r="L31" s="197"/>
    </row>
    <row r="32" spans="2:22">
      <c r="B32" s="141" t="str">
        <f t="shared" ref="B32:C32" si="9">B20</f>
        <v>IMPBIOWCH4</v>
      </c>
      <c r="C32" s="141" t="str">
        <f t="shared" si="9"/>
        <v>Import of Wood Chip - RSV 4</v>
      </c>
      <c r="D32" s="135" t="str">
        <f>Commodities!$C$36</f>
        <v>BIOWCH</v>
      </c>
      <c r="E32" s="267">
        <f t="shared" si="2"/>
        <v>4.8499999999999996</v>
      </c>
      <c r="F32" s="267">
        <f>SUM($O$25:$P$25)+$Q$25*(Imports_Fossil!L$31/Imports_Fossil!$D$31)</f>
        <v>4.1959971466765573</v>
      </c>
      <c r="G32" s="267">
        <f>SUM($O$25:$P$25)+$Q$25*(Imports_Fossil!M$31/Imports_Fossil!$D$31)</f>
        <v>5.1596541174136927</v>
      </c>
      <c r="H32" s="267">
        <f>SUM($O$25:$P$25)+$Q$25*(Imports_Fossil!N$31/Imports_Fossil!$D$31)</f>
        <v>5.5665315050582613</v>
      </c>
      <c r="I32" s="267">
        <f>SUM($O$25:$P$25)+$Q$25*(Imports_Fossil!O$31/Imports_Fossil!$D$31)</f>
        <v>6.0342803129016236</v>
      </c>
      <c r="J32" s="546"/>
      <c r="K32" s="197"/>
      <c r="L32" s="197"/>
    </row>
    <row r="33" spans="2:24">
      <c r="B33" s="197"/>
      <c r="C33" s="54"/>
      <c r="D33" s="54"/>
      <c r="E33" s="138"/>
      <c r="F33" s="197"/>
      <c r="G33" s="197"/>
      <c r="H33" s="197"/>
      <c r="I33" s="197"/>
      <c r="J33" s="197"/>
      <c r="K33" s="197"/>
      <c r="L33" s="197"/>
    </row>
    <row r="34" spans="2:24">
      <c r="F34" s="60"/>
      <c r="G34" s="60"/>
      <c r="H34" s="61"/>
      <c r="I34" s="61"/>
      <c r="J34" s="271"/>
    </row>
    <row r="35" spans="2:24" ht="18">
      <c r="B35" s="18" t="s">
        <v>192</v>
      </c>
      <c r="C35" s="19"/>
      <c r="D35" s="32" t="s">
        <v>186</v>
      </c>
      <c r="H35" s="60"/>
      <c r="I35" s="60"/>
      <c r="J35" s="61"/>
      <c r="K35" s="61"/>
      <c r="L35" s="271"/>
    </row>
    <row r="36" spans="2:24">
      <c r="B36" s="36" t="s">
        <v>2</v>
      </c>
      <c r="C36" s="36" t="s">
        <v>3</v>
      </c>
      <c r="D36" s="36" t="s">
        <v>81</v>
      </c>
      <c r="E36" s="59">
        <v>2012</v>
      </c>
      <c r="F36" s="59">
        <v>2013</v>
      </c>
      <c r="G36" s="59">
        <v>2014</v>
      </c>
      <c r="H36" s="59">
        <v>2015</v>
      </c>
      <c r="I36" s="59">
        <v>2020</v>
      </c>
      <c r="J36" s="59">
        <v>2025</v>
      </c>
      <c r="K36" s="59">
        <v>2030</v>
      </c>
      <c r="L36" s="59">
        <v>2035</v>
      </c>
      <c r="M36" s="59">
        <v>2040</v>
      </c>
      <c r="N36" s="59">
        <v>2045</v>
      </c>
      <c r="O36" s="59">
        <v>2050</v>
      </c>
      <c r="P36" s="199" t="s">
        <v>138</v>
      </c>
      <c r="Q36" s="59"/>
      <c r="U36" s="498" t="s">
        <v>448</v>
      </c>
    </row>
    <row r="37" spans="2:24" ht="14.65" thickBot="1">
      <c r="B37" s="24" t="s">
        <v>104</v>
      </c>
      <c r="C37" s="24" t="s">
        <v>90</v>
      </c>
      <c r="D37" s="24" t="s">
        <v>91</v>
      </c>
      <c r="E37" s="24" t="s">
        <v>11</v>
      </c>
      <c r="F37" s="24"/>
      <c r="G37" s="24"/>
      <c r="H37" s="24" t="s">
        <v>11</v>
      </c>
      <c r="I37" s="24" t="s">
        <v>11</v>
      </c>
      <c r="J37" s="24" t="s">
        <v>11</v>
      </c>
      <c r="K37" s="24" t="s">
        <v>11</v>
      </c>
      <c r="L37" s="24" t="s">
        <v>11</v>
      </c>
      <c r="M37" s="24" t="s">
        <v>11</v>
      </c>
      <c r="N37" s="24" t="s">
        <v>11</v>
      </c>
      <c r="O37" s="24" t="s">
        <v>11</v>
      </c>
      <c r="P37" s="24"/>
      <c r="Q37" s="24"/>
      <c r="S37" s="480"/>
      <c r="U37" s="498" t="s">
        <v>449</v>
      </c>
    </row>
    <row r="38" spans="2:24">
      <c r="B38" s="139" t="str">
        <f>Imports_Bio!B5</f>
        <v>IMPBIOETH1G1</v>
      </c>
      <c r="C38" s="139" t="str">
        <f>Imports_Bio!C5</f>
        <v>Import of BIOETH1G - RSV 1</v>
      </c>
      <c r="D38" s="140" t="str">
        <f>Commodities!$C$28</f>
        <v>BIOETH1G</v>
      </c>
      <c r="E38" s="471">
        <f>SEAI_Bal!AG3*Conversions!$B$2*Imports_Bio!$S$38</f>
        <v>1.2451082375629909</v>
      </c>
      <c r="F38" s="471">
        <f>SEAI_Bal!AG31*Conversions!$B$2*Imports_Bio!$S$38</f>
        <v>1.524785114476352</v>
      </c>
      <c r="G38" s="471">
        <f>SEAI_Bal!AG59*Conversions!$B$2*Imports_Bio!$S$38</f>
        <v>1.7588693389598935</v>
      </c>
      <c r="H38" s="471">
        <f>SEAI_Bal!AG87*Conversions!$B$2*Imports_Bio!$S$38</f>
        <v>1.8805020863740487</v>
      </c>
      <c r="I38" s="149">
        <f>H38</f>
        <v>1.8805020863740487</v>
      </c>
      <c r="J38" s="149">
        <f t="shared" ref="J38:O38" si="10">I38</f>
        <v>1.8805020863740487</v>
      </c>
      <c r="K38" s="149">
        <f t="shared" si="10"/>
        <v>1.8805020863740487</v>
      </c>
      <c r="L38" s="149">
        <f t="shared" si="10"/>
        <v>1.8805020863740487</v>
      </c>
      <c r="M38" s="149">
        <f t="shared" si="10"/>
        <v>1.8805020863740487</v>
      </c>
      <c r="N38" s="149">
        <f t="shared" si="10"/>
        <v>1.8805020863740487</v>
      </c>
      <c r="O38" s="149">
        <f t="shared" si="10"/>
        <v>1.8805020863740487</v>
      </c>
      <c r="P38" s="162" t="s">
        <v>447</v>
      </c>
      <c r="Q38" s="149"/>
      <c r="S38" s="473">
        <f>X40/SUM(X39:X40)</f>
        <v>0.46300873094940176</v>
      </c>
      <c r="U38" s="498" t="s">
        <v>450</v>
      </c>
      <c r="V38" s="498" t="s">
        <v>406</v>
      </c>
      <c r="W38" s="498" t="s">
        <v>451</v>
      </c>
      <c r="X38" s="498">
        <v>2012</v>
      </c>
    </row>
    <row r="39" spans="2:24">
      <c r="B39" s="53" t="str">
        <f>Imports_Bio!B6</f>
        <v>IMPBIOETH1G2</v>
      </c>
      <c r="C39" s="53" t="str">
        <f>Imports_Bio!C6</f>
        <v>Import of BIOETH1G - RSV 2</v>
      </c>
      <c r="D39" s="55" t="str">
        <f>Commodities!$C$28</f>
        <v>BIOETH1G</v>
      </c>
      <c r="E39" s="476">
        <v>0</v>
      </c>
      <c r="F39" s="476">
        <v>0</v>
      </c>
      <c r="G39" s="476">
        <v>0</v>
      </c>
      <c r="H39" s="476">
        <v>0</v>
      </c>
      <c r="I39" s="146">
        <f>I38*2</f>
        <v>3.7610041727480974</v>
      </c>
      <c r="J39" s="146">
        <f t="shared" ref="J39:O40" si="11">J38*2</f>
        <v>3.7610041727480974</v>
      </c>
      <c r="K39" s="146">
        <f t="shared" si="11"/>
        <v>3.7610041727480974</v>
      </c>
      <c r="L39" s="146">
        <f t="shared" si="11"/>
        <v>3.7610041727480974</v>
      </c>
      <c r="M39" s="146">
        <f t="shared" si="11"/>
        <v>3.7610041727480974</v>
      </c>
      <c r="N39" s="146">
        <f t="shared" si="11"/>
        <v>3.7610041727480974</v>
      </c>
      <c r="O39" s="146">
        <f t="shared" si="11"/>
        <v>3.7610041727480974</v>
      </c>
      <c r="P39" s="163" t="s">
        <v>456</v>
      </c>
      <c r="Q39" s="146"/>
      <c r="S39" s="63"/>
      <c r="U39" s="498" t="s">
        <v>452</v>
      </c>
      <c r="V39" s="498" t="s">
        <v>453</v>
      </c>
      <c r="W39" s="498" t="s">
        <v>454</v>
      </c>
      <c r="X39" s="498">
        <v>1.8600597771716001</v>
      </c>
    </row>
    <row r="40" spans="2:24">
      <c r="B40" s="53" t="str">
        <f>Imports_Bio!B7</f>
        <v>IMPBIOETH1G3</v>
      </c>
      <c r="C40" s="53" t="str">
        <f>Imports_Bio!C7</f>
        <v>Import of BIOETH1G - RSV 3</v>
      </c>
      <c r="D40" s="55" t="str">
        <f>Commodities!$C$28</f>
        <v>BIOETH1G</v>
      </c>
      <c r="E40" s="476">
        <v>0</v>
      </c>
      <c r="F40" s="476">
        <v>0</v>
      </c>
      <c r="G40" s="476">
        <v>0</v>
      </c>
      <c r="H40" s="476">
        <v>0</v>
      </c>
      <c r="I40" s="146">
        <f>I39*2</f>
        <v>7.5220083454961948</v>
      </c>
      <c r="J40" s="146">
        <f t="shared" si="11"/>
        <v>7.5220083454961948</v>
      </c>
      <c r="K40" s="146">
        <f t="shared" si="11"/>
        <v>7.5220083454961948</v>
      </c>
      <c r="L40" s="146">
        <f t="shared" si="11"/>
        <v>7.5220083454961948</v>
      </c>
      <c r="M40" s="146">
        <f t="shared" si="11"/>
        <v>7.5220083454961948</v>
      </c>
      <c r="N40" s="146">
        <f t="shared" si="11"/>
        <v>7.5220083454961948</v>
      </c>
      <c r="O40" s="146">
        <f t="shared" si="11"/>
        <v>7.5220083454961948</v>
      </c>
      <c r="P40" s="163" t="s">
        <v>457</v>
      </c>
      <c r="Q40" s="146"/>
      <c r="S40" s="63"/>
      <c r="U40" s="498" t="s">
        <v>452</v>
      </c>
      <c r="V40" s="498" t="s">
        <v>453</v>
      </c>
      <c r="W40" s="498" t="s">
        <v>455</v>
      </c>
      <c r="X40" s="498">
        <v>1.6037950085127</v>
      </c>
    </row>
    <row r="41" spans="2:24">
      <c r="B41" s="141" t="str">
        <f>"*"&amp;Imports_Bio!B8</f>
        <v>*IMPBIOETH1G4</v>
      </c>
      <c r="C41" s="141" t="str">
        <f>Imports_Bio!C8</f>
        <v>Import of BIOETH1G - RSV 4</v>
      </c>
      <c r="D41" s="135" t="str">
        <f>Commodities!$C$28</f>
        <v>BIOETH1G</v>
      </c>
      <c r="E41" s="487">
        <v>0</v>
      </c>
      <c r="F41" s="487">
        <v>0</v>
      </c>
      <c r="G41" s="487">
        <v>0</v>
      </c>
      <c r="H41" s="487">
        <v>0</v>
      </c>
      <c r="I41" s="147">
        <v>27.064417978971818</v>
      </c>
      <c r="J41" s="147">
        <v>27.064417978971818</v>
      </c>
      <c r="K41" s="147">
        <v>27.064417978971818</v>
      </c>
      <c r="L41" s="147">
        <v>27.064417978971818</v>
      </c>
      <c r="M41" s="147">
        <v>27.064417978971818</v>
      </c>
      <c r="N41" s="147">
        <v>27.064417978971818</v>
      </c>
      <c r="O41" s="147">
        <v>27.064417978971818</v>
      </c>
      <c r="P41" s="164" t="s">
        <v>458</v>
      </c>
      <c r="Q41" s="147"/>
      <c r="S41" s="63"/>
    </row>
    <row r="42" spans="2:24" ht="14.65" thickBot="1">
      <c r="B42" s="142" t="s">
        <v>187</v>
      </c>
      <c r="C42" s="142"/>
      <c r="D42" s="143"/>
      <c r="E42" s="150"/>
      <c r="F42" s="150"/>
      <c r="G42" s="150"/>
      <c r="H42" s="150"/>
      <c r="I42" s="150">
        <f>J42</f>
        <v>59.810866344000004</v>
      </c>
      <c r="J42" s="150">
        <f>K42</f>
        <v>59.810866344000004</v>
      </c>
      <c r="K42" s="150">
        <f>'SEAI-AEA_BioData'!G54*Conversions!$B$2/1000</f>
        <v>59.810866344000004</v>
      </c>
      <c r="L42" s="150">
        <f>K42</f>
        <v>59.810866344000004</v>
      </c>
      <c r="M42" s="150">
        <f t="shared" ref="M42:O42" si="12">L42</f>
        <v>59.810866344000004</v>
      </c>
      <c r="N42" s="150">
        <f t="shared" si="12"/>
        <v>59.810866344000004</v>
      </c>
      <c r="O42" s="150">
        <f t="shared" si="12"/>
        <v>59.810866344000004</v>
      </c>
      <c r="P42" s="165" t="s">
        <v>190</v>
      </c>
      <c r="Q42" s="150"/>
      <c r="S42" s="63"/>
    </row>
    <row r="43" spans="2:24">
      <c r="B43" s="139" t="str">
        <f>Imports_Bio!B9</f>
        <v>IMPBIODST1G1</v>
      </c>
      <c r="C43" s="139" t="str">
        <f>Imports_Bio!C9</f>
        <v>Import of BIODST1G - RSV 1</v>
      </c>
      <c r="D43" s="140" t="str">
        <f>Commodities!$C$30</f>
        <v>BIODST1G</v>
      </c>
      <c r="E43" s="471">
        <f>SEAI_Bal!AG3*Conversions!$B$2*Imports_Bio!$S$43</f>
        <v>1.444059707520658</v>
      </c>
      <c r="F43" s="471">
        <f>SEAI_Bal!AG31*Conversions!$B$2*Imports_Bio!$S$43</f>
        <v>1.768425169808725</v>
      </c>
      <c r="G43" s="471">
        <f>SEAI_Bal!AG59*Conversions!$B$2*Imports_Bio!$S$43</f>
        <v>2.0399128899482375</v>
      </c>
      <c r="H43" s="471">
        <f>SEAI_Bal!AG87*Conversions!$B$2*Imports_Bio!$S$43</f>
        <v>2.1809809066530366</v>
      </c>
      <c r="I43" s="149">
        <f>H43</f>
        <v>2.1809809066530366</v>
      </c>
      <c r="J43" s="149">
        <f t="shared" ref="J43:O43" si="13">I43</f>
        <v>2.1809809066530366</v>
      </c>
      <c r="K43" s="149">
        <f t="shared" si="13"/>
        <v>2.1809809066530366</v>
      </c>
      <c r="L43" s="149">
        <f t="shared" si="13"/>
        <v>2.1809809066530366</v>
      </c>
      <c r="M43" s="149">
        <f t="shared" si="13"/>
        <v>2.1809809066530366</v>
      </c>
      <c r="N43" s="149">
        <f t="shared" si="13"/>
        <v>2.1809809066530366</v>
      </c>
      <c r="O43" s="149">
        <f t="shared" si="13"/>
        <v>2.1809809066530366</v>
      </c>
      <c r="P43" s="162" t="s">
        <v>447</v>
      </c>
      <c r="Q43" s="149"/>
      <c r="S43" s="470">
        <f>1-S38</f>
        <v>0.53699126905059824</v>
      </c>
    </row>
    <row r="44" spans="2:24">
      <c r="B44" s="53" t="str">
        <f>Imports_Bio!B10</f>
        <v>IMPBIODST1G2</v>
      </c>
      <c r="C44" s="53" t="str">
        <f>Imports_Bio!C10</f>
        <v>Import of BIODST1G - RSV 2</v>
      </c>
      <c r="D44" s="55" t="str">
        <f>Commodities!$C$30</f>
        <v>BIODST1G</v>
      </c>
      <c r="E44" s="476">
        <v>0</v>
      </c>
      <c r="F44" s="476">
        <v>0</v>
      </c>
      <c r="G44" s="476">
        <v>0</v>
      </c>
      <c r="H44" s="476">
        <v>0</v>
      </c>
      <c r="I44" s="146">
        <f>I43*2</f>
        <v>4.3619618133060731</v>
      </c>
      <c r="J44" s="146">
        <f t="shared" ref="J44:O45" si="14">J43*2</f>
        <v>4.3619618133060731</v>
      </c>
      <c r="K44" s="146">
        <f t="shared" si="14"/>
        <v>4.3619618133060731</v>
      </c>
      <c r="L44" s="146">
        <f t="shared" si="14"/>
        <v>4.3619618133060731</v>
      </c>
      <c r="M44" s="146">
        <f t="shared" si="14"/>
        <v>4.3619618133060731</v>
      </c>
      <c r="N44" s="146">
        <f t="shared" si="14"/>
        <v>4.3619618133060731</v>
      </c>
      <c r="O44" s="146">
        <f t="shared" si="14"/>
        <v>4.3619618133060731</v>
      </c>
      <c r="P44" s="163" t="s">
        <v>456</v>
      </c>
      <c r="Q44" s="146"/>
      <c r="S44" s="63"/>
    </row>
    <row r="45" spans="2:24">
      <c r="B45" s="53" t="str">
        <f>Imports_Bio!B11</f>
        <v>IMPBIODST1G3</v>
      </c>
      <c r="C45" s="53" t="str">
        <f>Imports_Bio!C11</f>
        <v>Import of BIODST1G - RSV 3</v>
      </c>
      <c r="D45" s="55" t="str">
        <f>Commodities!$C$30</f>
        <v>BIODST1G</v>
      </c>
      <c r="E45" s="476">
        <v>0</v>
      </c>
      <c r="F45" s="476">
        <v>0</v>
      </c>
      <c r="G45" s="476">
        <v>0</v>
      </c>
      <c r="H45" s="476">
        <v>0</v>
      </c>
      <c r="I45" s="146">
        <f>I44*2</f>
        <v>8.7239236266121463</v>
      </c>
      <c r="J45" s="146">
        <f t="shared" si="14"/>
        <v>8.7239236266121463</v>
      </c>
      <c r="K45" s="146">
        <f t="shared" si="14"/>
        <v>8.7239236266121463</v>
      </c>
      <c r="L45" s="146">
        <f t="shared" si="14"/>
        <v>8.7239236266121463</v>
      </c>
      <c r="M45" s="146">
        <f t="shared" si="14"/>
        <v>8.7239236266121463</v>
      </c>
      <c r="N45" s="146">
        <f t="shared" si="14"/>
        <v>8.7239236266121463</v>
      </c>
      <c r="O45" s="146">
        <f t="shared" si="14"/>
        <v>8.7239236266121463</v>
      </c>
      <c r="P45" s="163" t="s">
        <v>457</v>
      </c>
      <c r="Q45" s="146"/>
      <c r="S45" s="63"/>
    </row>
    <row r="46" spans="2:24">
      <c r="B46" s="141" t="str">
        <f>"*"&amp;Imports_Bio!B12</f>
        <v>*IMPBIODST1G4</v>
      </c>
      <c r="C46" s="141" t="str">
        <f>Imports_Bio!C12</f>
        <v>Import of BIODST1G - RSV 4</v>
      </c>
      <c r="D46" s="135" t="str">
        <f>Commodities!$C$30</f>
        <v>BIODST1G</v>
      </c>
      <c r="E46" s="487">
        <v>0</v>
      </c>
      <c r="F46" s="487">
        <v>0</v>
      </c>
      <c r="G46" s="487">
        <v>0</v>
      </c>
      <c r="H46" s="487">
        <v>0</v>
      </c>
      <c r="I46" s="147">
        <f>I47-SUM(I43:I45)</f>
        <v>87.491723547992621</v>
      </c>
      <c r="J46" s="147">
        <f t="shared" ref="J46:O46" si="15">J47-SUM(J43:J45)</f>
        <v>87.491723547992621</v>
      </c>
      <c r="K46" s="147">
        <f t="shared" si="15"/>
        <v>87.491723547992621</v>
      </c>
      <c r="L46" s="147">
        <f t="shared" si="15"/>
        <v>87.491723547992621</v>
      </c>
      <c r="M46" s="147">
        <f t="shared" si="15"/>
        <v>87.491723547992621</v>
      </c>
      <c r="N46" s="147">
        <f t="shared" si="15"/>
        <v>87.491723547992621</v>
      </c>
      <c r="O46" s="147">
        <f t="shared" si="15"/>
        <v>87.491723547992621</v>
      </c>
      <c r="P46" s="164" t="s">
        <v>458</v>
      </c>
      <c r="Q46" s="147"/>
      <c r="S46" s="63"/>
    </row>
    <row r="47" spans="2:24" ht="14.65" thickBot="1">
      <c r="B47" s="142" t="s">
        <v>187</v>
      </c>
      <c r="C47" s="142"/>
      <c r="D47" s="144"/>
      <c r="E47" s="150"/>
      <c r="F47" s="150"/>
      <c r="G47" s="150"/>
      <c r="H47" s="150"/>
      <c r="I47" s="150">
        <f>J47</f>
        <v>102.75858989456388</v>
      </c>
      <c r="J47" s="150">
        <f>K47</f>
        <v>102.75858989456388</v>
      </c>
      <c r="K47" s="150">
        <f>2727.05194883825*Conversions!$B$2*0.9</f>
        <v>102.75858989456388</v>
      </c>
      <c r="L47" s="150">
        <f>K47</f>
        <v>102.75858989456388</v>
      </c>
      <c r="M47" s="150">
        <f t="shared" ref="M47:O47" si="16">L47</f>
        <v>102.75858989456388</v>
      </c>
      <c r="N47" s="150">
        <f t="shared" si="16"/>
        <v>102.75858989456388</v>
      </c>
      <c r="O47" s="150">
        <f t="shared" si="16"/>
        <v>102.75858989456388</v>
      </c>
      <c r="P47" s="165" t="s">
        <v>446</v>
      </c>
      <c r="Q47" s="150"/>
      <c r="S47" s="63"/>
    </row>
    <row r="48" spans="2:24">
      <c r="B48" s="139" t="str">
        <f>Imports_Bio!B13</f>
        <v>IMPBIOWPE1</v>
      </c>
      <c r="C48" s="139" t="str">
        <f>Imports_Bio!C13</f>
        <v>Import of Wood Pellets - RSV 1</v>
      </c>
      <c r="D48" s="54" t="str">
        <f>Commodities!$C$35</f>
        <v>BIOWPE</v>
      </c>
      <c r="E48" s="471">
        <f>SEAI_Bal!AD3*Conversions!$B$2*Imports_Bio!$S$48</f>
        <v>0.45110832936390888</v>
      </c>
      <c r="F48" s="471">
        <f>SEAI_Bal!AD31*Conversions!$B$2*Imports_Bio!$S$48</f>
        <v>1.0477910625718072</v>
      </c>
      <c r="G48" s="471">
        <f>SEAI_Bal!AD59*Conversions!$B$2*Imports_Bio!$S$48</f>
        <v>1.2299746798394051</v>
      </c>
      <c r="H48" s="471">
        <f>SEAI_Bal!AD87*Conversions!$B$2*Imports_Bio!$S$48</f>
        <v>0.80076166977335572</v>
      </c>
      <c r="I48" s="149">
        <f>MAX(E48:H48)</f>
        <v>1.2299746798394051</v>
      </c>
      <c r="J48" s="149">
        <f>I48</f>
        <v>1.2299746798394051</v>
      </c>
      <c r="K48" s="149">
        <f t="shared" ref="K48:O48" si="17">J48</f>
        <v>1.2299746798394051</v>
      </c>
      <c r="L48" s="149">
        <f t="shared" si="17"/>
        <v>1.2299746798394051</v>
      </c>
      <c r="M48" s="149">
        <f t="shared" si="17"/>
        <v>1.2299746798394051</v>
      </c>
      <c r="N48" s="149">
        <f t="shared" si="17"/>
        <v>1.2299746798394051</v>
      </c>
      <c r="O48" s="149">
        <f t="shared" si="17"/>
        <v>1.2299746798394051</v>
      </c>
      <c r="P48" s="162" t="s">
        <v>459</v>
      </c>
      <c r="Q48" s="149"/>
      <c r="S48" s="473">
        <v>0.7</v>
      </c>
    </row>
    <row r="49" spans="2:19">
      <c r="B49" s="53" t="str">
        <f>Imports_Bio!B14</f>
        <v>IMPBIOWPE2</v>
      </c>
      <c r="C49" s="53" t="str">
        <f>Imports_Bio!C14</f>
        <v>Import of Wood Pellets - RSV 2</v>
      </c>
      <c r="D49" s="54" t="str">
        <f>Commodities!$C$35</f>
        <v>BIOWPE</v>
      </c>
      <c r="E49" s="476">
        <v>0</v>
      </c>
      <c r="F49" s="476">
        <v>0</v>
      </c>
      <c r="G49" s="476">
        <v>0</v>
      </c>
      <c r="H49" s="476">
        <v>0</v>
      </c>
      <c r="I49" s="146">
        <f>I48*2</f>
        <v>2.4599493596788102</v>
      </c>
      <c r="J49" s="146">
        <f t="shared" ref="J49:O50" si="18">J48*2</f>
        <v>2.4599493596788102</v>
      </c>
      <c r="K49" s="146">
        <f t="shared" si="18"/>
        <v>2.4599493596788102</v>
      </c>
      <c r="L49" s="146">
        <f t="shared" si="18"/>
        <v>2.4599493596788102</v>
      </c>
      <c r="M49" s="146">
        <f t="shared" si="18"/>
        <v>2.4599493596788102</v>
      </c>
      <c r="N49" s="146">
        <f t="shared" si="18"/>
        <v>2.4599493596788102</v>
      </c>
      <c r="O49" s="146">
        <f t="shared" si="18"/>
        <v>2.4599493596788102</v>
      </c>
      <c r="P49" s="163" t="s">
        <v>456</v>
      </c>
      <c r="Q49" s="146"/>
      <c r="S49" s="63"/>
    </row>
    <row r="50" spans="2:19">
      <c r="B50" s="53" t="str">
        <f>Imports_Bio!B15</f>
        <v>IMPBIOWPE3</v>
      </c>
      <c r="C50" s="53" t="str">
        <f>Imports_Bio!C15</f>
        <v>Import of Wood Pellets - RSV 3</v>
      </c>
      <c r="D50" s="54" t="str">
        <f>Commodities!$C$35</f>
        <v>BIOWPE</v>
      </c>
      <c r="E50" s="476">
        <v>0</v>
      </c>
      <c r="F50" s="476">
        <v>0</v>
      </c>
      <c r="G50" s="476">
        <v>0</v>
      </c>
      <c r="H50" s="476">
        <v>0</v>
      </c>
      <c r="I50" s="146">
        <f>I49*2</f>
        <v>4.9198987193576205</v>
      </c>
      <c r="J50" s="146">
        <f t="shared" si="18"/>
        <v>4.9198987193576205</v>
      </c>
      <c r="K50" s="146">
        <f t="shared" si="18"/>
        <v>4.9198987193576205</v>
      </c>
      <c r="L50" s="146">
        <f t="shared" si="18"/>
        <v>4.9198987193576205</v>
      </c>
      <c r="M50" s="146">
        <f t="shared" si="18"/>
        <v>4.9198987193576205</v>
      </c>
      <c r="N50" s="146">
        <f t="shared" si="18"/>
        <v>4.9198987193576205</v>
      </c>
      <c r="O50" s="146">
        <f t="shared" si="18"/>
        <v>4.9198987193576205</v>
      </c>
      <c r="P50" s="163" t="s">
        <v>457</v>
      </c>
      <c r="Q50" s="146"/>
      <c r="S50" s="63"/>
    </row>
    <row r="51" spans="2:19">
      <c r="B51" s="141" t="str">
        <f>"*"&amp;Imports_Bio!B16</f>
        <v>*IMPBIOWPE4</v>
      </c>
      <c r="C51" s="141" t="str">
        <f>Imports_Bio!C16</f>
        <v>Import of Wood Pellets - RSV 4</v>
      </c>
      <c r="D51" s="135" t="str">
        <f>Commodities!$C$35</f>
        <v>BIOWPE</v>
      </c>
      <c r="E51" s="487">
        <v>0</v>
      </c>
      <c r="F51" s="487">
        <v>0</v>
      </c>
      <c r="G51" s="487">
        <v>0</v>
      </c>
      <c r="H51" s="487">
        <v>0</v>
      </c>
      <c r="I51" s="147">
        <f>I52-SUM(I48:I50)</f>
        <v>101.53663724512417</v>
      </c>
      <c r="J51" s="147">
        <f t="shared" ref="J51:O51" si="19">J52-SUM(J48:J50)</f>
        <v>101.53663724512417</v>
      </c>
      <c r="K51" s="147">
        <f t="shared" si="19"/>
        <v>101.53663724512417</v>
      </c>
      <c r="L51" s="147">
        <f t="shared" si="19"/>
        <v>101.53663724512417</v>
      </c>
      <c r="M51" s="147">
        <f t="shared" si="19"/>
        <v>101.53663724512417</v>
      </c>
      <c r="N51" s="147">
        <f t="shared" si="19"/>
        <v>101.53663724512417</v>
      </c>
      <c r="O51" s="147">
        <f t="shared" si="19"/>
        <v>101.53663724512417</v>
      </c>
      <c r="P51" s="164" t="s">
        <v>458</v>
      </c>
      <c r="Q51" s="147"/>
      <c r="S51" s="63"/>
    </row>
    <row r="52" spans="2:19" ht="14.65" thickBot="1">
      <c r="B52" s="142" t="s">
        <v>187</v>
      </c>
      <c r="C52" s="142"/>
      <c r="D52" s="143"/>
      <c r="E52" s="150"/>
      <c r="F52" s="150"/>
      <c r="G52" s="150"/>
      <c r="H52" s="150"/>
      <c r="I52" s="150">
        <f>J52</f>
        <v>110.14646000400001</v>
      </c>
      <c r="J52" s="150">
        <f>K52</f>
        <v>110.14646000400001</v>
      </c>
      <c r="K52" s="150">
        <f>'SEAI-AEA_BioData'!G52*Conversions!$B$2/1000</f>
        <v>110.14646000400001</v>
      </c>
      <c r="L52" s="150">
        <f>K52</f>
        <v>110.14646000400001</v>
      </c>
      <c r="M52" s="150">
        <f t="shared" ref="M52:O52" si="20">L52</f>
        <v>110.14646000400001</v>
      </c>
      <c r="N52" s="150">
        <f t="shared" si="20"/>
        <v>110.14646000400001</v>
      </c>
      <c r="O52" s="150">
        <f t="shared" si="20"/>
        <v>110.14646000400001</v>
      </c>
      <c r="P52" s="165" t="s">
        <v>190</v>
      </c>
      <c r="Q52" s="150"/>
      <c r="S52" s="63"/>
    </row>
    <row r="53" spans="2:19">
      <c r="B53" s="139" t="str">
        <f>Imports_Bio!B17</f>
        <v>IMPBIOWCH1</v>
      </c>
      <c r="C53" s="139" t="str">
        <f>Imports_Bio!C17</f>
        <v>Import of Wood Chip - RSV 1</v>
      </c>
      <c r="D53" s="140" t="str">
        <f>Commodities!$C$36</f>
        <v>BIOWCH</v>
      </c>
      <c r="E53" s="471">
        <f>SEAI_Bal!AD3*Conversions!$B$2*Imports_Bio!$S$53</f>
        <v>0.19333214115596098</v>
      </c>
      <c r="F53" s="471">
        <f>SEAI_Bal!AD31*Conversions!$B$2*Imports_Bio!$S$53</f>
        <v>0.44905331253077457</v>
      </c>
      <c r="G53" s="471">
        <f>SEAI_Bal!AD59*Conversions!$B$2*Imports_Bio!$S$53</f>
        <v>0.52713200564545948</v>
      </c>
      <c r="H53" s="471">
        <f>SEAI_Bal!AD87*Conversions!$B$2*Imports_Bio!$S$53</f>
        <v>0.34318357276000966</v>
      </c>
      <c r="I53" s="149">
        <f>MAX(E53:H53)</f>
        <v>0.52713200564545948</v>
      </c>
      <c r="J53" s="149">
        <f>I53</f>
        <v>0.52713200564545948</v>
      </c>
      <c r="K53" s="149">
        <f t="shared" ref="K53:O53" si="21">J53</f>
        <v>0.52713200564545948</v>
      </c>
      <c r="L53" s="149">
        <f t="shared" si="21"/>
        <v>0.52713200564545948</v>
      </c>
      <c r="M53" s="149">
        <f t="shared" si="21"/>
        <v>0.52713200564545948</v>
      </c>
      <c r="N53" s="149">
        <f t="shared" si="21"/>
        <v>0.52713200564545948</v>
      </c>
      <c r="O53" s="149">
        <f t="shared" si="21"/>
        <v>0.52713200564545948</v>
      </c>
      <c r="P53" s="162" t="s">
        <v>459</v>
      </c>
      <c r="Q53" s="149"/>
      <c r="S53" s="470">
        <f>1-S48</f>
        <v>0.30000000000000004</v>
      </c>
    </row>
    <row r="54" spans="2:19">
      <c r="B54" s="53" t="str">
        <f>Imports_Bio!B18</f>
        <v>IMPBIOWCH2</v>
      </c>
      <c r="C54" s="53" t="str">
        <f>Imports_Bio!C18</f>
        <v>Import of Wood Chip - RSV 2</v>
      </c>
      <c r="D54" s="55" t="str">
        <f>Commodities!$C$36</f>
        <v>BIOWCH</v>
      </c>
      <c r="E54" s="476">
        <v>0</v>
      </c>
      <c r="F54" s="476">
        <v>0</v>
      </c>
      <c r="G54" s="476">
        <v>0</v>
      </c>
      <c r="H54" s="476">
        <v>0</v>
      </c>
      <c r="I54" s="146">
        <f>I53*2</f>
        <v>1.054264011290919</v>
      </c>
      <c r="J54" s="146">
        <f t="shared" ref="J54:O55" si="22">J53*2</f>
        <v>1.054264011290919</v>
      </c>
      <c r="K54" s="146">
        <f t="shared" si="22"/>
        <v>1.054264011290919</v>
      </c>
      <c r="L54" s="146">
        <f t="shared" si="22"/>
        <v>1.054264011290919</v>
      </c>
      <c r="M54" s="146">
        <f t="shared" si="22"/>
        <v>1.054264011290919</v>
      </c>
      <c r="N54" s="146">
        <f t="shared" si="22"/>
        <v>1.054264011290919</v>
      </c>
      <c r="O54" s="146">
        <f t="shared" si="22"/>
        <v>1.054264011290919</v>
      </c>
      <c r="P54" s="163" t="s">
        <v>456</v>
      </c>
      <c r="Q54" s="146"/>
      <c r="S54" s="63"/>
    </row>
    <row r="55" spans="2:19">
      <c r="B55" s="53" t="str">
        <f>Imports_Bio!B19</f>
        <v>IMPBIOWCH3</v>
      </c>
      <c r="C55" s="53" t="str">
        <f>Imports_Bio!C19</f>
        <v>Import of Wood Chip - RSV 3</v>
      </c>
      <c r="D55" s="55" t="str">
        <f>Commodities!$C$36</f>
        <v>BIOWCH</v>
      </c>
      <c r="E55" s="476">
        <v>0</v>
      </c>
      <c r="F55" s="476">
        <v>0</v>
      </c>
      <c r="G55" s="476">
        <v>0</v>
      </c>
      <c r="H55" s="476">
        <v>0</v>
      </c>
      <c r="I55" s="146">
        <f>I54*2</f>
        <v>2.1085280225818379</v>
      </c>
      <c r="J55" s="146">
        <f t="shared" si="22"/>
        <v>2.1085280225818379</v>
      </c>
      <c r="K55" s="146">
        <f t="shared" si="22"/>
        <v>2.1085280225818379</v>
      </c>
      <c r="L55" s="146">
        <f t="shared" si="22"/>
        <v>2.1085280225818379</v>
      </c>
      <c r="M55" s="146">
        <f t="shared" si="22"/>
        <v>2.1085280225818379</v>
      </c>
      <c r="N55" s="146">
        <f t="shared" si="22"/>
        <v>2.1085280225818379</v>
      </c>
      <c r="O55" s="146">
        <f t="shared" si="22"/>
        <v>2.1085280225818379</v>
      </c>
      <c r="P55" s="163" t="s">
        <v>457</v>
      </c>
      <c r="Q55" s="146"/>
      <c r="S55" s="63"/>
    </row>
    <row r="56" spans="2:19">
      <c r="B56" s="141" t="str">
        <f>"*"&amp;Imports_Bio!B20</f>
        <v>*IMPBIOWCH4</v>
      </c>
      <c r="C56" s="141" t="str">
        <f>Imports_Bio!C20</f>
        <v>Import of Wood Chip - RSV 4</v>
      </c>
      <c r="D56" s="135" t="str">
        <f>Commodities!$C$36</f>
        <v>BIOWCH</v>
      </c>
      <c r="E56" s="487">
        <v>0</v>
      </c>
      <c r="F56" s="487">
        <v>0</v>
      </c>
      <c r="G56" s="487">
        <v>0</v>
      </c>
      <c r="H56" s="487">
        <v>0</v>
      </c>
      <c r="I56" s="147">
        <f>I57-SUM(I53:I55)</f>
        <v>33.025548672481783</v>
      </c>
      <c r="J56" s="147">
        <f t="shared" ref="J56:O56" si="23">J57-SUM(J53:J55)</f>
        <v>33.025548672481783</v>
      </c>
      <c r="K56" s="147">
        <f t="shared" si="23"/>
        <v>33.025548672481783</v>
      </c>
      <c r="L56" s="147">
        <f t="shared" si="23"/>
        <v>33.025548672481783</v>
      </c>
      <c r="M56" s="147">
        <f t="shared" si="23"/>
        <v>33.025548672481783</v>
      </c>
      <c r="N56" s="147">
        <f t="shared" si="23"/>
        <v>33.025548672481783</v>
      </c>
      <c r="O56" s="147">
        <f t="shared" si="23"/>
        <v>33.025548672481783</v>
      </c>
      <c r="P56" s="164" t="s">
        <v>458</v>
      </c>
      <c r="Q56" s="147"/>
      <c r="S56" s="63"/>
    </row>
    <row r="57" spans="2:19" ht="14.65" thickBot="1">
      <c r="B57" s="144" t="s">
        <v>187</v>
      </c>
      <c r="C57" s="144"/>
      <c r="D57" s="145"/>
      <c r="E57" s="151"/>
      <c r="F57" s="151"/>
      <c r="G57" s="151"/>
      <c r="H57" s="151"/>
      <c r="I57" s="151">
        <f>J57</f>
        <v>36.715472712</v>
      </c>
      <c r="J57" s="151">
        <f>K57</f>
        <v>36.715472712</v>
      </c>
      <c r="K57" s="151">
        <f>'SEAI-AEA_BioData'!G50*Conversions!$B$2/1000</f>
        <v>36.715472712</v>
      </c>
      <c r="L57" s="151">
        <f>K57</f>
        <v>36.715472712</v>
      </c>
      <c r="M57" s="151">
        <f>L57</f>
        <v>36.715472712</v>
      </c>
      <c r="N57" s="151">
        <f>M57</f>
        <v>36.715472712</v>
      </c>
      <c r="O57" s="151">
        <f>N57</f>
        <v>36.715472712</v>
      </c>
      <c r="P57" s="166" t="s">
        <v>190</v>
      </c>
      <c r="Q57" s="151"/>
      <c r="S57" s="63"/>
    </row>
    <row r="60" spans="2:19">
      <c r="B60" s="500" t="s">
        <v>220</v>
      </c>
      <c r="C60" s="501">
        <v>4.1868000000000002E-2</v>
      </c>
    </row>
  </sheetData>
  <mergeCells count="1">
    <mergeCell ref="J25:J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V23"/>
  <sheetViews>
    <sheetView workbookViewId="0">
      <selection activeCell="H4" sqref="H4"/>
    </sheetView>
  </sheetViews>
  <sheetFormatPr defaultColWidth="9.1328125" defaultRowHeight="14.25"/>
  <cols>
    <col min="1" max="1" width="9.1328125" style="222"/>
    <col min="2" max="2" width="16.3984375" style="222" customWidth="1"/>
    <col min="3" max="3" width="32" style="222" bestFit="1" customWidth="1"/>
    <col min="4" max="4" width="10.86328125" style="222" bestFit="1" customWidth="1"/>
    <col min="5" max="10" width="11" style="222" customWidth="1"/>
    <col min="11" max="11" width="11" style="497" customWidth="1"/>
    <col min="12" max="12" width="11" style="222" customWidth="1"/>
    <col min="13" max="15" width="9.1328125" style="222"/>
    <col min="16" max="16" width="12.73046875" style="222" bestFit="1" customWidth="1"/>
    <col min="17" max="17" width="29.86328125" style="222" bestFit="1" customWidth="1"/>
    <col min="18" max="16384" width="9.1328125" style="222"/>
  </cols>
  <sheetData>
    <row r="2" spans="2:22" ht="18">
      <c r="B2" s="30" t="s">
        <v>93</v>
      </c>
      <c r="C2" s="31"/>
      <c r="D2" s="32" t="s">
        <v>80</v>
      </c>
      <c r="F2" s="33"/>
      <c r="G2" s="33"/>
      <c r="H2" s="33"/>
      <c r="I2" s="33"/>
      <c r="J2" s="33"/>
      <c r="K2" s="33"/>
      <c r="L2" s="33"/>
      <c r="M2" s="33"/>
      <c r="N2" s="34"/>
      <c r="O2" s="223" t="s">
        <v>0</v>
      </c>
      <c r="P2" s="223"/>
      <c r="Q2" s="224"/>
      <c r="R2" s="224"/>
      <c r="S2" s="224"/>
      <c r="T2" s="224"/>
      <c r="U2" s="224"/>
      <c r="V2" s="224"/>
    </row>
    <row r="3" spans="2:22" ht="26.65" thickBot="1">
      <c r="B3" s="35" t="s">
        <v>2</v>
      </c>
      <c r="C3" s="35" t="s">
        <v>3</v>
      </c>
      <c r="D3" s="36" t="s">
        <v>81</v>
      </c>
      <c r="E3" s="37" t="s">
        <v>94</v>
      </c>
      <c r="F3" s="38" t="s">
        <v>561</v>
      </c>
      <c r="G3" s="38" t="s">
        <v>88</v>
      </c>
      <c r="H3" s="38" t="s">
        <v>388</v>
      </c>
      <c r="I3" s="38" t="s">
        <v>386</v>
      </c>
      <c r="J3" s="38" t="s">
        <v>387</v>
      </c>
      <c r="K3" s="38" t="s">
        <v>462</v>
      </c>
      <c r="L3" s="38" t="s">
        <v>393</v>
      </c>
      <c r="M3" s="38" t="s">
        <v>394</v>
      </c>
      <c r="N3" s="34"/>
      <c r="O3" s="13" t="s">
        <v>1</v>
      </c>
      <c r="P3" s="13" t="s">
        <v>2</v>
      </c>
      <c r="Q3" s="13" t="s">
        <v>3</v>
      </c>
      <c r="R3" s="13" t="s">
        <v>4</v>
      </c>
      <c r="S3" s="13" t="s">
        <v>5</v>
      </c>
      <c r="T3" s="13" t="s">
        <v>6</v>
      </c>
      <c r="U3" s="13" t="s">
        <v>7</v>
      </c>
      <c r="V3" s="13" t="s">
        <v>8</v>
      </c>
    </row>
    <row r="4" spans="2:22" ht="14.65" thickBot="1">
      <c r="B4" s="27" t="s">
        <v>89</v>
      </c>
      <c r="C4" s="27" t="s">
        <v>90</v>
      </c>
      <c r="D4" s="24"/>
      <c r="E4" s="24" t="s">
        <v>11</v>
      </c>
      <c r="F4" s="24" t="s">
        <v>97</v>
      </c>
      <c r="G4" s="24" t="s">
        <v>97</v>
      </c>
      <c r="H4" s="24" t="s">
        <v>11</v>
      </c>
      <c r="I4" s="24" t="s">
        <v>11</v>
      </c>
      <c r="J4" s="24" t="s">
        <v>11</v>
      </c>
      <c r="K4" s="24"/>
      <c r="L4" s="24" t="s">
        <v>11</v>
      </c>
      <c r="M4" s="24"/>
      <c r="N4" s="39"/>
      <c r="O4" s="1" t="s">
        <v>9</v>
      </c>
      <c r="P4" s="1" t="s">
        <v>10</v>
      </c>
      <c r="Q4" s="1" t="s">
        <v>391</v>
      </c>
      <c r="R4" s="1" t="s">
        <v>11</v>
      </c>
      <c r="S4" s="225"/>
      <c r="T4" s="74" t="s">
        <v>140</v>
      </c>
      <c r="U4" s="1"/>
      <c r="V4" s="225"/>
    </row>
    <row r="5" spans="2:22">
      <c r="B5" s="33" t="str">
        <f>Domestic!P4</f>
        <v>MINGASRSV1</v>
      </c>
      <c r="C5" s="33" t="str">
        <f>Domestic!Q4</f>
        <v>Natural gas  - Reserves Step I</v>
      </c>
      <c r="D5" s="43" t="s">
        <v>12</v>
      </c>
      <c r="E5" s="153">
        <v>742.12800479999999</v>
      </c>
      <c r="F5" s="154">
        <v>0.90792311671470816</v>
      </c>
      <c r="G5" s="154">
        <v>1.192910095016825</v>
      </c>
      <c r="H5" s="435">
        <f>SEAI_Bal!Z2*0.041868</f>
        <v>7.1802580716617141</v>
      </c>
      <c r="I5" s="435">
        <f>SEAI_Bal!Z30*0.041868</f>
        <v>6.049531578666036</v>
      </c>
      <c r="J5" s="435">
        <f>SEAI_Bal!Z58*0.041868</f>
        <v>5.1370324019957394</v>
      </c>
      <c r="K5" s="435">
        <f>SEAI_Bal!Z86*0.041868</f>
        <v>4.4989596434830821</v>
      </c>
      <c r="L5" s="154">
        <f>MAX(H5:K5)*3</f>
        <v>21.540774214985142</v>
      </c>
      <c r="M5" s="153">
        <v>5</v>
      </c>
      <c r="N5" s="33"/>
      <c r="O5" s="11"/>
      <c r="P5" s="11" t="s">
        <v>15</v>
      </c>
      <c r="Q5" s="1" t="s">
        <v>392</v>
      </c>
      <c r="R5" s="11" t="s">
        <v>11</v>
      </c>
      <c r="S5" s="11"/>
      <c r="T5" s="74" t="s">
        <v>140</v>
      </c>
      <c r="U5" s="11"/>
      <c r="V5" s="11"/>
    </row>
    <row r="6" spans="2:22">
      <c r="B6" s="33" t="str">
        <f>Domestic!P5</f>
        <v>MINGASRSV2</v>
      </c>
      <c r="C6" s="33" t="str">
        <f>Domestic!Q5</f>
        <v>Natural gas  - Reserves Step II</v>
      </c>
      <c r="D6" s="43" t="s">
        <v>12</v>
      </c>
      <c r="E6" s="153">
        <v>88.744650140343495</v>
      </c>
      <c r="F6" s="154">
        <v>1.8</v>
      </c>
      <c r="G6" s="154">
        <v>1.9434992461159508</v>
      </c>
      <c r="H6" s="153">
        <v>0</v>
      </c>
      <c r="I6" s="153">
        <v>0</v>
      </c>
      <c r="J6" s="153">
        <v>0</v>
      </c>
      <c r="K6" s="153">
        <v>0</v>
      </c>
      <c r="L6" s="153"/>
      <c r="M6" s="153"/>
      <c r="N6" s="33"/>
      <c r="O6" s="225"/>
      <c r="P6" s="1" t="s">
        <v>13</v>
      </c>
      <c r="Q6" s="1" t="s">
        <v>395</v>
      </c>
      <c r="R6" s="1" t="s">
        <v>11</v>
      </c>
      <c r="S6" s="225"/>
      <c r="T6" s="74"/>
      <c r="U6" s="1"/>
      <c r="V6" s="225"/>
    </row>
    <row r="7" spans="2:22">
      <c r="B7" s="33" t="str">
        <f>Domestic!P6</f>
        <v>MINPEARSV1</v>
      </c>
      <c r="C7" s="33" t="str">
        <f>Domestic!Q6</f>
        <v>Peat - Reserves Step I</v>
      </c>
      <c r="D7" s="43" t="s">
        <v>14</v>
      </c>
      <c r="E7" s="153">
        <v>1960</v>
      </c>
      <c r="F7" s="154">
        <v>0.99399999999999999</v>
      </c>
      <c r="G7" s="154">
        <v>1.2</v>
      </c>
      <c r="H7" s="435">
        <f>SEAI_Bal!H2*0.041868</f>
        <v>13.203339973312694</v>
      </c>
      <c r="I7" s="435">
        <f>SEAI_Bal!H30*0.041868</f>
        <v>54.073569835645827</v>
      </c>
      <c r="J7" s="435">
        <f>SEAI_Bal!H58*0.041868</f>
        <v>40.659804476115333</v>
      </c>
      <c r="K7" s="435">
        <f>SEAI_Bal!H86*0.041868</f>
        <v>31.891175300184852</v>
      </c>
      <c r="L7" s="154">
        <f>MAX(H7:K7)</f>
        <v>54.073569835645827</v>
      </c>
      <c r="M7" s="153">
        <v>5</v>
      </c>
      <c r="N7" s="33"/>
      <c r="O7" s="12"/>
      <c r="P7" s="12" t="s">
        <v>16</v>
      </c>
      <c r="Q7" s="12" t="s">
        <v>396</v>
      </c>
      <c r="R7" s="12" t="s">
        <v>11</v>
      </c>
      <c r="S7" s="12"/>
      <c r="T7" s="226"/>
      <c r="U7" s="12"/>
      <c r="V7" s="12"/>
    </row>
    <row r="8" spans="2:22">
      <c r="B8" s="156" t="str">
        <f>Domestic!P7</f>
        <v>MINPEARSV2</v>
      </c>
      <c r="C8" s="156" t="str">
        <f>Domestic!Q7</f>
        <v>Peat - Reserves Step II</v>
      </c>
      <c r="D8" s="157" t="s">
        <v>14</v>
      </c>
      <c r="E8" s="158">
        <v>2400</v>
      </c>
      <c r="F8" s="158">
        <v>0.99399999999999999</v>
      </c>
      <c r="G8" s="158">
        <v>1.2</v>
      </c>
      <c r="H8" s="158">
        <v>0</v>
      </c>
      <c r="I8" s="158">
        <v>0</v>
      </c>
      <c r="J8" s="158">
        <v>0</v>
      </c>
      <c r="K8" s="158">
        <v>0</v>
      </c>
      <c r="L8" s="158"/>
      <c r="M8" s="158"/>
      <c r="N8" s="46"/>
      <c r="O8" s="1" t="s">
        <v>17</v>
      </c>
      <c r="P8" s="1" t="s">
        <v>18</v>
      </c>
      <c r="Q8" s="1" t="s">
        <v>19</v>
      </c>
      <c r="R8" s="1" t="s">
        <v>11</v>
      </c>
      <c r="S8" s="225"/>
      <c r="T8" s="74"/>
      <c r="U8" s="225"/>
      <c r="V8" s="225"/>
    </row>
    <row r="9" spans="2:22">
      <c r="B9" s="73" t="s">
        <v>138</v>
      </c>
      <c r="C9" s="73"/>
      <c r="D9" s="73"/>
      <c r="E9" s="547" t="s">
        <v>467</v>
      </c>
      <c r="F9" s="547"/>
      <c r="G9" s="547"/>
      <c r="H9" s="547" t="s">
        <v>466</v>
      </c>
      <c r="I9" s="547"/>
      <c r="J9" s="547"/>
      <c r="K9" s="547"/>
      <c r="L9" s="260" t="s">
        <v>465</v>
      </c>
      <c r="M9" s="73"/>
      <c r="N9" s="33"/>
      <c r="O9" s="225"/>
      <c r="P9" s="1" t="s">
        <v>20</v>
      </c>
      <c r="Q9" s="1" t="s">
        <v>21</v>
      </c>
      <c r="R9" s="1" t="s">
        <v>11</v>
      </c>
      <c r="S9" s="225"/>
      <c r="T9" s="74"/>
      <c r="U9" s="225"/>
      <c r="V9" s="225"/>
    </row>
    <row r="10" spans="2:22">
      <c r="B10" s="33"/>
      <c r="C10" s="33"/>
      <c r="D10" s="33"/>
      <c r="F10" s="436"/>
      <c r="G10" s="33"/>
      <c r="H10" s="33"/>
      <c r="I10" s="33"/>
      <c r="J10" s="33"/>
      <c r="K10" s="33"/>
      <c r="L10" s="33"/>
      <c r="M10" s="33"/>
      <c r="N10" s="33"/>
      <c r="O10" s="225"/>
      <c r="P10" s="1" t="s">
        <v>22</v>
      </c>
      <c r="Q10" s="1" t="s">
        <v>23</v>
      </c>
      <c r="R10" s="1" t="s">
        <v>11</v>
      </c>
      <c r="S10" s="225"/>
      <c r="T10" s="74"/>
      <c r="U10" s="225"/>
      <c r="V10" s="225"/>
    </row>
    <row r="11" spans="2:22">
      <c r="B11" s="39"/>
      <c r="C11" s="39"/>
      <c r="D11" s="47"/>
      <c r="E11" s="33"/>
      <c r="G11" s="33"/>
      <c r="H11" s="33"/>
      <c r="I11" s="33"/>
      <c r="J11" s="33"/>
      <c r="K11" s="33"/>
      <c r="L11" s="33"/>
      <c r="M11" s="33"/>
      <c r="N11" s="33"/>
      <c r="O11" s="225"/>
      <c r="P11" s="1" t="s">
        <v>101</v>
      </c>
      <c r="Q11" s="1" t="s">
        <v>99</v>
      </c>
      <c r="R11" s="1" t="s">
        <v>11</v>
      </c>
      <c r="S11" s="225"/>
      <c r="T11" s="74"/>
      <c r="U11" s="225"/>
      <c r="V11" s="225"/>
    </row>
    <row r="12" spans="2:22">
      <c r="B12" s="33"/>
      <c r="C12" s="33"/>
      <c r="D12" s="48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225"/>
      <c r="P12" s="1" t="s">
        <v>24</v>
      </c>
      <c r="Q12" s="1" t="s">
        <v>25</v>
      </c>
      <c r="R12" s="1" t="s">
        <v>11</v>
      </c>
      <c r="S12" s="225"/>
      <c r="T12" s="74"/>
      <c r="U12" s="225"/>
      <c r="V12" s="225"/>
    </row>
    <row r="13" spans="2:22" ht="18">
      <c r="B13" s="30" t="s">
        <v>98</v>
      </c>
      <c r="C13" s="31"/>
      <c r="D13" s="32" t="s">
        <v>103</v>
      </c>
      <c r="E13" s="33"/>
      <c r="F13" s="33"/>
      <c r="G13" s="33"/>
      <c r="H13" s="33"/>
      <c r="I13" s="33"/>
      <c r="J13" s="33"/>
      <c r="K13" s="33"/>
      <c r="L13" s="33"/>
      <c r="M13" s="49"/>
      <c r="N13" s="33"/>
      <c r="O13" s="12"/>
      <c r="P13" s="12" t="s">
        <v>26</v>
      </c>
      <c r="Q13" s="12" t="s">
        <v>27</v>
      </c>
      <c r="R13" s="12" t="s">
        <v>11</v>
      </c>
      <c r="S13" s="12"/>
      <c r="T13" s="226"/>
      <c r="U13" s="12"/>
      <c r="V13" s="12"/>
    </row>
    <row r="14" spans="2:22" ht="26.25">
      <c r="B14" s="35" t="s">
        <v>2</v>
      </c>
      <c r="C14" s="35" t="s">
        <v>3</v>
      </c>
      <c r="D14" s="36" t="s">
        <v>81</v>
      </c>
      <c r="E14" s="37" t="s">
        <v>82</v>
      </c>
      <c r="F14" s="38" t="s">
        <v>95</v>
      </c>
      <c r="G14" s="38" t="s">
        <v>96</v>
      </c>
      <c r="H14" s="33"/>
      <c r="I14" s="33"/>
      <c r="J14" s="33"/>
      <c r="K14" s="33"/>
      <c r="L14" s="33"/>
      <c r="M14" s="49"/>
      <c r="N14" s="227"/>
    </row>
    <row r="15" spans="2:22" ht="14.65" thickBot="1">
      <c r="B15" s="24" t="s">
        <v>89</v>
      </c>
      <c r="C15" s="24" t="s">
        <v>90</v>
      </c>
      <c r="D15" s="24"/>
      <c r="E15" s="24" t="s">
        <v>97</v>
      </c>
      <c r="F15" s="24" t="s">
        <v>11</v>
      </c>
      <c r="G15" s="24" t="s">
        <v>11</v>
      </c>
      <c r="H15" s="33"/>
      <c r="I15" s="33"/>
      <c r="J15" s="33"/>
      <c r="K15" s="33"/>
      <c r="L15" s="33"/>
      <c r="M15" s="49"/>
      <c r="N15" s="228"/>
    </row>
    <row r="16" spans="2:22">
      <c r="B16" s="33" t="str">
        <f>Domestic!P8</f>
        <v>MINRENHYD</v>
      </c>
      <c r="C16" s="33" t="str">
        <f>Domestic!Q8</f>
        <v>Hydro Potential</v>
      </c>
      <c r="D16" s="43" t="str">
        <f>Commodities!C22</f>
        <v>RENHYD</v>
      </c>
      <c r="E16" s="50"/>
      <c r="F16" s="44"/>
      <c r="G16" s="44"/>
      <c r="H16" s="44"/>
      <c r="I16" s="44"/>
      <c r="J16" s="44"/>
      <c r="K16" s="44"/>
      <c r="L16" s="44"/>
      <c r="M16" s="49"/>
      <c r="N16" s="229"/>
    </row>
    <row r="17" spans="2:14">
      <c r="B17" s="33" t="str">
        <f>Domestic!P9</f>
        <v>MINRENWIN</v>
      </c>
      <c r="C17" s="33" t="str">
        <f>Domestic!Q9</f>
        <v>Wind Potential</v>
      </c>
      <c r="D17" s="43" t="str">
        <f>Commodities!C23</f>
        <v>RENWIN</v>
      </c>
      <c r="E17" s="50"/>
      <c r="F17" s="44"/>
      <c r="G17" s="44"/>
      <c r="H17" s="44"/>
      <c r="I17" s="44"/>
      <c r="J17" s="44"/>
      <c r="K17" s="44"/>
      <c r="L17" s="44"/>
      <c r="M17" s="231"/>
      <c r="N17" s="230"/>
    </row>
    <row r="18" spans="2:14">
      <c r="B18" s="33" t="str">
        <f>Domestic!P10</f>
        <v>MINRENSOL</v>
      </c>
      <c r="C18" s="33" t="str">
        <f>Domestic!Q10</f>
        <v>Solar Potential</v>
      </c>
      <c r="D18" s="43" t="str">
        <f>Commodities!C24</f>
        <v>RENSOL</v>
      </c>
      <c r="E18" s="50"/>
      <c r="F18" s="44"/>
      <c r="G18" s="44"/>
      <c r="H18" s="45"/>
      <c r="I18" s="45"/>
      <c r="J18" s="45"/>
      <c r="K18" s="45"/>
      <c r="L18" s="45"/>
      <c r="M18" s="231"/>
      <c r="N18" s="231"/>
    </row>
    <row r="19" spans="2:14">
      <c r="B19" s="33" t="str">
        <f>Domestic!P11</f>
        <v>MINMSWAS</v>
      </c>
      <c r="C19" s="33" t="str">
        <f>Domestic!Q11</f>
        <v>Municipal Solid Waste Potential</v>
      </c>
      <c r="D19" s="43" t="str">
        <f>Commodities!C25</f>
        <v>MSWAS</v>
      </c>
      <c r="E19" s="33"/>
      <c r="F19" s="33"/>
      <c r="G19" s="33"/>
      <c r="H19" s="33"/>
      <c r="I19" s="33"/>
      <c r="J19" s="33"/>
      <c r="K19" s="33"/>
      <c r="L19" s="33"/>
      <c r="M19" s="231"/>
      <c r="N19" s="231"/>
    </row>
    <row r="20" spans="2:14">
      <c r="B20" s="33" t="str">
        <f>Domestic!P12</f>
        <v>MINRENOCE</v>
      </c>
      <c r="C20" s="33" t="str">
        <f>Domestic!Q12</f>
        <v>Ocean Potential</v>
      </c>
      <c r="D20" s="43" t="str">
        <f>Commodities!C26</f>
        <v>RENOCE</v>
      </c>
      <c r="E20" s="33"/>
      <c r="F20" s="33"/>
      <c r="G20" s="33"/>
      <c r="H20" s="33"/>
      <c r="I20" s="33"/>
      <c r="J20" s="33"/>
      <c r="K20" s="33"/>
      <c r="L20" s="33"/>
      <c r="M20" s="231"/>
      <c r="N20" s="231"/>
    </row>
    <row r="21" spans="2:14">
      <c r="B21" s="156" t="str">
        <f>Domestic!P13</f>
        <v>MINRENGEO</v>
      </c>
      <c r="C21" s="156" t="str">
        <f>Domestic!Q13</f>
        <v>Geothermal Potential</v>
      </c>
      <c r="D21" s="157" t="str">
        <f>Commodities!C27</f>
        <v>RENGEO</v>
      </c>
      <c r="E21" s="156"/>
      <c r="F21" s="156"/>
      <c r="G21" s="156"/>
      <c r="H21" s="33"/>
      <c r="I21" s="33"/>
      <c r="J21" s="33"/>
      <c r="K21" s="33"/>
      <c r="L21" s="33"/>
      <c r="M21" s="231"/>
      <c r="N21" s="231"/>
    </row>
    <row r="22" spans="2:14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51"/>
      <c r="M22" s="231"/>
      <c r="N22" s="231"/>
    </row>
    <row r="23" spans="2:14">
      <c r="N23" s="231"/>
    </row>
  </sheetData>
  <mergeCells count="2">
    <mergeCell ref="H9:K9"/>
    <mergeCell ref="E9:G9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Q35"/>
  <sheetViews>
    <sheetView topLeftCell="D1" workbookViewId="0">
      <selection activeCell="J13" sqref="J13"/>
    </sheetView>
  </sheetViews>
  <sheetFormatPr defaultColWidth="9.1328125" defaultRowHeight="13.15"/>
  <cols>
    <col min="1" max="1" width="9.1328125" style="54"/>
    <col min="2" max="2" width="17.3984375" style="54" customWidth="1"/>
    <col min="3" max="3" width="40.73046875" style="54" bestFit="1" customWidth="1"/>
    <col min="4" max="4" width="15.86328125" style="54" bestFit="1" customWidth="1"/>
    <col min="5" max="8" width="9.1328125" style="54"/>
    <col min="9" max="9" width="14.1328125" style="54" bestFit="1" customWidth="1"/>
    <col min="10" max="10" width="39.59765625" style="54" bestFit="1" customWidth="1"/>
    <col min="11" max="16384" width="9.1328125" style="54"/>
  </cols>
  <sheetData>
    <row r="2" spans="2:17" ht="18">
      <c r="B2" s="18" t="s">
        <v>254</v>
      </c>
      <c r="C2" s="18"/>
      <c r="D2" s="32" t="s">
        <v>103</v>
      </c>
      <c r="E2" s="213"/>
      <c r="F2" s="213"/>
      <c r="H2" s="214" t="s">
        <v>0</v>
      </c>
      <c r="I2" s="214"/>
      <c r="J2" s="218"/>
      <c r="K2" s="218"/>
      <c r="L2" s="218"/>
      <c r="M2" s="218"/>
      <c r="N2" s="218"/>
      <c r="O2" s="218"/>
    </row>
    <row r="3" spans="2:17">
      <c r="B3" s="36" t="s">
        <v>2</v>
      </c>
      <c r="C3" s="36" t="s">
        <v>3</v>
      </c>
      <c r="D3" s="36" t="s">
        <v>81</v>
      </c>
      <c r="E3" s="59" t="s">
        <v>561</v>
      </c>
      <c r="F3" s="199" t="s">
        <v>138</v>
      </c>
      <c r="H3" s="215" t="s">
        <v>1</v>
      </c>
      <c r="I3" s="215" t="s">
        <v>2</v>
      </c>
      <c r="J3" s="215" t="s">
        <v>3</v>
      </c>
      <c r="K3" s="215" t="s">
        <v>4</v>
      </c>
      <c r="L3" s="215" t="s">
        <v>5</v>
      </c>
      <c r="M3" s="215" t="s">
        <v>6</v>
      </c>
      <c r="N3" s="215" t="s">
        <v>7</v>
      </c>
      <c r="O3" s="215" t="s">
        <v>8</v>
      </c>
    </row>
    <row r="4" spans="2:17" ht="52.9" thickBot="1">
      <c r="B4" s="24" t="s">
        <v>104</v>
      </c>
      <c r="C4" s="27" t="s">
        <v>90</v>
      </c>
      <c r="D4" s="27" t="s">
        <v>91</v>
      </c>
      <c r="E4" s="24" t="s">
        <v>92</v>
      </c>
      <c r="F4" s="24"/>
      <c r="H4" s="216" t="s">
        <v>256</v>
      </c>
      <c r="I4" s="216" t="s">
        <v>257</v>
      </c>
      <c r="J4" s="216" t="s">
        <v>90</v>
      </c>
      <c r="K4" s="216" t="s">
        <v>258</v>
      </c>
      <c r="L4" s="216" t="s">
        <v>259</v>
      </c>
      <c r="M4" s="216" t="s">
        <v>260</v>
      </c>
      <c r="N4" s="216" t="s">
        <v>261</v>
      </c>
      <c r="O4" s="216" t="s">
        <v>262</v>
      </c>
    </row>
    <row r="5" spans="2:17" ht="14.25">
      <c r="B5" s="53" t="str">
        <f t="shared" ref="B5:B34" si="0">I5</f>
        <v>MINBIOWOO11</v>
      </c>
      <c r="C5" s="54" t="str">
        <f t="shared" ref="C5:C34" si="1">J5</f>
        <v>Sawmill residues potential - Step I</v>
      </c>
      <c r="D5" s="54" t="str">
        <f>Commodities!$C$34</f>
        <v>BIOWOO</v>
      </c>
      <c r="E5" s="201">
        <v>10</v>
      </c>
      <c r="F5" s="548" t="s">
        <v>300</v>
      </c>
      <c r="H5" s="219" t="s">
        <v>9</v>
      </c>
      <c r="I5" s="219" t="s">
        <v>263</v>
      </c>
      <c r="J5" s="219" t="s">
        <v>410</v>
      </c>
      <c r="K5" s="219" t="s">
        <v>11</v>
      </c>
      <c r="L5" s="219"/>
      <c r="M5" s="219"/>
      <c r="N5" s="219"/>
      <c r="O5" s="219"/>
      <c r="Q5" s="499"/>
    </row>
    <row r="6" spans="2:17" ht="14.25">
      <c r="B6" s="53" t="str">
        <f t="shared" si="0"/>
        <v>MINBIOWOO21</v>
      </c>
      <c r="C6" s="54" t="str">
        <f t="shared" si="1"/>
        <v>Post-Consumer Recycled Wood potential - Step I</v>
      </c>
      <c r="D6" s="54" t="str">
        <f>Commodities!$C$34</f>
        <v>BIOWOO</v>
      </c>
      <c r="E6" s="201">
        <v>10</v>
      </c>
      <c r="F6" s="549"/>
      <c r="H6" s="219"/>
      <c r="I6" s="219" t="s">
        <v>264</v>
      </c>
      <c r="J6" s="219" t="s">
        <v>439</v>
      </c>
      <c r="K6" s="219" t="s">
        <v>11</v>
      </c>
      <c r="L6" s="219"/>
      <c r="M6" s="219"/>
      <c r="N6" s="219"/>
      <c r="O6" s="219"/>
      <c r="Q6" s="499"/>
    </row>
    <row r="7" spans="2:17" ht="14.25">
      <c r="B7" s="53" t="str">
        <f t="shared" si="0"/>
        <v>MINBIOMSW11</v>
      </c>
      <c r="C7" s="54" t="str">
        <f t="shared" si="1"/>
        <v>Solid BMSW potential - Step I</v>
      </c>
      <c r="D7" s="54" t="s">
        <v>297</v>
      </c>
      <c r="E7" s="201">
        <v>10</v>
      </c>
      <c r="F7" s="549"/>
      <c r="H7" s="219"/>
      <c r="I7" s="219" t="s">
        <v>265</v>
      </c>
      <c r="J7" s="219" t="s">
        <v>416</v>
      </c>
      <c r="K7" s="219" t="s">
        <v>11</v>
      </c>
      <c r="L7" s="219"/>
      <c r="M7" s="219"/>
      <c r="N7" s="218"/>
      <c r="O7" s="218"/>
      <c r="Q7" s="499"/>
    </row>
    <row r="8" spans="2:17" ht="14.25">
      <c r="B8" s="53" t="str">
        <f t="shared" si="0"/>
        <v>MINBIOAGRW41</v>
      </c>
      <c r="C8" s="54" t="str">
        <f t="shared" si="1"/>
        <v>Tallow potential - Step I</v>
      </c>
      <c r="D8" s="54" t="s">
        <v>294</v>
      </c>
      <c r="E8" s="201">
        <v>10</v>
      </c>
      <c r="F8" s="549"/>
      <c r="H8" s="219"/>
      <c r="I8" s="219" t="s">
        <v>266</v>
      </c>
      <c r="J8" s="219" t="s">
        <v>417</v>
      </c>
      <c r="K8" s="219" t="s">
        <v>11</v>
      </c>
      <c r="L8" s="219"/>
      <c r="M8" s="219"/>
      <c r="N8" s="218"/>
      <c r="O8" s="218"/>
      <c r="Q8" s="499"/>
    </row>
    <row r="9" spans="2:17" ht="14.25">
      <c r="B9" s="53" t="str">
        <f t="shared" si="0"/>
        <v>MINBIORVO1</v>
      </c>
      <c r="C9" s="54" t="str">
        <f t="shared" si="1"/>
        <v>Recovered Vegetable Oil potential - Step I</v>
      </c>
      <c r="D9" s="54" t="s">
        <v>293</v>
      </c>
      <c r="E9" s="201">
        <v>10</v>
      </c>
      <c r="F9" s="549"/>
      <c r="H9" s="219"/>
      <c r="I9" s="219" t="s">
        <v>267</v>
      </c>
      <c r="J9" s="219" t="s">
        <v>440</v>
      </c>
      <c r="K9" s="219" t="s">
        <v>11</v>
      </c>
      <c r="L9" s="219"/>
      <c r="M9" s="219"/>
      <c r="N9" s="218"/>
      <c r="O9" s="218"/>
      <c r="Q9" s="499"/>
    </row>
    <row r="10" spans="2:17" ht="14.25">
      <c r="B10" s="53" t="str">
        <f t="shared" si="0"/>
        <v>MINBIOAGRW11</v>
      </c>
      <c r="C10" s="54" t="str">
        <f t="shared" si="1"/>
        <v>Straw potential - Step I</v>
      </c>
      <c r="D10" s="54" t="s">
        <v>255</v>
      </c>
      <c r="E10" s="201">
        <v>10</v>
      </c>
      <c r="F10" s="549"/>
      <c r="H10" s="219"/>
      <c r="I10" s="218" t="s">
        <v>268</v>
      </c>
      <c r="J10" s="219" t="s">
        <v>418</v>
      </c>
      <c r="K10" s="219" t="s">
        <v>11</v>
      </c>
      <c r="L10" s="219"/>
      <c r="M10" s="219"/>
      <c r="N10" s="218"/>
      <c r="O10" s="218"/>
      <c r="Q10" s="499"/>
    </row>
    <row r="11" spans="2:17" ht="14.25">
      <c r="B11" s="53" t="str">
        <f t="shared" si="0"/>
        <v>MINBIOAGRW21</v>
      </c>
      <c r="C11" s="54" t="str">
        <f t="shared" si="1"/>
        <v>Cattle waste potential - Step I</v>
      </c>
      <c r="D11" s="54" t="s">
        <v>296</v>
      </c>
      <c r="E11" s="201">
        <v>10</v>
      </c>
      <c r="F11" s="549"/>
      <c r="H11" s="219"/>
      <c r="I11" s="218" t="s">
        <v>269</v>
      </c>
      <c r="J11" s="219" t="s">
        <v>419</v>
      </c>
      <c r="K11" s="219" t="s">
        <v>11</v>
      </c>
      <c r="L11" s="219"/>
      <c r="M11" s="219"/>
      <c r="N11" s="218"/>
      <c r="O11" s="218"/>
      <c r="Q11" s="499"/>
    </row>
    <row r="12" spans="2:17" ht="14.25">
      <c r="B12" s="53" t="str">
        <f t="shared" si="0"/>
        <v>MINBIOAGRW31</v>
      </c>
      <c r="C12" s="54" t="str">
        <f t="shared" si="1"/>
        <v>Pig waste potential - Step I</v>
      </c>
      <c r="D12" s="54" t="s">
        <v>295</v>
      </c>
      <c r="E12" s="201">
        <v>10</v>
      </c>
      <c r="F12" s="549"/>
      <c r="H12" s="220"/>
      <c r="I12" s="53" t="s">
        <v>270</v>
      </c>
      <c r="J12" s="220" t="s">
        <v>420</v>
      </c>
      <c r="K12" s="220" t="s">
        <v>11</v>
      </c>
      <c r="L12" s="220"/>
      <c r="M12" s="220"/>
      <c r="N12" s="53"/>
      <c r="O12" s="53"/>
      <c r="Q12" s="499"/>
    </row>
    <row r="13" spans="2:17" ht="14.25">
      <c r="B13" s="53" t="str">
        <f t="shared" si="0"/>
        <v>MINBIOMSW21</v>
      </c>
      <c r="C13" s="54" t="str">
        <f t="shared" si="1"/>
        <v>BMSW potential - Step I</v>
      </c>
      <c r="D13" s="54" t="s">
        <v>298</v>
      </c>
      <c r="E13" s="201">
        <v>10</v>
      </c>
      <c r="F13" s="549"/>
      <c r="I13" s="54" t="s">
        <v>271</v>
      </c>
      <c r="J13" s="54" t="s">
        <v>421</v>
      </c>
      <c r="K13" s="54" t="s">
        <v>11</v>
      </c>
      <c r="Q13" s="499"/>
    </row>
    <row r="14" spans="2:17" ht="14.25">
      <c r="B14" s="141" t="str">
        <f t="shared" si="0"/>
        <v>MINBIOINDW11</v>
      </c>
      <c r="C14" s="135" t="str">
        <f t="shared" si="1"/>
        <v>Industrial Food potential - Step I</v>
      </c>
      <c r="D14" s="135" t="s">
        <v>299</v>
      </c>
      <c r="E14" s="147">
        <v>10</v>
      </c>
      <c r="F14" s="549"/>
      <c r="H14" s="135"/>
      <c r="I14" s="135" t="s">
        <v>272</v>
      </c>
      <c r="J14" s="135" t="s">
        <v>422</v>
      </c>
      <c r="K14" s="135" t="s">
        <v>11</v>
      </c>
      <c r="L14" s="135"/>
      <c r="M14" s="135"/>
      <c r="N14" s="135"/>
      <c r="O14" s="135"/>
      <c r="Q14" s="499"/>
    </row>
    <row r="15" spans="2:17" ht="14.25">
      <c r="B15" s="53" t="str">
        <f t="shared" si="0"/>
        <v>MINBIOWOO12</v>
      </c>
      <c r="C15" s="54" t="str">
        <f t="shared" si="1"/>
        <v>Sawmill residues potential - Step II</v>
      </c>
      <c r="D15" s="54" t="s">
        <v>255</v>
      </c>
      <c r="E15" s="201">
        <v>10</v>
      </c>
      <c r="F15" s="549"/>
      <c r="I15" s="54" t="s">
        <v>273</v>
      </c>
      <c r="J15" s="219" t="s">
        <v>423</v>
      </c>
      <c r="K15" s="54" t="s">
        <v>11</v>
      </c>
      <c r="Q15" s="499"/>
    </row>
    <row r="16" spans="2:17" ht="14.25">
      <c r="B16" s="53" t="str">
        <f t="shared" si="0"/>
        <v>MINBIOWOO22</v>
      </c>
      <c r="C16" s="54" t="str">
        <f t="shared" si="1"/>
        <v>Post-Consumer Recycled Wood potential - Step II</v>
      </c>
      <c r="D16" s="54" t="s">
        <v>255</v>
      </c>
      <c r="E16" s="201">
        <v>10</v>
      </c>
      <c r="F16" s="549"/>
      <c r="I16" s="54" t="s">
        <v>274</v>
      </c>
      <c r="J16" s="219" t="s">
        <v>441</v>
      </c>
      <c r="K16" s="54" t="s">
        <v>11</v>
      </c>
      <c r="Q16" s="499"/>
    </row>
    <row r="17" spans="2:17" ht="14.25">
      <c r="B17" s="53" t="str">
        <f t="shared" si="0"/>
        <v>MINBIOMSW12</v>
      </c>
      <c r="C17" s="54" t="str">
        <f t="shared" si="1"/>
        <v>Solid BMSW potential - Step II</v>
      </c>
      <c r="D17" s="54" t="s">
        <v>297</v>
      </c>
      <c r="E17" s="201">
        <v>10</v>
      </c>
      <c r="F17" s="549"/>
      <c r="I17" s="54" t="s">
        <v>275</v>
      </c>
      <c r="J17" s="219" t="s">
        <v>424</v>
      </c>
      <c r="K17" s="54" t="s">
        <v>11</v>
      </c>
      <c r="Q17" s="499"/>
    </row>
    <row r="18" spans="2:17" ht="14.25">
      <c r="B18" s="53" t="str">
        <f t="shared" si="0"/>
        <v>MINBIOAGRW42</v>
      </c>
      <c r="C18" s="54" t="str">
        <f t="shared" si="1"/>
        <v>Tallow potential - Step II</v>
      </c>
      <c r="D18" s="54" t="s">
        <v>294</v>
      </c>
      <c r="E18" s="201">
        <v>10</v>
      </c>
      <c r="F18" s="549"/>
      <c r="I18" s="54" t="s">
        <v>276</v>
      </c>
      <c r="J18" s="219" t="s">
        <v>425</v>
      </c>
      <c r="K18" s="54" t="s">
        <v>11</v>
      </c>
      <c r="Q18" s="499"/>
    </row>
    <row r="19" spans="2:17" ht="14.25">
      <c r="B19" s="53" t="str">
        <f t="shared" si="0"/>
        <v>MINBIORVO2</v>
      </c>
      <c r="C19" s="54" t="str">
        <f t="shared" si="1"/>
        <v>Recovered Vegetable Oil potential - Step II</v>
      </c>
      <c r="D19" s="54" t="s">
        <v>293</v>
      </c>
      <c r="E19" s="201">
        <v>10</v>
      </c>
      <c r="F19" s="549"/>
      <c r="I19" s="54" t="s">
        <v>277</v>
      </c>
      <c r="J19" s="219" t="s">
        <v>442</v>
      </c>
      <c r="K19" s="54" t="s">
        <v>11</v>
      </c>
      <c r="Q19" s="499"/>
    </row>
    <row r="20" spans="2:17" ht="14.25">
      <c r="B20" s="53" t="str">
        <f t="shared" si="0"/>
        <v>MINBIOAGRW12</v>
      </c>
      <c r="C20" s="54" t="str">
        <f t="shared" si="1"/>
        <v>Straw potential - Step II</v>
      </c>
      <c r="D20" s="54" t="s">
        <v>255</v>
      </c>
      <c r="E20" s="201">
        <v>10</v>
      </c>
      <c r="F20" s="549"/>
      <c r="I20" s="54" t="s">
        <v>278</v>
      </c>
      <c r="J20" s="219" t="s">
        <v>426</v>
      </c>
      <c r="K20" s="54" t="s">
        <v>11</v>
      </c>
      <c r="Q20" s="499"/>
    </row>
    <row r="21" spans="2:17">
      <c r="B21" s="53" t="str">
        <f t="shared" si="0"/>
        <v>MINBIOAGRW22</v>
      </c>
      <c r="C21" s="54" t="str">
        <f t="shared" si="1"/>
        <v>Cattle waste potential - Step II</v>
      </c>
      <c r="D21" s="54" t="s">
        <v>296</v>
      </c>
      <c r="E21" s="201">
        <v>10</v>
      </c>
      <c r="F21" s="549"/>
      <c r="I21" s="54" t="s">
        <v>279</v>
      </c>
      <c r="J21" s="219" t="s">
        <v>427</v>
      </c>
      <c r="K21" s="54" t="s">
        <v>11</v>
      </c>
    </row>
    <row r="22" spans="2:17">
      <c r="B22" s="53" t="str">
        <f t="shared" si="0"/>
        <v>MINBIOAGRW32</v>
      </c>
      <c r="C22" s="54" t="str">
        <f t="shared" si="1"/>
        <v>Pig waste potential - Step II</v>
      </c>
      <c r="D22" s="54" t="s">
        <v>295</v>
      </c>
      <c r="E22" s="201">
        <v>10</v>
      </c>
      <c r="F22" s="549"/>
      <c r="I22" s="54" t="s">
        <v>280</v>
      </c>
      <c r="J22" s="220" t="s">
        <v>428</v>
      </c>
      <c r="K22" s="54" t="s">
        <v>11</v>
      </c>
    </row>
    <row r="23" spans="2:17">
      <c r="B23" s="53" t="str">
        <f t="shared" si="0"/>
        <v>MINBIOMSW22</v>
      </c>
      <c r="C23" s="54" t="str">
        <f t="shared" si="1"/>
        <v>BMSW potential - Step II</v>
      </c>
      <c r="D23" s="54" t="s">
        <v>298</v>
      </c>
      <c r="E23" s="201">
        <v>10</v>
      </c>
      <c r="F23" s="549"/>
      <c r="I23" s="54" t="s">
        <v>281</v>
      </c>
      <c r="J23" s="54" t="s">
        <v>429</v>
      </c>
      <c r="K23" s="54" t="s">
        <v>11</v>
      </c>
    </row>
    <row r="24" spans="2:17">
      <c r="B24" s="141" t="str">
        <f t="shared" si="0"/>
        <v>MINBIOINDW12</v>
      </c>
      <c r="C24" s="135" t="str">
        <f t="shared" si="1"/>
        <v>Industrial Food potential - Step II</v>
      </c>
      <c r="D24" s="135" t="s">
        <v>299</v>
      </c>
      <c r="E24" s="147">
        <v>10</v>
      </c>
      <c r="F24" s="549"/>
      <c r="H24" s="135"/>
      <c r="I24" s="135" t="s">
        <v>282</v>
      </c>
      <c r="J24" s="135" t="s">
        <v>430</v>
      </c>
      <c r="K24" s="135" t="s">
        <v>11</v>
      </c>
      <c r="L24" s="135"/>
      <c r="M24" s="135"/>
      <c r="N24" s="135"/>
      <c r="O24" s="135"/>
    </row>
    <row r="25" spans="2:17">
      <c r="B25" s="53" t="str">
        <f t="shared" si="0"/>
        <v>MINBIOWOO13</v>
      </c>
      <c r="C25" s="54" t="str">
        <f t="shared" si="1"/>
        <v>Sawmill residues potential - Step III</v>
      </c>
      <c r="D25" s="54" t="s">
        <v>255</v>
      </c>
      <c r="E25" s="201">
        <v>10</v>
      </c>
      <c r="F25" s="549"/>
      <c r="I25" s="54" t="s">
        <v>283</v>
      </c>
      <c r="J25" s="219" t="s">
        <v>431</v>
      </c>
      <c r="K25" s="54" t="s">
        <v>11</v>
      </c>
    </row>
    <row r="26" spans="2:17">
      <c r="B26" s="53" t="str">
        <f t="shared" si="0"/>
        <v>MINBIOWOO23</v>
      </c>
      <c r="C26" s="54" t="str">
        <f t="shared" si="1"/>
        <v>Post-Consumer Recycled Wood potential - Step III</v>
      </c>
      <c r="D26" s="54" t="s">
        <v>255</v>
      </c>
      <c r="E26" s="201">
        <v>10</v>
      </c>
      <c r="F26" s="549"/>
      <c r="I26" s="54" t="s">
        <v>284</v>
      </c>
      <c r="J26" s="219" t="s">
        <v>443</v>
      </c>
      <c r="K26" s="54" t="s">
        <v>11</v>
      </c>
    </row>
    <row r="27" spans="2:17">
      <c r="B27" s="53" t="str">
        <f t="shared" si="0"/>
        <v>MINBIOMSW13</v>
      </c>
      <c r="C27" s="54" t="str">
        <f t="shared" si="1"/>
        <v>Solid BMSW potential - Step III</v>
      </c>
      <c r="D27" s="54" t="s">
        <v>297</v>
      </c>
      <c r="E27" s="201">
        <v>10</v>
      </c>
      <c r="F27" s="549"/>
      <c r="I27" s="54" t="s">
        <v>285</v>
      </c>
      <c r="J27" s="219" t="s">
        <v>432</v>
      </c>
      <c r="K27" s="54" t="s">
        <v>11</v>
      </c>
    </row>
    <row r="28" spans="2:17">
      <c r="B28" s="53" t="str">
        <f t="shared" si="0"/>
        <v>MINBIOAGRW43</v>
      </c>
      <c r="C28" s="54" t="str">
        <f t="shared" si="1"/>
        <v>Tallow potential - Step III</v>
      </c>
      <c r="D28" s="54" t="s">
        <v>294</v>
      </c>
      <c r="E28" s="201">
        <v>10</v>
      </c>
      <c r="F28" s="549"/>
      <c r="I28" s="54" t="s">
        <v>286</v>
      </c>
      <c r="J28" s="219" t="s">
        <v>433</v>
      </c>
      <c r="K28" s="54" t="s">
        <v>11</v>
      </c>
    </row>
    <row r="29" spans="2:17">
      <c r="B29" s="53" t="str">
        <f t="shared" si="0"/>
        <v>MINBIORVO3</v>
      </c>
      <c r="C29" s="54" t="str">
        <f t="shared" si="1"/>
        <v>Recovered Vegetable Oil potential - Step III</v>
      </c>
      <c r="D29" s="54" t="s">
        <v>293</v>
      </c>
      <c r="E29" s="201">
        <v>10</v>
      </c>
      <c r="F29" s="549"/>
      <c r="I29" s="54" t="s">
        <v>287</v>
      </c>
      <c r="J29" s="219" t="s">
        <v>444</v>
      </c>
      <c r="K29" s="54" t="s">
        <v>11</v>
      </c>
    </row>
    <row r="30" spans="2:17">
      <c r="B30" s="53" t="str">
        <f t="shared" si="0"/>
        <v>MINBIOAGRW13</v>
      </c>
      <c r="C30" s="54" t="str">
        <f t="shared" si="1"/>
        <v>Straw potential - Step III</v>
      </c>
      <c r="D30" s="54" t="s">
        <v>255</v>
      </c>
      <c r="E30" s="201">
        <v>10</v>
      </c>
      <c r="F30" s="549"/>
      <c r="I30" s="54" t="s">
        <v>288</v>
      </c>
      <c r="J30" s="219" t="s">
        <v>434</v>
      </c>
      <c r="K30" s="54" t="s">
        <v>11</v>
      </c>
    </row>
    <row r="31" spans="2:17">
      <c r="B31" s="53" t="str">
        <f t="shared" si="0"/>
        <v>MINBIOAGRW23</v>
      </c>
      <c r="C31" s="54" t="str">
        <f t="shared" si="1"/>
        <v>Cattle waste potential - Step III</v>
      </c>
      <c r="D31" s="54" t="s">
        <v>296</v>
      </c>
      <c r="E31" s="201">
        <v>10</v>
      </c>
      <c r="F31" s="549"/>
      <c r="I31" s="54" t="s">
        <v>289</v>
      </c>
      <c r="J31" s="219" t="s">
        <v>435</v>
      </c>
      <c r="K31" s="54" t="s">
        <v>11</v>
      </c>
    </row>
    <row r="32" spans="2:17">
      <c r="B32" s="53" t="str">
        <f t="shared" si="0"/>
        <v>MINBIOAGRW33</v>
      </c>
      <c r="C32" s="54" t="str">
        <f t="shared" si="1"/>
        <v>Pig waste potential - Step III</v>
      </c>
      <c r="D32" s="54" t="s">
        <v>295</v>
      </c>
      <c r="E32" s="201">
        <v>10</v>
      </c>
      <c r="F32" s="549"/>
      <c r="I32" s="54" t="s">
        <v>290</v>
      </c>
      <c r="J32" s="220" t="s">
        <v>436</v>
      </c>
      <c r="K32" s="54" t="s">
        <v>11</v>
      </c>
    </row>
    <row r="33" spans="2:15">
      <c r="B33" s="53" t="str">
        <f t="shared" si="0"/>
        <v>MINBIOMSW23</v>
      </c>
      <c r="C33" s="54" t="str">
        <f t="shared" si="1"/>
        <v>BMSW potential - Step III</v>
      </c>
      <c r="D33" s="54" t="s">
        <v>298</v>
      </c>
      <c r="E33" s="201">
        <v>10</v>
      </c>
      <c r="F33" s="549"/>
      <c r="I33" s="54" t="s">
        <v>291</v>
      </c>
      <c r="J33" s="54" t="s">
        <v>437</v>
      </c>
      <c r="K33" s="54" t="s">
        <v>11</v>
      </c>
    </row>
    <row r="34" spans="2:15">
      <c r="B34" s="141" t="str">
        <f t="shared" si="0"/>
        <v>MINBIOINDW13</v>
      </c>
      <c r="C34" s="135" t="str">
        <f t="shared" si="1"/>
        <v>Industrial Food potential - Step III</v>
      </c>
      <c r="D34" s="135" t="s">
        <v>299</v>
      </c>
      <c r="E34" s="147">
        <v>10</v>
      </c>
      <c r="F34" s="550"/>
      <c r="H34" s="135"/>
      <c r="I34" s="135" t="s">
        <v>292</v>
      </c>
      <c r="J34" s="135" t="s">
        <v>438</v>
      </c>
      <c r="K34" s="135" t="s">
        <v>11</v>
      </c>
      <c r="L34" s="135"/>
      <c r="M34" s="135"/>
      <c r="N34" s="135"/>
      <c r="O34" s="135"/>
    </row>
    <row r="35" spans="2:15">
      <c r="B35" s="53"/>
    </row>
  </sheetData>
  <mergeCells count="1">
    <mergeCell ref="F5:F3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AG18"/>
  <sheetViews>
    <sheetView workbookViewId="0">
      <selection activeCell="K20" sqref="K20"/>
    </sheetView>
  </sheetViews>
  <sheetFormatPr defaultColWidth="9.1328125" defaultRowHeight="14.25"/>
  <cols>
    <col min="1" max="1" width="9.1328125" style="269"/>
    <col min="2" max="2" width="13.59765625" style="269" customWidth="1"/>
    <col min="3" max="3" width="17" style="269" bestFit="1" customWidth="1"/>
    <col min="4" max="4" width="17.3984375" style="269" bestFit="1" customWidth="1"/>
    <col min="5" max="5" width="9.1328125" style="269"/>
    <col min="6" max="19" width="9.3984375" style="63" customWidth="1"/>
    <col min="20" max="22" width="9.3984375" style="269" customWidth="1"/>
    <col min="23" max="23" width="28.59765625" style="269" bestFit="1" customWidth="1"/>
    <col min="24" max="24" width="9.1328125" style="269"/>
    <col min="25" max="25" width="13.59765625" style="269" bestFit="1" customWidth="1"/>
    <col min="26" max="26" width="17" style="269" bestFit="1" customWidth="1"/>
    <col min="27" max="16384" width="9.1328125" style="269"/>
  </cols>
  <sheetData>
    <row r="2" spans="2:33" ht="18">
      <c r="B2" s="236" t="s">
        <v>303</v>
      </c>
      <c r="C2" s="237"/>
      <c r="D2" s="238"/>
      <c r="E2" s="20" t="s">
        <v>80</v>
      </c>
      <c r="F2" s="252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4"/>
      <c r="R2" s="254"/>
      <c r="S2" s="254"/>
      <c r="T2" s="255"/>
      <c r="U2" s="256"/>
      <c r="Z2" s="240" t="s">
        <v>0</v>
      </c>
      <c r="AA2" s="241"/>
      <c r="AB2" s="241"/>
      <c r="AC2" s="241"/>
      <c r="AD2" s="241"/>
      <c r="AE2" s="241"/>
      <c r="AF2" s="241"/>
      <c r="AG2" s="241"/>
    </row>
    <row r="3" spans="2:33" ht="26.25">
      <c r="B3" s="234" t="s">
        <v>2</v>
      </c>
      <c r="C3" s="234" t="s">
        <v>3</v>
      </c>
      <c r="D3" s="234" t="s">
        <v>133</v>
      </c>
      <c r="E3" s="234" t="s">
        <v>81</v>
      </c>
      <c r="F3" s="233" t="s">
        <v>304</v>
      </c>
      <c r="G3" s="233" t="s">
        <v>400</v>
      </c>
      <c r="H3" s="233" t="s">
        <v>401</v>
      </c>
      <c r="I3" s="233" t="s">
        <v>314</v>
      </c>
      <c r="J3" s="233" t="s">
        <v>460</v>
      </c>
      <c r="K3" s="233" t="s">
        <v>238</v>
      </c>
      <c r="L3" s="233" t="s">
        <v>402</v>
      </c>
      <c r="M3" s="233" t="s">
        <v>403</v>
      </c>
      <c r="N3" s="233" t="s">
        <v>461</v>
      </c>
      <c r="O3" s="232" t="s">
        <v>388</v>
      </c>
      <c r="P3" s="232" t="s">
        <v>386</v>
      </c>
      <c r="Q3" s="232" t="s">
        <v>387</v>
      </c>
      <c r="R3" s="232" t="s">
        <v>462</v>
      </c>
      <c r="S3" s="232" t="s">
        <v>393</v>
      </c>
      <c r="T3" s="232" t="s">
        <v>305</v>
      </c>
      <c r="U3" s="232" t="s">
        <v>306</v>
      </c>
      <c r="V3" s="232" t="s">
        <v>563</v>
      </c>
      <c r="W3" s="235" t="s">
        <v>138</v>
      </c>
      <c r="Z3" s="235" t="s">
        <v>1</v>
      </c>
      <c r="AA3" s="235" t="s">
        <v>2</v>
      </c>
      <c r="AB3" s="235" t="s">
        <v>3</v>
      </c>
      <c r="AC3" s="235" t="s">
        <v>4</v>
      </c>
      <c r="AD3" s="235" t="s">
        <v>5</v>
      </c>
      <c r="AE3" s="235" t="s">
        <v>6</v>
      </c>
      <c r="AF3" s="235" t="s">
        <v>7</v>
      </c>
      <c r="AG3" s="235" t="s">
        <v>8</v>
      </c>
    </row>
    <row r="4" spans="2:33" ht="14.25" customHeight="1" thickBot="1">
      <c r="B4" s="27" t="s">
        <v>307</v>
      </c>
      <c r="C4" s="27"/>
      <c r="D4" s="27"/>
      <c r="E4" s="27"/>
      <c r="F4" s="449" t="s">
        <v>404</v>
      </c>
      <c r="G4" s="24"/>
      <c r="H4" s="24"/>
      <c r="I4" s="24"/>
      <c r="J4" s="24"/>
      <c r="K4" s="24"/>
      <c r="L4" s="24"/>
      <c r="M4" s="24"/>
      <c r="N4" s="24"/>
      <c r="O4" s="449" t="s">
        <v>463</v>
      </c>
      <c r="P4" s="24"/>
      <c r="Q4" s="24"/>
      <c r="R4" s="24"/>
      <c r="S4" s="24"/>
      <c r="T4" s="24" t="s">
        <v>308</v>
      </c>
      <c r="U4" s="24" t="s">
        <v>309</v>
      </c>
      <c r="V4" s="24" t="s">
        <v>97</v>
      </c>
      <c r="W4" s="27"/>
      <c r="Z4" s="243" t="s">
        <v>310</v>
      </c>
      <c r="AA4" s="243" t="s">
        <v>312</v>
      </c>
      <c r="AB4" s="243" t="s">
        <v>313</v>
      </c>
      <c r="AC4" s="244" t="s">
        <v>11</v>
      </c>
      <c r="AD4" s="244" t="s">
        <v>311</v>
      </c>
      <c r="AE4" s="243"/>
      <c r="AF4" s="243" t="str">
        <f>D5</f>
        <v>OILCRD</v>
      </c>
    </row>
    <row r="5" spans="2:33">
      <c r="B5" s="242" t="str">
        <f>AA4</f>
        <v>SREF_Whitegate</v>
      </c>
      <c r="C5" s="242" t="str">
        <f>AB4</f>
        <v>Refinery - Whitegate</v>
      </c>
      <c r="D5" s="245" t="s">
        <v>69</v>
      </c>
      <c r="E5" s="54"/>
      <c r="F5" s="217"/>
      <c r="G5" s="217"/>
      <c r="H5" s="217"/>
      <c r="I5" s="217"/>
      <c r="J5" s="217"/>
      <c r="K5" s="464">
        <f>(SUM(SEAI_Bal!N21:Y21)-SUM(SEAI_Bal!N26:Y26))/SEAI_Bal!M14</f>
        <v>0.97514504901104793</v>
      </c>
      <c r="L5" s="464">
        <f>(SUM(SEAI_Bal!N49:Y49)-SUM(SEAI_Bal!N54:Y54))/SEAI_Bal!M42</f>
        <v>0.99109125891300298</v>
      </c>
      <c r="M5" s="464">
        <f>(SUM(SEAI_Bal!N77:Y77)-SUM(SEAI_Bal!N82:Y82))/SEAI_Bal!M70</f>
        <v>0.99521957436852992</v>
      </c>
      <c r="N5" s="464">
        <f>(SUM(SEAI_Bal!N105:Y105)-SUM(SEAI_Bal!N110:Y110))/SEAI_Bal!M98</f>
        <v>0.99799126990040821</v>
      </c>
      <c r="O5" s="465">
        <f>(SEAI_Bal!L14)*Conversions!$B$2</f>
        <v>131.35401714240001</v>
      </c>
      <c r="P5" s="465">
        <f>(SEAI_Bal!L42)*Conversions!$B$2</f>
        <v>121.5067472784</v>
      </c>
      <c r="Q5" s="465">
        <f>(SEAI_Bal!L70)*Conversions!$B$2</f>
        <v>117.8247246336</v>
      </c>
      <c r="R5" s="465">
        <f>(SEAI_Bal!L98)*Conversions!$B$2</f>
        <v>142.96484252978811</v>
      </c>
      <c r="S5" s="451">
        <f>MAX(O5:R5)</f>
        <v>142.96484252978811</v>
      </c>
      <c r="T5" s="217">
        <v>50</v>
      </c>
      <c r="U5" s="54"/>
      <c r="V5" s="54"/>
      <c r="W5" s="453" t="s">
        <v>407</v>
      </c>
    </row>
    <row r="6" spans="2:33">
      <c r="B6" s="245"/>
      <c r="C6" s="246"/>
      <c r="D6" s="245"/>
      <c r="E6" s="245" t="s">
        <v>397</v>
      </c>
      <c r="F6" s="464">
        <f>(SEAI_Bal!N$21-SEAI_Bal!N$26)/(SUM(SEAI_Bal!$N$21:$Y$21)-SUM(SEAI_Bal!$N$26:$Y$26))</f>
        <v>2.8572651180697587E-3</v>
      </c>
      <c r="G6" s="464">
        <f>(SEAI_Bal!N$49-SEAI_Bal!N$54)/(SUM(SEAI_Bal!$N$49:$Y$49)-SUM(SEAI_Bal!$N$54:$Y$54))</f>
        <v>1.7573397542909115E-3</v>
      </c>
      <c r="H6" s="464">
        <f>(SEAI_Bal!N$77-SEAI_Bal!N$82)/(SUM(SEAI_Bal!$N$77:$Y$77)-SUM(SEAI_Bal!$N$82:$Y$82))</f>
        <v>1.7219160557323942E-3</v>
      </c>
      <c r="I6" s="464">
        <f>(SEAI_Bal!N$105-SEAI_Bal!N$110)/(SUM(SEAI_Bal!$N$105:$Y$105)-SUM(SEAI_Bal!$N$110:$Y$110))</f>
        <v>9.9318920595158535E-3</v>
      </c>
      <c r="J6" s="450">
        <f>MAX(F6:I6)*1.1</f>
        <v>1.0925081265467439E-2</v>
      </c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54"/>
      <c r="V6" s="451"/>
      <c r="W6" s="245" t="s">
        <v>336</v>
      </c>
    </row>
    <row r="7" spans="2:33">
      <c r="B7" s="247"/>
      <c r="C7" s="239"/>
      <c r="D7" s="248"/>
      <c r="E7" s="245" t="s">
        <v>71</v>
      </c>
      <c r="F7" s="464">
        <f>(SEAI_Bal!O$21-SEAI_Bal!O$26)/(SUM(SEAI_Bal!$N$21:$Y$21)-SUM(SEAI_Bal!$N$26:$Y$26))</f>
        <v>0.19187333835393638</v>
      </c>
      <c r="G7" s="464">
        <f>(SEAI_Bal!O$49-SEAI_Bal!O$54)/(SUM(SEAI_Bal!$N$49:$Y$49)-SUM(SEAI_Bal!$N$54:$Y$54))</f>
        <v>0.19571142937659458</v>
      </c>
      <c r="H7" s="464">
        <f>(SEAI_Bal!O$77-SEAI_Bal!O$82)/(SUM(SEAI_Bal!$N$77:$Y$77)-SUM(SEAI_Bal!$N$82:$Y$82))</f>
        <v>0.18707617645630659</v>
      </c>
      <c r="I7" s="464">
        <f>(SEAI_Bal!O$105-SEAI_Bal!O$110)/(SUM(SEAI_Bal!$N$105:$Y$105)-SUM(SEAI_Bal!$N$110:$Y$110))</f>
        <v>0.1890064710000951</v>
      </c>
      <c r="J7" s="450">
        <f>MAX(F7:I7)*1.1</f>
        <v>0.21528257231425404</v>
      </c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54"/>
      <c r="V7" s="452">
        <v>1.7</v>
      </c>
      <c r="W7" s="245" t="s">
        <v>337</v>
      </c>
    </row>
    <row r="8" spans="2:33">
      <c r="B8" s="247"/>
      <c r="C8" s="249"/>
      <c r="D8" s="248"/>
      <c r="E8" s="245" t="s">
        <v>73</v>
      </c>
      <c r="F8" s="464">
        <f>(SEAI_Bal!P$21-SEAI_Bal!P$26)/(SUM(SEAI_Bal!$N$21:$Y$21)-SUM(SEAI_Bal!$N$26:$Y$26))</f>
        <v>4.5544724867692413E-2</v>
      </c>
      <c r="G8" s="464">
        <f>(SEAI_Bal!P$49-SEAI_Bal!P$54)/(SUM(SEAI_Bal!$N$49:$Y$49)-SUM(SEAI_Bal!$N$54:$Y$54))</f>
        <v>3.8703458978187999E-2</v>
      </c>
      <c r="H8" s="464">
        <f>(SEAI_Bal!P$77-SEAI_Bal!P$82)/(SUM(SEAI_Bal!$N$77:$Y$77)-SUM(SEAI_Bal!$N$82:$Y$82))</f>
        <v>5.155566585458405E-2</v>
      </c>
      <c r="I8" s="464">
        <f>(SEAI_Bal!P$105-SEAI_Bal!P$110)/(SUM(SEAI_Bal!$N$105:$Y$105)-SUM(SEAI_Bal!$N$110:$Y$110))</f>
        <v>4.4064893711572649E-2</v>
      </c>
      <c r="J8" s="450">
        <f>MAX(F8:I8)*1.1</f>
        <v>5.6711232440042461E-2</v>
      </c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54"/>
      <c r="V8" s="452">
        <v>1.7</v>
      </c>
      <c r="W8" s="245" t="s">
        <v>338</v>
      </c>
    </row>
    <row r="9" spans="2:33">
      <c r="B9" s="250" t="s">
        <v>399</v>
      </c>
      <c r="C9" s="249"/>
      <c r="D9" s="248"/>
      <c r="E9" s="245" t="s">
        <v>399</v>
      </c>
      <c r="F9" s="464">
        <f>(SEAI_Bal!Q$21-SEAI_Bal!Q$26)/(SUM(SEAI_Bal!$N$21:$Y$21)-SUM(SEAI_Bal!$N$26:$Y$26))</f>
        <v>0</v>
      </c>
      <c r="G9" s="464">
        <f>(SEAI_Bal!Q$49-SEAI_Bal!Q$54)/(SUM(SEAI_Bal!$N$49:$Y$49)-SUM(SEAI_Bal!$N$54:$Y$54))</f>
        <v>0</v>
      </c>
      <c r="H9" s="464">
        <f>(SEAI_Bal!Q$77-SEAI_Bal!Q$82)/(SUM(SEAI_Bal!$N$77:$Y$77)-SUM(SEAI_Bal!$N$82:$Y$82))</f>
        <v>0</v>
      </c>
      <c r="I9" s="464">
        <f>(SEAI_Bal!Q$105-SEAI_Bal!Q$110)/(SUM(SEAI_Bal!$N$105:$Y$105)-SUM(SEAI_Bal!$N$110:$Y$110))</f>
        <v>0</v>
      </c>
      <c r="J9" s="450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54"/>
      <c r="V9" s="452"/>
      <c r="W9" s="245" t="s">
        <v>339</v>
      </c>
    </row>
    <row r="10" spans="2:33">
      <c r="B10" s="247"/>
      <c r="C10" s="249"/>
      <c r="D10" s="248"/>
      <c r="E10" s="245" t="s">
        <v>72</v>
      </c>
      <c r="F10" s="464">
        <f>(SEAI_Bal!R$21-SEAI_Bal!R$26)/(SUM(SEAI_Bal!$N$21:$Y$21)-SUM(SEAI_Bal!$N$26:$Y$26))</f>
        <v>0.30952168784779965</v>
      </c>
      <c r="G10" s="464">
        <f>(SEAI_Bal!R$49-SEAI_Bal!R$54)/(SUM(SEAI_Bal!$N$49:$Y$49)-SUM(SEAI_Bal!$N$54:$Y$54))</f>
        <v>0.31876895508405695</v>
      </c>
      <c r="H10" s="464">
        <f>(SEAI_Bal!R$77-SEAI_Bal!R$82)/(SUM(SEAI_Bal!$N$77:$Y$77)-SUM(SEAI_Bal!$N$82:$Y$82))</f>
        <v>0.32784783002983553</v>
      </c>
      <c r="I10" s="464">
        <f>(SEAI_Bal!R$105-SEAI_Bal!R$110)/(SUM(SEAI_Bal!$N$105:$Y$105)-SUM(SEAI_Bal!$N$110:$Y$110))</f>
        <v>0.33518051031150281</v>
      </c>
      <c r="J10" s="450">
        <f>MAX(F10:I10)*1.1</f>
        <v>0.36869856134265311</v>
      </c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54"/>
      <c r="V10" s="452">
        <v>0.83603571428571199</v>
      </c>
      <c r="W10" s="245" t="s">
        <v>340</v>
      </c>
    </row>
    <row r="11" spans="2:33">
      <c r="B11" s="250"/>
      <c r="C11" s="249"/>
      <c r="D11" s="248"/>
      <c r="E11" s="245" t="s">
        <v>74</v>
      </c>
      <c r="F11" s="464">
        <f>(SEAI_Bal!S$21-SEAI_Bal!S$26)/(SUM(SEAI_Bal!$N$21:$Y$21)-SUM(SEAI_Bal!$N$26:$Y$26))</f>
        <v>2.3369218654876782E-2</v>
      </c>
      <c r="G11" s="464">
        <f>(SEAI_Bal!S$49-SEAI_Bal!S$54)/(SUM(SEAI_Bal!$N$49:$Y$49)-SUM(SEAI_Bal!$N$54:$Y$54))</f>
        <v>2.4679379597538263E-2</v>
      </c>
      <c r="H11" s="464">
        <f>(SEAI_Bal!S$77-SEAI_Bal!S$82)/(SUM(SEAI_Bal!$N$77:$Y$77)-SUM(SEAI_Bal!$N$82:$Y$82))</f>
        <v>2.3982776739444402E-2</v>
      </c>
      <c r="I11" s="464">
        <f>(SEAI_Bal!S$105-SEAI_Bal!S$110)/(SUM(SEAI_Bal!$N$105:$Y$105)-SUM(SEAI_Bal!$N$110:$Y$110))</f>
        <v>1.5463157429017384E-2</v>
      </c>
      <c r="J11" s="450"/>
      <c r="K11" s="257"/>
      <c r="L11" s="257"/>
      <c r="M11" s="257"/>
      <c r="N11" s="257"/>
      <c r="O11" s="257"/>
      <c r="P11" s="257"/>
      <c r="Q11" s="257"/>
      <c r="R11" s="257"/>
      <c r="S11" s="257"/>
      <c r="T11" s="259"/>
      <c r="U11" s="54"/>
      <c r="V11" s="452">
        <v>1.3357142857142801</v>
      </c>
      <c r="W11" s="245" t="s">
        <v>341</v>
      </c>
    </row>
    <row r="12" spans="2:33">
      <c r="B12" s="250"/>
      <c r="C12" s="249"/>
      <c r="D12" s="248"/>
      <c r="E12" s="245" t="s">
        <v>70</v>
      </c>
      <c r="F12" s="464">
        <f>(SEAI_Bal!T$21-SEAI_Bal!T$26)/(SUM(SEAI_Bal!$N$21:$Y$21)-SUM(SEAI_Bal!$N$26:$Y$26))</f>
        <v>0.42353451581560209</v>
      </c>
      <c r="G12" s="464">
        <f>(SEAI_Bal!T$49-SEAI_Bal!T$54)/(SUM(SEAI_Bal!$N$49:$Y$49)-SUM(SEAI_Bal!$N$54:$Y$54))</f>
        <v>0.40994075218445536</v>
      </c>
      <c r="H12" s="464">
        <f>(SEAI_Bal!T$77-SEAI_Bal!T$82)/(SUM(SEAI_Bal!$N$77:$Y$77)-SUM(SEAI_Bal!$N$82:$Y$82))</f>
        <v>0.40033402843263444</v>
      </c>
      <c r="I12" s="464">
        <f>(SEAI_Bal!T$105-SEAI_Bal!T$110)/(SUM(SEAI_Bal!$N$105:$Y$105)-SUM(SEAI_Bal!$N$110:$Y$110))</f>
        <v>0.39747939886151551</v>
      </c>
      <c r="J12" s="450">
        <f>MAX(F12:I12)*1.1</f>
        <v>0.46588796739716232</v>
      </c>
      <c r="K12" s="257"/>
      <c r="L12" s="257"/>
      <c r="M12" s="257"/>
      <c r="N12" s="257"/>
      <c r="O12" s="257"/>
      <c r="P12" s="257"/>
      <c r="Q12" s="257"/>
      <c r="R12" s="257"/>
      <c r="S12" s="257"/>
      <c r="T12" s="259"/>
      <c r="U12" s="54"/>
      <c r="V12" s="452">
        <v>1.5785714285714201</v>
      </c>
      <c r="W12" s="245" t="s">
        <v>342</v>
      </c>
    </row>
    <row r="13" spans="2:33">
      <c r="B13" s="250"/>
      <c r="C13" s="249"/>
      <c r="D13" s="248"/>
      <c r="E13" s="245" t="s">
        <v>161</v>
      </c>
      <c r="F13" s="464">
        <f>(SEAI_Bal!U$21-SEAI_Bal!U$26)/(SUM(SEAI_Bal!$N$21:$Y$21)-SUM(SEAI_Bal!$N$26:$Y$26))</f>
        <v>0</v>
      </c>
      <c r="G13" s="464">
        <f>(SEAI_Bal!U$49-SEAI_Bal!U$54)/(SUM(SEAI_Bal!$N$49:$Y$49)-SUM(SEAI_Bal!$N$54:$Y$54))</f>
        <v>0</v>
      </c>
      <c r="H13" s="464">
        <f>(SEAI_Bal!U$77-SEAI_Bal!U$82)/(SUM(SEAI_Bal!$N$77:$Y$77)-SUM(SEAI_Bal!$N$82:$Y$82))</f>
        <v>0</v>
      </c>
      <c r="I13" s="464">
        <f>(SEAI_Bal!U$105-SEAI_Bal!U$110)/(SUM(SEAI_Bal!$N$105:$Y$105)-SUM(SEAI_Bal!$N$110:$Y$110))</f>
        <v>0</v>
      </c>
      <c r="J13" s="450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54"/>
      <c r="V13" s="452"/>
      <c r="W13" s="245" t="s">
        <v>343</v>
      </c>
    </row>
    <row r="14" spans="2:33">
      <c r="B14" s="250"/>
      <c r="C14" s="249"/>
      <c r="D14" s="248"/>
      <c r="E14" s="245" t="s">
        <v>398</v>
      </c>
      <c r="F14" s="464">
        <f>(SEAI_Bal!V$21-SEAI_Bal!V$26)/(SUM(SEAI_Bal!$N$21:$Y$21)-SUM(SEAI_Bal!$N$26:$Y$26))</f>
        <v>3.2992493420228855E-3</v>
      </c>
      <c r="G14" s="464">
        <f>(SEAI_Bal!V$49-SEAI_Bal!V$54)/(SUM(SEAI_Bal!$N$49:$Y$49)-SUM(SEAI_Bal!$N$54:$Y$54))</f>
        <v>1.0438685024875898E-2</v>
      </c>
      <c r="H14" s="464">
        <f>(SEAI_Bal!V$77-SEAI_Bal!V$82)/(SUM(SEAI_Bal!$N$77:$Y$77)-SUM(SEAI_Bal!$N$82:$Y$82))</f>
        <v>7.4816064314624977E-3</v>
      </c>
      <c r="I14" s="464">
        <f>(SEAI_Bal!V$105-SEAI_Bal!V$110)/(SUM(SEAI_Bal!$N$105:$Y$105)-SUM(SEAI_Bal!$N$110:$Y$110))</f>
        <v>8.8736766267806227E-3</v>
      </c>
      <c r="J14" s="450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54"/>
      <c r="V14" s="452">
        <v>1.21428571428571</v>
      </c>
      <c r="W14" s="245" t="s">
        <v>344</v>
      </c>
    </row>
    <row r="15" spans="2:33">
      <c r="B15" s="250" t="s">
        <v>399</v>
      </c>
      <c r="C15" s="249"/>
      <c r="D15" s="248"/>
      <c r="E15" s="245" t="s">
        <v>399</v>
      </c>
      <c r="F15" s="464">
        <f>SEAI_Bal!W$21/(SUM(SEAI_Bal!$N$21:$Y$21)-SUM(SEAI_Bal!$N$26:$Y$26))</f>
        <v>0</v>
      </c>
      <c r="G15" s="464">
        <f>SEAI_Bal!W$49/(SUM(SEAI_Bal!$N$49:$Y$49)-SUM(SEAI_Bal!$N$54:$Y$54))</f>
        <v>0</v>
      </c>
      <c r="H15" s="464">
        <f>SEAI_Bal!W$77/(SUM(SEAI_Bal!$N$77:$Y$77)-SUM(SEAI_Bal!$N$82:$Y$82))</f>
        <v>0</v>
      </c>
      <c r="I15" s="464">
        <f>SEAI_Bal!W$105/(SUM(SEAI_Bal!$N$105:$Y$105)-SUM(SEAI_Bal!$N$110:$Y$110))</f>
        <v>0</v>
      </c>
      <c r="J15" s="450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54"/>
      <c r="V15" s="452"/>
      <c r="W15" s="245" t="s">
        <v>345</v>
      </c>
    </row>
    <row r="16" spans="2:33">
      <c r="B16" s="250" t="s">
        <v>399</v>
      </c>
      <c r="C16" s="54"/>
      <c r="D16" s="54"/>
      <c r="E16" s="245" t="s">
        <v>399</v>
      </c>
      <c r="F16" s="464">
        <f>SEAI_Bal!X$21/(SUM(SEAI_Bal!$N$21:$Y$21)-SUM(SEAI_Bal!$N$26:$Y$26))</f>
        <v>0</v>
      </c>
      <c r="G16" s="464">
        <f>SEAI_Bal!X$49/(SUM(SEAI_Bal!$N$49:$Y$49)-SUM(SEAI_Bal!$N$54:$Y$54))</f>
        <v>0</v>
      </c>
      <c r="H16" s="464">
        <f>SEAI_Bal!X$77/(SUM(SEAI_Bal!$N$77:$Y$77)-SUM(SEAI_Bal!$N$82:$Y$82))</f>
        <v>0</v>
      </c>
      <c r="I16" s="464">
        <f>SEAI_Bal!X$105/(SUM(SEAI_Bal!$N$105:$Y$105)-SUM(SEAI_Bal!$N$110:$Y$110))</f>
        <v>0</v>
      </c>
      <c r="J16" s="450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452"/>
      <c r="W16" s="245" t="s">
        <v>346</v>
      </c>
      <c r="AD16" s="251"/>
      <c r="AE16" s="251"/>
      <c r="AF16" s="251"/>
    </row>
    <row r="17" spans="2:31">
      <c r="B17" s="250" t="s">
        <v>399</v>
      </c>
      <c r="C17" s="54"/>
      <c r="D17" s="54"/>
      <c r="E17" s="245" t="s">
        <v>399</v>
      </c>
      <c r="F17" s="464">
        <f>SEAI_Bal!Y$21/(SUM(SEAI_Bal!$N$21:$Y$21)-SUM(SEAI_Bal!$N$26:$Y$26))</f>
        <v>0</v>
      </c>
      <c r="G17" s="464">
        <f>SEAI_Bal!Y$49/(SUM(SEAI_Bal!$N$49:$Y$49)-SUM(SEAI_Bal!$N$54:$Y$54))</f>
        <v>0</v>
      </c>
      <c r="H17" s="464">
        <f>SEAI_Bal!Y$77/(SUM(SEAI_Bal!$N$77:$Y$77)-SUM(SEAI_Bal!$N$82:$Y$82))</f>
        <v>0</v>
      </c>
      <c r="I17" s="464">
        <f>SEAI_Bal!Y$105/(SUM(SEAI_Bal!$N$105:$Y$105)-SUM(SEAI_Bal!$N$110:$Y$110))</f>
        <v>0</v>
      </c>
      <c r="J17" s="450"/>
      <c r="K17" s="217"/>
      <c r="L17" s="217"/>
      <c r="M17" s="217"/>
      <c r="N17" s="217"/>
      <c r="O17" s="258"/>
      <c r="P17" s="258"/>
      <c r="Q17" s="258"/>
      <c r="R17" s="258"/>
      <c r="S17" s="54"/>
      <c r="T17" s="217"/>
      <c r="U17" s="217"/>
      <c r="V17" s="452"/>
      <c r="W17" s="245" t="s">
        <v>347</v>
      </c>
      <c r="AD17" s="251"/>
      <c r="AE17" s="251"/>
    </row>
    <row r="18" spans="2:31">
      <c r="M18" s="192"/>
      <c r="N18" s="192"/>
      <c r="O18" s="192"/>
      <c r="P18" s="192"/>
      <c r="Q18" s="269"/>
      <c r="R18" s="498"/>
      <c r="T18" s="63"/>
      <c r="AB18" s="251"/>
      <c r="AC18" s="25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AB36"/>
  <sheetViews>
    <sheetView workbookViewId="0">
      <selection activeCell="T18" sqref="T18"/>
    </sheetView>
  </sheetViews>
  <sheetFormatPr defaultColWidth="9.1328125" defaultRowHeight="14.25"/>
  <cols>
    <col min="1" max="1" width="9.1328125" style="58"/>
    <col min="2" max="2" width="15.59765625" style="58" customWidth="1"/>
    <col min="3" max="3" width="26.59765625" style="58" bestFit="1" customWidth="1"/>
    <col min="4" max="4" width="10.86328125" style="58" customWidth="1"/>
    <col min="5" max="5" width="10.86328125" style="58" bestFit="1" customWidth="1"/>
    <col min="6" max="14" width="10.1328125" style="58" customWidth="1"/>
    <col min="15" max="20" width="10.265625" style="58" customWidth="1"/>
    <col min="21" max="21" width="9.1328125" style="58"/>
    <col min="22" max="22" width="12" style="58" bestFit="1" customWidth="1"/>
    <col min="23" max="23" width="26.59765625" style="58" bestFit="1" customWidth="1"/>
    <col min="24" max="16384" width="9.1328125" style="58"/>
  </cols>
  <sheetData>
    <row r="2" spans="2:28" ht="18">
      <c r="B2" s="30" t="s">
        <v>102</v>
      </c>
      <c r="C2" s="31"/>
      <c r="E2" s="32" t="s">
        <v>184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28" ht="26.25">
      <c r="B3" s="35" t="s">
        <v>2</v>
      </c>
      <c r="C3" s="35" t="s">
        <v>3</v>
      </c>
      <c r="D3" s="36" t="s">
        <v>133</v>
      </c>
      <c r="E3" s="36" t="s">
        <v>81</v>
      </c>
      <c r="F3" s="38" t="s">
        <v>561</v>
      </c>
      <c r="G3" s="38" t="s">
        <v>182</v>
      </c>
      <c r="H3" s="38" t="s">
        <v>183</v>
      </c>
      <c r="I3" s="38" t="s">
        <v>84</v>
      </c>
      <c r="J3" s="38" t="s">
        <v>86</v>
      </c>
      <c r="K3" s="38" t="s">
        <v>87</v>
      </c>
      <c r="L3" s="38" t="s">
        <v>88</v>
      </c>
      <c r="M3" s="38" t="s">
        <v>131</v>
      </c>
      <c r="N3" s="38" t="s">
        <v>135</v>
      </c>
      <c r="O3" s="38" t="s">
        <v>136</v>
      </c>
      <c r="P3" s="38" t="s">
        <v>137</v>
      </c>
      <c r="Q3" s="38" t="s">
        <v>129</v>
      </c>
      <c r="R3" s="38" t="s">
        <v>130</v>
      </c>
      <c r="S3" s="152" t="s">
        <v>132</v>
      </c>
      <c r="U3" s="14" t="s">
        <v>0</v>
      </c>
      <c r="V3" s="14"/>
      <c r="W3" s="15"/>
      <c r="X3" s="15"/>
      <c r="Y3" s="15"/>
      <c r="Z3" s="15"/>
      <c r="AA3" s="15"/>
      <c r="AB3" s="15"/>
    </row>
    <row r="4" spans="2:28" ht="14.65" thickBot="1">
      <c r="B4" s="40" t="s">
        <v>89</v>
      </c>
      <c r="C4" s="41" t="s">
        <v>90</v>
      </c>
      <c r="D4" s="41"/>
      <c r="E4" s="41"/>
      <c r="F4" s="42" t="s">
        <v>97</v>
      </c>
      <c r="G4" s="42" t="s">
        <v>97</v>
      </c>
      <c r="H4" s="42" t="s">
        <v>97</v>
      </c>
      <c r="I4" s="42" t="s">
        <v>97</v>
      </c>
      <c r="J4" s="42" t="s">
        <v>97</v>
      </c>
      <c r="K4" s="42" t="s">
        <v>97</v>
      </c>
      <c r="L4" s="42" t="s">
        <v>97</v>
      </c>
      <c r="M4" s="42" t="s">
        <v>11</v>
      </c>
      <c r="N4" s="42" t="s">
        <v>11</v>
      </c>
      <c r="O4" s="42" t="s">
        <v>11</v>
      </c>
      <c r="P4" s="42" t="s">
        <v>11</v>
      </c>
      <c r="Q4" s="42" t="s">
        <v>11</v>
      </c>
      <c r="R4" s="42" t="s">
        <v>11</v>
      </c>
      <c r="S4" s="72"/>
      <c r="U4" s="13" t="s">
        <v>1</v>
      </c>
      <c r="V4" s="13" t="s">
        <v>2</v>
      </c>
      <c r="W4" s="13" t="s">
        <v>3</v>
      </c>
      <c r="X4" s="13" t="s">
        <v>4</v>
      </c>
      <c r="Y4" s="13" t="s">
        <v>5</v>
      </c>
      <c r="Z4" s="13" t="s">
        <v>6</v>
      </c>
      <c r="AA4" s="13" t="s">
        <v>7</v>
      </c>
      <c r="AB4" s="13" t="s">
        <v>8</v>
      </c>
    </row>
    <row r="5" spans="2:28">
      <c r="B5" s="58" t="str">
        <f>Interconnector!V5</f>
        <v>IMPELCC_UK</v>
      </c>
      <c r="C5" s="58" t="str">
        <f>Interconnector!W5</f>
        <v>Import of Electricity from UK</v>
      </c>
      <c r="E5" s="58" t="s">
        <v>134</v>
      </c>
      <c r="F5" s="212">
        <f t="shared" ref="F5:L5" si="0">F22</f>
        <v>21.459200912902137</v>
      </c>
      <c r="G5" s="212">
        <f t="shared" si="0"/>
        <v>19.243858898019401</v>
      </c>
      <c r="H5" s="212">
        <f t="shared" si="0"/>
        <v>16.731592112821932</v>
      </c>
      <c r="I5" s="212">
        <f t="shared" si="0"/>
        <v>13.29765454468259</v>
      </c>
      <c r="J5" s="212">
        <f t="shared" si="0"/>
        <v>19.864459777168182</v>
      </c>
      <c r="K5" s="212">
        <f t="shared" si="0"/>
        <v>23.122039979266045</v>
      </c>
      <c r="L5" s="212">
        <f t="shared" si="0"/>
        <v>26.829511103517522</v>
      </c>
      <c r="M5" s="70">
        <f>SEAI_Bal!AK3*0.041868</f>
        <v>2.8214863737475673</v>
      </c>
      <c r="N5" s="70">
        <f>SEAI_Bal!AK31*0.041868</f>
        <v>9.4522904260776013</v>
      </c>
      <c r="O5" s="70">
        <f>SEAI_Bal!AK59*0.041868</f>
        <v>10.272701673525599</v>
      </c>
      <c r="P5" s="70">
        <f>SEAI_Bal!AK87*0.041868</f>
        <v>6.3082434794760003</v>
      </c>
      <c r="Q5" s="69">
        <f>MAX(M5:P5)*1.1</f>
        <v>11.299971840878161</v>
      </c>
      <c r="R5" s="69">
        <f>Q5</f>
        <v>11.299971840878161</v>
      </c>
      <c r="S5" s="63">
        <v>5</v>
      </c>
      <c r="U5" t="s">
        <v>28</v>
      </c>
      <c r="V5" s="52" t="s">
        <v>124</v>
      </c>
      <c r="W5" s="52" t="s">
        <v>126</v>
      </c>
      <c r="X5" s="52" t="s">
        <v>11</v>
      </c>
      <c r="Y5" s="52"/>
      <c r="Z5" s="52" t="s">
        <v>128</v>
      </c>
    </row>
    <row r="6" spans="2:28">
      <c r="B6" s="65" t="str">
        <f>Interconnector!V6</f>
        <v>EXPELCC_UK</v>
      </c>
      <c r="C6" s="65" t="str">
        <f>Interconnector!W6</f>
        <v>Export of Electricity to UK</v>
      </c>
      <c r="D6" s="65" t="s">
        <v>134</v>
      </c>
      <c r="E6" s="65"/>
      <c r="F6" s="66">
        <f>F5*0.7</f>
        <v>15.021440639031495</v>
      </c>
      <c r="G6" s="66">
        <f t="shared" ref="G6:L6" si="1">G5*0.7</f>
        <v>13.47070122861358</v>
      </c>
      <c r="H6" s="66">
        <f t="shared" si="1"/>
        <v>11.712114478975352</v>
      </c>
      <c r="I6" s="66">
        <f t="shared" si="1"/>
        <v>9.3083581812778124</v>
      </c>
      <c r="J6" s="66">
        <f t="shared" si="1"/>
        <v>13.905121844017726</v>
      </c>
      <c r="K6" s="66">
        <f t="shared" si="1"/>
        <v>16.185427985486232</v>
      </c>
      <c r="L6" s="66">
        <f t="shared" si="1"/>
        <v>18.780657772462263</v>
      </c>
      <c r="M6" s="71">
        <f>SEAI_Bal!AK4*0.041868</f>
        <v>1.3327091584765201</v>
      </c>
      <c r="N6" s="71">
        <f>SEAI_Bal!AK32*0.041868</f>
        <v>1.3789441252728001</v>
      </c>
      <c r="O6" s="71">
        <f>SEAI_Bal!AK60*0.041868</f>
        <v>2.5347038845896006</v>
      </c>
      <c r="P6" s="71">
        <f>SEAI_Bal!AK88*0.041868</f>
        <v>3.8836751357159995</v>
      </c>
      <c r="Q6" s="67">
        <f>Q5</f>
        <v>11.299971840878161</v>
      </c>
      <c r="R6" s="67">
        <f t="shared" ref="R6" si="2">R5</f>
        <v>11.299971840878161</v>
      </c>
      <c r="S6" s="68">
        <v>5</v>
      </c>
      <c r="U6" t="s">
        <v>123</v>
      </c>
      <c r="V6" t="s">
        <v>125</v>
      </c>
      <c r="W6" s="52" t="s">
        <v>127</v>
      </c>
      <c r="X6" s="52" t="s">
        <v>11</v>
      </c>
      <c r="Y6" s="52"/>
      <c r="Z6" t="s">
        <v>128</v>
      </c>
    </row>
    <row r="7" spans="2:28">
      <c r="B7" s="73" t="s">
        <v>138</v>
      </c>
      <c r="C7" s="73"/>
      <c r="D7" s="73"/>
      <c r="E7" s="73"/>
      <c r="F7" s="551" t="s">
        <v>322</v>
      </c>
      <c r="G7" s="551"/>
      <c r="H7" s="551"/>
      <c r="I7" s="551"/>
      <c r="J7" s="551"/>
      <c r="K7" s="551"/>
      <c r="L7" s="551"/>
      <c r="M7" s="552" t="s">
        <v>139</v>
      </c>
      <c r="N7" s="552"/>
      <c r="O7" s="552"/>
      <c r="P7" s="552"/>
      <c r="Q7" s="547" t="s">
        <v>464</v>
      </c>
      <c r="R7" s="547"/>
      <c r="S7" s="73"/>
    </row>
    <row r="9" spans="2:28">
      <c r="N9" s="64"/>
      <c r="O9" s="64"/>
      <c r="P9" s="64"/>
    </row>
    <row r="11" spans="2:28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28">
      <c r="B12"/>
      <c r="D12" t="s">
        <v>242</v>
      </c>
      <c r="E12"/>
      <c r="F12" t="s">
        <v>241</v>
      </c>
      <c r="G12"/>
      <c r="H12"/>
      <c r="I12"/>
      <c r="J12"/>
      <c r="K12"/>
      <c r="L12"/>
      <c r="M12"/>
      <c r="N12"/>
      <c r="O12"/>
      <c r="P12"/>
      <c r="Q12"/>
    </row>
    <row r="13" spans="2:28">
      <c r="B13"/>
      <c r="D13" t="s">
        <v>240</v>
      </c>
      <c r="E13"/>
      <c r="F13">
        <v>2012</v>
      </c>
      <c r="G13">
        <v>2013</v>
      </c>
      <c r="H13">
        <v>2014</v>
      </c>
      <c r="I13">
        <v>2020</v>
      </c>
      <c r="J13">
        <v>2030</v>
      </c>
      <c r="K13">
        <v>2040</v>
      </c>
      <c r="L13">
        <v>2050</v>
      </c>
      <c r="M13"/>
      <c r="N13"/>
      <c r="O13"/>
      <c r="P13"/>
      <c r="Q13"/>
    </row>
    <row r="14" spans="2:28">
      <c r="B14" t="s">
        <v>239</v>
      </c>
      <c r="D14">
        <v>1800</v>
      </c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2:28">
      <c r="B15" t="s">
        <v>238</v>
      </c>
      <c r="D15">
        <v>0.47499999999999998</v>
      </c>
      <c r="E15"/>
      <c r="F15" s="209">
        <f>F19/$D$15</f>
        <v>59.752421052631576</v>
      </c>
      <c r="G15" s="209">
        <f>G19/$D$15</f>
        <v>59.752421052631576</v>
      </c>
      <c r="H15" s="209">
        <f>H19/$D$15</f>
        <v>59.752421052631576</v>
      </c>
      <c r="I15" s="209">
        <f>I19/$D$15</f>
        <v>59.752421052631576</v>
      </c>
      <c r="J15" s="209">
        <v>60</v>
      </c>
      <c r="K15" s="209">
        <v>60</v>
      </c>
      <c r="L15" s="209">
        <f>L19/$D$15</f>
        <v>59.752421052631576</v>
      </c>
      <c r="M15"/>
      <c r="N15" t="s">
        <v>11</v>
      </c>
      <c r="O15" t="s">
        <v>237</v>
      </c>
      <c r="P15"/>
      <c r="Q15"/>
    </row>
    <row r="16" spans="2:28">
      <c r="B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2:19">
      <c r="B17" t="s">
        <v>236</v>
      </c>
      <c r="D17"/>
      <c r="E17"/>
      <c r="F17" s="191">
        <f>Imports_Fossil!E6</f>
        <v>9.7972871002951827</v>
      </c>
      <c r="G17" s="191">
        <f>Imports_Fossil!F6</f>
        <v>8.7449996432258814</v>
      </c>
      <c r="H17" s="191">
        <f>Imports_Fossil!G6</f>
        <v>7.5516729202570847</v>
      </c>
      <c r="I17" s="191">
        <f>Imports_Fossil!I6</f>
        <v>5.9205525753908965</v>
      </c>
      <c r="J17" s="191">
        <f>Imports_Fossil!J6</f>
        <v>9.0024840529916368</v>
      </c>
      <c r="K17" s="191">
        <f>Imports_Fossil!K6</f>
        <v>10.543449791792009</v>
      </c>
      <c r="L17" s="191">
        <f>Imports_Fossil!L6</f>
        <v>12.348184440837489</v>
      </c>
      <c r="M17"/>
      <c r="N17" s="208" t="str">
        <f>Imports_Fossil!M6</f>
        <v>WEO2016 potential - Current Policies Scenario</v>
      </c>
      <c r="O17"/>
      <c r="P17"/>
      <c r="Q17"/>
    </row>
    <row r="18" spans="2:19">
      <c r="B18"/>
      <c r="D18"/>
      <c r="E18"/>
      <c r="F18" s="207">
        <f t="shared" ref="F18:L18" si="3">F17*F15/F19</f>
        <v>20.625867579568805</v>
      </c>
      <c r="G18" s="207">
        <f t="shared" si="3"/>
        <v>18.410525564686068</v>
      </c>
      <c r="H18" s="207">
        <f t="shared" si="3"/>
        <v>15.8982587794886</v>
      </c>
      <c r="I18" s="207">
        <f t="shared" si="3"/>
        <v>12.464321211349256</v>
      </c>
      <c r="J18" s="207">
        <f t="shared" si="3"/>
        <v>19.03112644383485</v>
      </c>
      <c r="K18" s="207">
        <f t="shared" si="3"/>
        <v>22.288706645932713</v>
      </c>
      <c r="L18" s="207">
        <f t="shared" si="3"/>
        <v>25.99617777018419</v>
      </c>
      <c r="M18"/>
      <c r="N18" t="s">
        <v>243</v>
      </c>
      <c r="O18"/>
      <c r="P18"/>
      <c r="Q18"/>
    </row>
    <row r="19" spans="2:19">
      <c r="B19" t="s">
        <v>235</v>
      </c>
      <c r="D19">
        <v>900</v>
      </c>
      <c r="E19"/>
      <c r="F19" s="191">
        <f t="shared" ref="F19:L19" si="4">$D$19*8760*3.6*10^-6</f>
        <v>28.382399999999997</v>
      </c>
      <c r="G19" s="191">
        <f t="shared" si="4"/>
        <v>28.382399999999997</v>
      </c>
      <c r="H19" s="191">
        <f t="shared" si="4"/>
        <v>28.382399999999997</v>
      </c>
      <c r="I19" s="191">
        <f t="shared" si="4"/>
        <v>28.382399999999997</v>
      </c>
      <c r="J19" s="191">
        <f t="shared" si="4"/>
        <v>28.382399999999997</v>
      </c>
      <c r="K19" s="191">
        <f t="shared" si="4"/>
        <v>28.382399999999997</v>
      </c>
      <c r="L19" s="191">
        <f t="shared" si="4"/>
        <v>28.382399999999997</v>
      </c>
      <c r="M19"/>
      <c r="N19" t="s">
        <v>11</v>
      </c>
      <c r="O19" t="s">
        <v>234</v>
      </c>
      <c r="P19"/>
      <c r="Q19"/>
    </row>
    <row r="20" spans="2:19">
      <c r="B20" t="s">
        <v>233</v>
      </c>
      <c r="D20">
        <v>3</v>
      </c>
      <c r="E20"/>
      <c r="F20" s="64">
        <f t="shared" ref="F20:L20" si="5">$D$20/3.6</f>
        <v>0.83333333333333326</v>
      </c>
      <c r="G20" s="64">
        <f t="shared" si="5"/>
        <v>0.83333333333333326</v>
      </c>
      <c r="H20" s="64">
        <f t="shared" si="5"/>
        <v>0.83333333333333326</v>
      </c>
      <c r="I20" s="64">
        <f t="shared" si="5"/>
        <v>0.83333333333333326</v>
      </c>
      <c r="J20" s="64">
        <f t="shared" si="5"/>
        <v>0.83333333333333326</v>
      </c>
      <c r="K20" s="64">
        <f t="shared" si="5"/>
        <v>0.83333333333333326</v>
      </c>
      <c r="L20" s="64">
        <f t="shared" si="5"/>
        <v>0.83333333333333326</v>
      </c>
      <c r="M20"/>
      <c r="N20" t="s">
        <v>232</v>
      </c>
      <c r="O20" t="s">
        <v>231</v>
      </c>
      <c r="P20"/>
      <c r="Q20"/>
    </row>
    <row r="21" spans="2:19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9">
      <c r="B22"/>
      <c r="C22"/>
      <c r="D22"/>
      <c r="E22"/>
      <c r="F22" s="206">
        <f t="shared" ref="F22:L22" si="6">F18+F20</f>
        <v>21.459200912902137</v>
      </c>
      <c r="G22" s="206">
        <f t="shared" si="6"/>
        <v>19.243858898019401</v>
      </c>
      <c r="H22" s="206">
        <f t="shared" si="6"/>
        <v>16.731592112821932</v>
      </c>
      <c r="I22" s="206">
        <f t="shared" si="6"/>
        <v>13.29765454468259</v>
      </c>
      <c r="J22" s="206">
        <f t="shared" si="6"/>
        <v>19.864459777168182</v>
      </c>
      <c r="K22" s="206">
        <f t="shared" si="6"/>
        <v>23.122039979266045</v>
      </c>
      <c r="L22" s="206">
        <f t="shared" si="6"/>
        <v>26.829511103517522</v>
      </c>
      <c r="M22"/>
      <c r="N22" s="205" t="s">
        <v>230</v>
      </c>
      <c r="O22" t="s">
        <v>229</v>
      </c>
      <c r="P22"/>
      <c r="Q22" t="s">
        <v>228</v>
      </c>
    </row>
    <row r="23" spans="2:19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9">
      <c r="B24"/>
      <c r="C24"/>
      <c r="D24"/>
      <c r="E24"/>
      <c r="F24" s="56"/>
      <c r="G24" s="56"/>
      <c r="H24" s="56"/>
      <c r="I24" s="210"/>
      <c r="J24" s="210"/>
      <c r="K24" s="211"/>
      <c r="L24" s="211"/>
      <c r="M24"/>
      <c r="N24"/>
      <c r="O24"/>
      <c r="P24"/>
      <c r="Q24"/>
    </row>
    <row r="25" spans="2:19">
      <c r="B25"/>
      <c r="C25"/>
      <c r="D25"/>
      <c r="E25"/>
      <c r="F25" s="56"/>
      <c r="G25" s="56"/>
      <c r="H25" s="56"/>
      <c r="I25" s="56"/>
      <c r="J25" s="56"/>
      <c r="K25" s="56"/>
      <c r="L25" s="56"/>
      <c r="M25"/>
      <c r="N25"/>
      <c r="O25"/>
      <c r="P25"/>
      <c r="Q25"/>
    </row>
    <row r="26" spans="2:19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9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2:19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2:19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19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19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2:19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2:19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19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2:19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</sheetData>
  <mergeCells count="3">
    <mergeCell ref="F7:L7"/>
    <mergeCell ref="M7:P7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577-4D89-4799-9E6A-0D10D8F4A4E3}">
  <sheetPr codeName="Sheet8"/>
  <dimension ref="B1:R14"/>
  <sheetViews>
    <sheetView topLeftCell="D1" workbookViewId="0">
      <selection activeCell="M11" sqref="M11"/>
    </sheetView>
  </sheetViews>
  <sheetFormatPr defaultRowHeight="14.25"/>
  <cols>
    <col min="1" max="1" width="9.1328125" style="498"/>
    <col min="2" max="2" width="14.73046875" style="498" customWidth="1"/>
    <col min="3" max="3" width="26" style="498" bestFit="1" customWidth="1"/>
    <col min="4" max="4" width="11.1328125" style="498" bestFit="1" customWidth="1"/>
    <col min="5" max="7" width="9.1328125" style="498"/>
    <col min="8" max="8" width="10.265625" style="498" bestFit="1" customWidth="1"/>
    <col min="9" max="9" width="8.86328125" style="463" bestFit="1" customWidth="1"/>
    <col min="10" max="10" width="16.86328125" style="498" customWidth="1"/>
    <col min="11" max="11" width="9.1328125" style="498"/>
    <col min="12" max="12" width="11.265625" style="498" bestFit="1" customWidth="1"/>
    <col min="13" max="13" width="14.73046875" style="498" bestFit="1" customWidth="1"/>
    <col min="14" max="14" width="37" style="498" bestFit="1" customWidth="1"/>
    <col min="15" max="16" width="9.86328125" style="498" customWidth="1"/>
    <col min="17" max="261" width="9.1328125" style="498"/>
    <col min="262" max="262" width="10.59765625" style="498" bestFit="1" customWidth="1"/>
    <col min="263" max="263" width="14.86328125" style="498" bestFit="1" customWidth="1"/>
    <col min="264" max="264" width="11.1328125" style="498" bestFit="1" customWidth="1"/>
    <col min="265" max="517" width="9.1328125" style="498"/>
    <col min="518" max="518" width="10.59765625" style="498" bestFit="1" customWidth="1"/>
    <col min="519" max="519" width="14.86328125" style="498" bestFit="1" customWidth="1"/>
    <col min="520" max="520" width="11.1328125" style="498" bestFit="1" customWidth="1"/>
    <col min="521" max="773" width="9.1328125" style="498"/>
    <col min="774" max="774" width="10.59765625" style="498" bestFit="1" customWidth="1"/>
    <col min="775" max="775" width="14.86328125" style="498" bestFit="1" customWidth="1"/>
    <col min="776" max="776" width="11.1328125" style="498" bestFit="1" customWidth="1"/>
    <col min="777" max="1029" width="9.1328125" style="498"/>
    <col min="1030" max="1030" width="10.59765625" style="498" bestFit="1" customWidth="1"/>
    <col min="1031" max="1031" width="14.86328125" style="498" bestFit="1" customWidth="1"/>
    <col min="1032" max="1032" width="11.1328125" style="498" bestFit="1" customWidth="1"/>
    <col min="1033" max="1285" width="9.1328125" style="498"/>
    <col min="1286" max="1286" width="10.59765625" style="498" bestFit="1" customWidth="1"/>
    <col min="1287" max="1287" width="14.86328125" style="498" bestFit="1" customWidth="1"/>
    <col min="1288" max="1288" width="11.1328125" style="498" bestFit="1" customWidth="1"/>
    <col min="1289" max="1541" width="9.1328125" style="498"/>
    <col min="1542" max="1542" width="10.59765625" style="498" bestFit="1" customWidth="1"/>
    <col min="1543" max="1543" width="14.86328125" style="498" bestFit="1" customWidth="1"/>
    <col min="1544" max="1544" width="11.1328125" style="498" bestFit="1" customWidth="1"/>
    <col min="1545" max="1797" width="9.1328125" style="498"/>
    <col min="1798" max="1798" width="10.59765625" style="498" bestFit="1" customWidth="1"/>
    <col min="1799" max="1799" width="14.86328125" style="498" bestFit="1" customWidth="1"/>
    <col min="1800" max="1800" width="11.1328125" style="498" bestFit="1" customWidth="1"/>
    <col min="1801" max="2053" width="9.1328125" style="498"/>
    <col min="2054" max="2054" width="10.59765625" style="498" bestFit="1" customWidth="1"/>
    <col min="2055" max="2055" width="14.86328125" style="498" bestFit="1" customWidth="1"/>
    <col min="2056" max="2056" width="11.1328125" style="498" bestFit="1" customWidth="1"/>
    <col min="2057" max="2309" width="9.1328125" style="498"/>
    <col min="2310" max="2310" width="10.59765625" style="498" bestFit="1" customWidth="1"/>
    <col min="2311" max="2311" width="14.86328125" style="498" bestFit="1" customWidth="1"/>
    <col min="2312" max="2312" width="11.1328125" style="498" bestFit="1" customWidth="1"/>
    <col min="2313" max="2565" width="9.1328125" style="498"/>
    <col min="2566" max="2566" width="10.59765625" style="498" bestFit="1" customWidth="1"/>
    <col min="2567" max="2567" width="14.86328125" style="498" bestFit="1" customWidth="1"/>
    <col min="2568" max="2568" width="11.1328125" style="498" bestFit="1" customWidth="1"/>
    <col min="2569" max="2821" width="9.1328125" style="498"/>
    <col min="2822" max="2822" width="10.59765625" style="498" bestFit="1" customWidth="1"/>
    <col min="2823" max="2823" width="14.86328125" style="498" bestFit="1" customWidth="1"/>
    <col min="2824" max="2824" width="11.1328125" style="498" bestFit="1" customWidth="1"/>
    <col min="2825" max="3077" width="9.1328125" style="498"/>
    <col min="3078" max="3078" width="10.59765625" style="498" bestFit="1" customWidth="1"/>
    <col min="3079" max="3079" width="14.86328125" style="498" bestFit="1" customWidth="1"/>
    <col min="3080" max="3080" width="11.1328125" style="498" bestFit="1" customWidth="1"/>
    <col min="3081" max="3333" width="9.1328125" style="498"/>
    <col min="3334" max="3334" width="10.59765625" style="498" bestFit="1" customWidth="1"/>
    <col min="3335" max="3335" width="14.86328125" style="498" bestFit="1" customWidth="1"/>
    <col min="3336" max="3336" width="11.1328125" style="498" bestFit="1" customWidth="1"/>
    <col min="3337" max="3589" width="9.1328125" style="498"/>
    <col min="3590" max="3590" width="10.59765625" style="498" bestFit="1" customWidth="1"/>
    <col min="3591" max="3591" width="14.86328125" style="498" bestFit="1" customWidth="1"/>
    <col min="3592" max="3592" width="11.1328125" style="498" bestFit="1" customWidth="1"/>
    <col min="3593" max="3845" width="9.1328125" style="498"/>
    <col min="3846" max="3846" width="10.59765625" style="498" bestFit="1" customWidth="1"/>
    <col min="3847" max="3847" width="14.86328125" style="498" bestFit="1" customWidth="1"/>
    <col min="3848" max="3848" width="11.1328125" style="498" bestFit="1" customWidth="1"/>
    <col min="3849" max="4101" width="9.1328125" style="498"/>
    <col min="4102" max="4102" width="10.59765625" style="498" bestFit="1" customWidth="1"/>
    <col min="4103" max="4103" width="14.86328125" style="498" bestFit="1" customWidth="1"/>
    <col min="4104" max="4104" width="11.1328125" style="498" bestFit="1" customWidth="1"/>
    <col min="4105" max="4357" width="9.1328125" style="498"/>
    <col min="4358" max="4358" width="10.59765625" style="498" bestFit="1" customWidth="1"/>
    <col min="4359" max="4359" width="14.86328125" style="498" bestFit="1" customWidth="1"/>
    <col min="4360" max="4360" width="11.1328125" style="498" bestFit="1" customWidth="1"/>
    <col min="4361" max="4613" width="9.1328125" style="498"/>
    <col min="4614" max="4614" width="10.59765625" style="498" bestFit="1" customWidth="1"/>
    <col min="4615" max="4615" width="14.86328125" style="498" bestFit="1" customWidth="1"/>
    <col min="4616" max="4616" width="11.1328125" style="498" bestFit="1" customWidth="1"/>
    <col min="4617" max="4869" width="9.1328125" style="498"/>
    <col min="4870" max="4870" width="10.59765625" style="498" bestFit="1" customWidth="1"/>
    <col min="4871" max="4871" width="14.86328125" style="498" bestFit="1" customWidth="1"/>
    <col min="4872" max="4872" width="11.1328125" style="498" bestFit="1" customWidth="1"/>
    <col min="4873" max="5125" width="9.1328125" style="498"/>
    <col min="5126" max="5126" width="10.59765625" style="498" bestFit="1" customWidth="1"/>
    <col min="5127" max="5127" width="14.86328125" style="498" bestFit="1" customWidth="1"/>
    <col min="5128" max="5128" width="11.1328125" style="498" bestFit="1" customWidth="1"/>
    <col min="5129" max="5381" width="9.1328125" style="498"/>
    <col min="5382" max="5382" width="10.59765625" style="498" bestFit="1" customWidth="1"/>
    <col min="5383" max="5383" width="14.86328125" style="498" bestFit="1" customWidth="1"/>
    <col min="5384" max="5384" width="11.1328125" style="498" bestFit="1" customWidth="1"/>
    <col min="5385" max="5637" width="9.1328125" style="498"/>
    <col min="5638" max="5638" width="10.59765625" style="498" bestFit="1" customWidth="1"/>
    <col min="5639" max="5639" width="14.86328125" style="498" bestFit="1" customWidth="1"/>
    <col min="5640" max="5640" width="11.1328125" style="498" bestFit="1" customWidth="1"/>
    <col min="5641" max="5893" width="9.1328125" style="498"/>
    <col min="5894" max="5894" width="10.59765625" style="498" bestFit="1" customWidth="1"/>
    <col min="5895" max="5895" width="14.86328125" style="498" bestFit="1" customWidth="1"/>
    <col min="5896" max="5896" width="11.1328125" style="498" bestFit="1" customWidth="1"/>
    <col min="5897" max="6149" width="9.1328125" style="498"/>
    <col min="6150" max="6150" width="10.59765625" style="498" bestFit="1" customWidth="1"/>
    <col min="6151" max="6151" width="14.86328125" style="498" bestFit="1" customWidth="1"/>
    <col min="6152" max="6152" width="11.1328125" style="498" bestFit="1" customWidth="1"/>
    <col min="6153" max="6405" width="9.1328125" style="498"/>
    <col min="6406" max="6406" width="10.59765625" style="498" bestFit="1" customWidth="1"/>
    <col min="6407" max="6407" width="14.86328125" style="498" bestFit="1" customWidth="1"/>
    <col min="6408" max="6408" width="11.1328125" style="498" bestFit="1" customWidth="1"/>
    <col min="6409" max="6661" width="9.1328125" style="498"/>
    <col min="6662" max="6662" width="10.59765625" style="498" bestFit="1" customWidth="1"/>
    <col min="6663" max="6663" width="14.86328125" style="498" bestFit="1" customWidth="1"/>
    <col min="6664" max="6664" width="11.1328125" style="498" bestFit="1" customWidth="1"/>
    <col min="6665" max="6917" width="9.1328125" style="498"/>
    <col min="6918" max="6918" width="10.59765625" style="498" bestFit="1" customWidth="1"/>
    <col min="6919" max="6919" width="14.86328125" style="498" bestFit="1" customWidth="1"/>
    <col min="6920" max="6920" width="11.1328125" style="498" bestFit="1" customWidth="1"/>
    <col min="6921" max="7173" width="9.1328125" style="498"/>
    <col min="7174" max="7174" width="10.59765625" style="498" bestFit="1" customWidth="1"/>
    <col min="7175" max="7175" width="14.86328125" style="498" bestFit="1" customWidth="1"/>
    <col min="7176" max="7176" width="11.1328125" style="498" bestFit="1" customWidth="1"/>
    <col min="7177" max="7429" width="9.1328125" style="498"/>
    <col min="7430" max="7430" width="10.59765625" style="498" bestFit="1" customWidth="1"/>
    <col min="7431" max="7431" width="14.86328125" style="498" bestFit="1" customWidth="1"/>
    <col min="7432" max="7432" width="11.1328125" style="498" bestFit="1" customWidth="1"/>
    <col min="7433" max="7685" width="9.1328125" style="498"/>
    <col min="7686" max="7686" width="10.59765625" style="498" bestFit="1" customWidth="1"/>
    <col min="7687" max="7687" width="14.86328125" style="498" bestFit="1" customWidth="1"/>
    <col min="7688" max="7688" width="11.1328125" style="498" bestFit="1" customWidth="1"/>
    <col min="7689" max="7941" width="9.1328125" style="498"/>
    <col min="7942" max="7942" width="10.59765625" style="498" bestFit="1" customWidth="1"/>
    <col min="7943" max="7943" width="14.86328125" style="498" bestFit="1" customWidth="1"/>
    <col min="7944" max="7944" width="11.1328125" style="498" bestFit="1" customWidth="1"/>
    <col min="7945" max="8197" width="9.1328125" style="498"/>
    <col min="8198" max="8198" width="10.59765625" style="498" bestFit="1" customWidth="1"/>
    <col min="8199" max="8199" width="14.86328125" style="498" bestFit="1" customWidth="1"/>
    <col min="8200" max="8200" width="11.1328125" style="498" bestFit="1" customWidth="1"/>
    <col min="8201" max="8453" width="9.1328125" style="498"/>
    <col min="8454" max="8454" width="10.59765625" style="498" bestFit="1" customWidth="1"/>
    <col min="8455" max="8455" width="14.86328125" style="498" bestFit="1" customWidth="1"/>
    <col min="8456" max="8456" width="11.1328125" style="498" bestFit="1" customWidth="1"/>
    <col min="8457" max="8709" width="9.1328125" style="498"/>
    <col min="8710" max="8710" width="10.59765625" style="498" bestFit="1" customWidth="1"/>
    <col min="8711" max="8711" width="14.86328125" style="498" bestFit="1" customWidth="1"/>
    <col min="8712" max="8712" width="11.1328125" style="498" bestFit="1" customWidth="1"/>
    <col min="8713" max="8965" width="9.1328125" style="498"/>
    <col min="8966" max="8966" width="10.59765625" style="498" bestFit="1" customWidth="1"/>
    <col min="8967" max="8967" width="14.86328125" style="498" bestFit="1" customWidth="1"/>
    <col min="8968" max="8968" width="11.1328125" style="498" bestFit="1" customWidth="1"/>
    <col min="8969" max="9221" width="9.1328125" style="498"/>
    <col min="9222" max="9222" width="10.59765625" style="498" bestFit="1" customWidth="1"/>
    <col min="9223" max="9223" width="14.86328125" style="498" bestFit="1" customWidth="1"/>
    <col min="9224" max="9224" width="11.1328125" style="498" bestFit="1" customWidth="1"/>
    <col min="9225" max="9477" width="9.1328125" style="498"/>
    <col min="9478" max="9478" width="10.59765625" style="498" bestFit="1" customWidth="1"/>
    <col min="9479" max="9479" width="14.86328125" style="498" bestFit="1" customWidth="1"/>
    <col min="9480" max="9480" width="11.1328125" style="498" bestFit="1" customWidth="1"/>
    <col min="9481" max="9733" width="9.1328125" style="498"/>
    <col min="9734" max="9734" width="10.59765625" style="498" bestFit="1" customWidth="1"/>
    <col min="9735" max="9735" width="14.86328125" style="498" bestFit="1" customWidth="1"/>
    <col min="9736" max="9736" width="11.1328125" style="498" bestFit="1" customWidth="1"/>
    <col min="9737" max="9989" width="9.1328125" style="498"/>
    <col min="9990" max="9990" width="10.59765625" style="498" bestFit="1" customWidth="1"/>
    <col min="9991" max="9991" width="14.86328125" style="498" bestFit="1" customWidth="1"/>
    <col min="9992" max="9992" width="11.1328125" style="498" bestFit="1" customWidth="1"/>
    <col min="9993" max="10245" width="9.1328125" style="498"/>
    <col min="10246" max="10246" width="10.59765625" style="498" bestFit="1" customWidth="1"/>
    <col min="10247" max="10247" width="14.86328125" style="498" bestFit="1" customWidth="1"/>
    <col min="10248" max="10248" width="11.1328125" style="498" bestFit="1" customWidth="1"/>
    <col min="10249" max="10501" width="9.1328125" style="498"/>
    <col min="10502" max="10502" width="10.59765625" style="498" bestFit="1" customWidth="1"/>
    <col min="10503" max="10503" width="14.86328125" style="498" bestFit="1" customWidth="1"/>
    <col min="10504" max="10504" width="11.1328125" style="498" bestFit="1" customWidth="1"/>
    <col min="10505" max="10757" width="9.1328125" style="498"/>
    <col min="10758" max="10758" width="10.59765625" style="498" bestFit="1" customWidth="1"/>
    <col min="10759" max="10759" width="14.86328125" style="498" bestFit="1" customWidth="1"/>
    <col min="10760" max="10760" width="11.1328125" style="498" bestFit="1" customWidth="1"/>
    <col min="10761" max="11013" width="9.1328125" style="498"/>
    <col min="11014" max="11014" width="10.59765625" style="498" bestFit="1" customWidth="1"/>
    <col min="11015" max="11015" width="14.86328125" style="498" bestFit="1" customWidth="1"/>
    <col min="11016" max="11016" width="11.1328125" style="498" bestFit="1" customWidth="1"/>
    <col min="11017" max="11269" width="9.1328125" style="498"/>
    <col min="11270" max="11270" width="10.59765625" style="498" bestFit="1" customWidth="1"/>
    <col min="11271" max="11271" width="14.86328125" style="498" bestFit="1" customWidth="1"/>
    <col min="11272" max="11272" width="11.1328125" style="498" bestFit="1" customWidth="1"/>
    <col min="11273" max="11525" width="9.1328125" style="498"/>
    <col min="11526" max="11526" width="10.59765625" style="498" bestFit="1" customWidth="1"/>
    <col min="11527" max="11527" width="14.86328125" style="498" bestFit="1" customWidth="1"/>
    <col min="11528" max="11528" width="11.1328125" style="498" bestFit="1" customWidth="1"/>
    <col min="11529" max="11781" width="9.1328125" style="498"/>
    <col min="11782" max="11782" width="10.59765625" style="498" bestFit="1" customWidth="1"/>
    <col min="11783" max="11783" width="14.86328125" style="498" bestFit="1" customWidth="1"/>
    <col min="11784" max="11784" width="11.1328125" style="498" bestFit="1" customWidth="1"/>
    <col min="11785" max="12037" width="9.1328125" style="498"/>
    <col min="12038" max="12038" width="10.59765625" style="498" bestFit="1" customWidth="1"/>
    <col min="12039" max="12039" width="14.86328125" style="498" bestFit="1" customWidth="1"/>
    <col min="12040" max="12040" width="11.1328125" style="498" bestFit="1" customWidth="1"/>
    <col min="12041" max="12293" width="9.1328125" style="498"/>
    <col min="12294" max="12294" width="10.59765625" style="498" bestFit="1" customWidth="1"/>
    <col min="12295" max="12295" width="14.86328125" style="498" bestFit="1" customWidth="1"/>
    <col min="12296" max="12296" width="11.1328125" style="498" bestFit="1" customWidth="1"/>
    <col min="12297" max="12549" width="9.1328125" style="498"/>
    <col min="12550" max="12550" width="10.59765625" style="498" bestFit="1" customWidth="1"/>
    <col min="12551" max="12551" width="14.86328125" style="498" bestFit="1" customWidth="1"/>
    <col min="12552" max="12552" width="11.1328125" style="498" bestFit="1" customWidth="1"/>
    <col min="12553" max="12805" width="9.1328125" style="498"/>
    <col min="12806" max="12806" width="10.59765625" style="498" bestFit="1" customWidth="1"/>
    <col min="12807" max="12807" width="14.86328125" style="498" bestFit="1" customWidth="1"/>
    <col min="12808" max="12808" width="11.1328125" style="498" bestFit="1" customWidth="1"/>
    <col min="12809" max="13061" width="9.1328125" style="498"/>
    <col min="13062" max="13062" width="10.59765625" style="498" bestFit="1" customWidth="1"/>
    <col min="13063" max="13063" width="14.86328125" style="498" bestFit="1" customWidth="1"/>
    <col min="13064" max="13064" width="11.1328125" style="498" bestFit="1" customWidth="1"/>
    <col min="13065" max="13317" width="9.1328125" style="498"/>
    <col min="13318" max="13318" width="10.59765625" style="498" bestFit="1" customWidth="1"/>
    <col min="13319" max="13319" width="14.86328125" style="498" bestFit="1" customWidth="1"/>
    <col min="13320" max="13320" width="11.1328125" style="498" bestFit="1" customWidth="1"/>
    <col min="13321" max="13573" width="9.1328125" style="498"/>
    <col min="13574" max="13574" width="10.59765625" style="498" bestFit="1" customWidth="1"/>
    <col min="13575" max="13575" width="14.86328125" style="498" bestFit="1" customWidth="1"/>
    <col min="13576" max="13576" width="11.1328125" style="498" bestFit="1" customWidth="1"/>
    <col min="13577" max="13829" width="9.1328125" style="498"/>
    <col min="13830" max="13830" width="10.59765625" style="498" bestFit="1" customWidth="1"/>
    <col min="13831" max="13831" width="14.86328125" style="498" bestFit="1" customWidth="1"/>
    <col min="13832" max="13832" width="11.1328125" style="498" bestFit="1" customWidth="1"/>
    <col min="13833" max="14085" width="9.1328125" style="498"/>
    <col min="14086" max="14086" width="10.59765625" style="498" bestFit="1" customWidth="1"/>
    <col min="14087" max="14087" width="14.86328125" style="498" bestFit="1" customWidth="1"/>
    <col min="14088" max="14088" width="11.1328125" style="498" bestFit="1" customWidth="1"/>
    <col min="14089" max="14341" width="9.1328125" style="498"/>
    <col min="14342" max="14342" width="10.59765625" style="498" bestFit="1" customWidth="1"/>
    <col min="14343" max="14343" width="14.86328125" style="498" bestFit="1" customWidth="1"/>
    <col min="14344" max="14344" width="11.1328125" style="498" bestFit="1" customWidth="1"/>
    <col min="14345" max="14597" width="9.1328125" style="498"/>
    <col min="14598" max="14598" width="10.59765625" style="498" bestFit="1" customWidth="1"/>
    <col min="14599" max="14599" width="14.86328125" style="498" bestFit="1" customWidth="1"/>
    <col min="14600" max="14600" width="11.1328125" style="498" bestFit="1" customWidth="1"/>
    <col min="14601" max="14853" width="9.1328125" style="498"/>
    <col min="14854" max="14854" width="10.59765625" style="498" bestFit="1" customWidth="1"/>
    <col min="14855" max="14855" width="14.86328125" style="498" bestFit="1" customWidth="1"/>
    <col min="14856" max="14856" width="11.1328125" style="498" bestFit="1" customWidth="1"/>
    <col min="14857" max="15109" width="9.1328125" style="498"/>
    <col min="15110" max="15110" width="10.59765625" style="498" bestFit="1" customWidth="1"/>
    <col min="15111" max="15111" width="14.86328125" style="498" bestFit="1" customWidth="1"/>
    <col min="15112" max="15112" width="11.1328125" style="498" bestFit="1" customWidth="1"/>
    <col min="15113" max="15365" width="9.1328125" style="498"/>
    <col min="15366" max="15366" width="10.59765625" style="498" bestFit="1" customWidth="1"/>
    <col min="15367" max="15367" width="14.86328125" style="498" bestFit="1" customWidth="1"/>
    <col min="15368" max="15368" width="11.1328125" style="498" bestFit="1" customWidth="1"/>
    <col min="15369" max="15621" width="9.1328125" style="498"/>
    <col min="15622" max="15622" width="10.59765625" style="498" bestFit="1" customWidth="1"/>
    <col min="15623" max="15623" width="14.86328125" style="498" bestFit="1" customWidth="1"/>
    <col min="15624" max="15624" width="11.1328125" style="498" bestFit="1" customWidth="1"/>
    <col min="15625" max="15877" width="9.1328125" style="498"/>
    <col min="15878" max="15878" width="10.59765625" style="498" bestFit="1" customWidth="1"/>
    <col min="15879" max="15879" width="14.86328125" style="498" bestFit="1" customWidth="1"/>
    <col min="15880" max="15880" width="11.1328125" style="498" bestFit="1" customWidth="1"/>
    <col min="15881" max="16133" width="9.1328125" style="498"/>
    <col min="16134" max="16134" width="10.59765625" style="498" bestFit="1" customWidth="1"/>
    <col min="16135" max="16135" width="14.86328125" style="498" bestFit="1" customWidth="1"/>
    <col min="16136" max="16136" width="11.1328125" style="498" bestFit="1" customWidth="1"/>
    <col min="16137" max="16384" width="9.1328125" style="498"/>
  </cols>
  <sheetData>
    <row r="1" spans="2:18" ht="18">
      <c r="B1" s="505" t="s">
        <v>468</v>
      </c>
      <c r="C1" s="506"/>
      <c r="D1" s="507"/>
      <c r="E1" s="507"/>
      <c r="I1" s="498"/>
    </row>
    <row r="3" spans="2:18">
      <c r="D3" s="14" t="s">
        <v>103</v>
      </c>
      <c r="L3" s="14" t="s">
        <v>0</v>
      </c>
      <c r="M3" s="492"/>
      <c r="N3" s="492"/>
      <c r="O3" s="492"/>
      <c r="P3" s="492"/>
      <c r="Q3" s="492"/>
      <c r="R3" s="492"/>
    </row>
    <row r="4" spans="2:18">
      <c r="B4" s="508" t="s">
        <v>2</v>
      </c>
      <c r="C4" s="508" t="s">
        <v>133</v>
      </c>
      <c r="D4" s="508" t="s">
        <v>81</v>
      </c>
      <c r="E4" s="509" t="s">
        <v>238</v>
      </c>
      <c r="F4" s="510" t="s">
        <v>305</v>
      </c>
      <c r="G4" s="509" t="s">
        <v>469</v>
      </c>
      <c r="H4" s="510" t="s">
        <v>470</v>
      </c>
      <c r="I4" s="510" t="s">
        <v>471</v>
      </c>
      <c r="J4" s="510" t="s">
        <v>472</v>
      </c>
      <c r="L4" s="508" t="s">
        <v>1</v>
      </c>
      <c r="M4" s="508" t="s">
        <v>2</v>
      </c>
      <c r="N4" s="508" t="s">
        <v>3</v>
      </c>
      <c r="O4" s="508" t="s">
        <v>4</v>
      </c>
      <c r="P4" s="508" t="s">
        <v>5</v>
      </c>
      <c r="Q4" s="508" t="s">
        <v>6</v>
      </c>
      <c r="R4" s="508" t="s">
        <v>7</v>
      </c>
    </row>
    <row r="5" spans="2:18" ht="14.65" thickBot="1">
      <c r="B5" s="511" t="s">
        <v>399</v>
      </c>
      <c r="C5" s="511"/>
      <c r="D5" s="511"/>
      <c r="E5" s="511"/>
      <c r="F5" s="511"/>
      <c r="G5" s="511"/>
      <c r="H5" s="511" t="s">
        <v>311</v>
      </c>
      <c r="I5" s="511" t="s">
        <v>473</v>
      </c>
      <c r="J5" s="511" t="s">
        <v>474</v>
      </c>
      <c r="L5" s="511" t="s">
        <v>399</v>
      </c>
      <c r="M5" s="511"/>
      <c r="N5" s="511"/>
      <c r="O5" s="511"/>
      <c r="P5" s="511"/>
      <c r="Q5" s="511"/>
      <c r="R5" s="511"/>
    </row>
    <row r="6" spans="2:18">
      <c r="B6" s="498" t="str">
        <f>M6</f>
        <v>SUPGAS_INF</v>
      </c>
      <c r="C6" s="498" t="str">
        <f>Commodities!C4</f>
        <v>GASNAT</v>
      </c>
      <c r="D6" s="498" t="str">
        <f>Commodities!C44</f>
        <v>SUPGAS</v>
      </c>
      <c r="E6" s="63">
        <v>1</v>
      </c>
      <c r="F6" s="63">
        <v>100</v>
      </c>
      <c r="G6" s="63"/>
      <c r="H6" s="212"/>
      <c r="J6" s="63"/>
      <c r="L6" s="463" t="s">
        <v>310</v>
      </c>
      <c r="M6" s="463" t="str">
        <f>Commodities!C44&amp;"_INF"</f>
        <v>SUPGAS_INF</v>
      </c>
      <c r="N6" s="497" t="s">
        <v>521</v>
      </c>
      <c r="O6" s="512" t="s">
        <v>11</v>
      </c>
      <c r="P6" s="512" t="s">
        <v>311</v>
      </c>
      <c r="Q6" s="512" t="s">
        <v>140</v>
      </c>
      <c r="R6" s="492"/>
    </row>
    <row r="7" spans="2:18">
      <c r="B7" s="498" t="str">
        <f t="shared" ref="B7:B10" si="0">M7</f>
        <v>SUPCOA_INF</v>
      </c>
      <c r="C7" s="498" t="str">
        <f>Commodities!C7</f>
        <v>COAHAR</v>
      </c>
      <c r="D7" s="498" t="str">
        <f>Commodities!C45</f>
        <v>SUPCOA</v>
      </c>
      <c r="E7" s="63">
        <v>1</v>
      </c>
      <c r="F7" s="63">
        <v>100</v>
      </c>
      <c r="G7" s="63"/>
      <c r="H7" s="212"/>
      <c r="J7" s="63"/>
      <c r="L7" s="463"/>
      <c r="M7" s="463" t="str">
        <f>Commodities!C45&amp;"_INF"</f>
        <v>SUPCOA_INF</v>
      </c>
      <c r="N7" s="497" t="s">
        <v>522</v>
      </c>
      <c r="O7" s="512" t="s">
        <v>11</v>
      </c>
      <c r="P7" s="512" t="s">
        <v>311</v>
      </c>
      <c r="Q7" s="512"/>
      <c r="R7" s="492"/>
    </row>
    <row r="8" spans="2:18">
      <c r="B8" s="498" t="str">
        <f t="shared" si="0"/>
        <v>SUPWAS_INF</v>
      </c>
      <c r="C8" s="498" t="str">
        <f>Commodities!C25</f>
        <v>MSWAS</v>
      </c>
      <c r="D8" s="498" t="str">
        <f>Commodities!C46</f>
        <v>SUPWAS</v>
      </c>
      <c r="E8" s="63">
        <v>1</v>
      </c>
      <c r="F8" s="63">
        <v>100</v>
      </c>
      <c r="G8" s="63"/>
      <c r="H8" s="212"/>
      <c r="J8" s="63"/>
      <c r="L8" s="463"/>
      <c r="M8" s="463" t="str">
        <f>Commodities!C46&amp;"_INF"</f>
        <v>SUPWAS_INF</v>
      </c>
      <c r="N8" s="497" t="s">
        <v>523</v>
      </c>
      <c r="O8" s="512" t="s">
        <v>11</v>
      </c>
      <c r="P8" s="512" t="s">
        <v>311</v>
      </c>
      <c r="Q8" s="512"/>
      <c r="R8" s="492"/>
    </row>
    <row r="9" spans="2:18">
      <c r="B9" s="498" t="str">
        <f t="shared" ref="B9" si="1">M9</f>
        <v>SUPBIO_INF</v>
      </c>
      <c r="C9" s="498" t="str">
        <f>Commodities!C34&amp;", "&amp;Commodities!C35&amp;", "&amp;Commodities!C36</f>
        <v>BIOWOO, BIOWPE, BIOWCH</v>
      </c>
      <c r="D9" s="498" t="str">
        <f>Commodities!C47</f>
        <v>SUPBIO</v>
      </c>
      <c r="E9" s="63">
        <v>1</v>
      </c>
      <c r="F9" s="63">
        <v>100</v>
      </c>
      <c r="G9" s="63"/>
      <c r="H9" s="212"/>
      <c r="J9" s="63"/>
      <c r="L9" s="463"/>
      <c r="M9" s="463" t="str">
        <f>Commodities!C47&amp;"_INF"</f>
        <v>SUPBIO_INF</v>
      </c>
      <c r="N9" s="497" t="s">
        <v>545</v>
      </c>
      <c r="O9" s="512" t="s">
        <v>11</v>
      </c>
      <c r="P9" s="512" t="s">
        <v>311</v>
      </c>
      <c r="Q9" s="512"/>
      <c r="R9" s="492"/>
    </row>
    <row r="10" spans="2:18">
      <c r="B10" s="498" t="str">
        <f t="shared" si="0"/>
        <v>SUPELC_INF</v>
      </c>
      <c r="C10" s="498" t="s">
        <v>134</v>
      </c>
      <c r="D10" s="498" t="str">
        <f>Commodities!C48</f>
        <v>SUPELC</v>
      </c>
      <c r="E10" s="63">
        <v>1</v>
      </c>
      <c r="F10" s="63">
        <v>100</v>
      </c>
      <c r="G10" s="63"/>
      <c r="H10" s="212"/>
      <c r="J10" s="63"/>
      <c r="L10" s="463"/>
      <c r="M10" s="463" t="str">
        <f>Commodities!C48&amp;"_INF"</f>
        <v>SUPELC_INF</v>
      </c>
      <c r="N10" s="497" t="s">
        <v>524</v>
      </c>
      <c r="O10" s="512" t="s">
        <v>11</v>
      </c>
      <c r="P10" s="512" t="s">
        <v>311</v>
      </c>
      <c r="Q10" s="497" t="s">
        <v>128</v>
      </c>
      <c r="R10" s="492"/>
    </row>
    <row r="11" spans="2:18">
      <c r="E11" s="63"/>
      <c r="F11" s="63"/>
      <c r="G11" s="63"/>
      <c r="H11" s="212"/>
      <c r="J11" s="63"/>
      <c r="L11" s="463"/>
      <c r="M11" s="463"/>
      <c r="N11" s="497"/>
      <c r="O11" s="512"/>
      <c r="P11" s="512"/>
      <c r="Q11" s="512"/>
      <c r="R11" s="492"/>
    </row>
    <row r="12" spans="2:18">
      <c r="E12" s="63"/>
      <c r="F12" s="63"/>
      <c r="G12" s="513"/>
      <c r="H12" s="212"/>
      <c r="J12" s="513"/>
      <c r="L12" s="463"/>
      <c r="M12" s="463"/>
      <c r="N12" s="497"/>
      <c r="O12" s="512"/>
      <c r="P12" s="512"/>
      <c r="Q12" s="512"/>
      <c r="R12" s="492"/>
    </row>
    <row r="13" spans="2:18">
      <c r="F13" s="513"/>
      <c r="G13" s="513"/>
      <c r="H13" s="513"/>
      <c r="J13" s="513"/>
      <c r="L13" s="463"/>
      <c r="M13" s="463"/>
      <c r="N13" s="497"/>
      <c r="O13" s="512"/>
      <c r="P13" s="512"/>
      <c r="Q13" s="463"/>
      <c r="R13" s="492"/>
    </row>
    <row r="14" spans="2:18">
      <c r="E14" s="63"/>
      <c r="F14" s="63"/>
      <c r="G14" s="63"/>
      <c r="H14" s="212"/>
      <c r="J14" s="63"/>
      <c r="L14" s="463"/>
      <c r="M14" s="463"/>
      <c r="N14" s="497"/>
      <c r="O14" s="512"/>
      <c r="P14" s="512"/>
      <c r="Q14" s="512"/>
      <c r="R14" s="49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AC73-3506-47A0-A87E-4DEE2B4424AC}">
  <sheetPr codeName="Sheet9"/>
  <dimension ref="A1:F11"/>
  <sheetViews>
    <sheetView workbookViewId="0">
      <selection activeCell="Q5" sqref="Q5"/>
    </sheetView>
  </sheetViews>
  <sheetFormatPr defaultColWidth="9.1328125" defaultRowHeight="14.25"/>
  <cols>
    <col min="1" max="1" width="9.1328125" style="499"/>
    <col min="2" max="2" width="18.86328125" style="499" customWidth="1"/>
    <col min="3" max="16384" width="9.1328125" style="499"/>
  </cols>
  <sheetData>
    <row r="1" spans="1:6">
      <c r="A1" s="515" t="s">
        <v>525</v>
      </c>
      <c r="B1" s="515"/>
      <c r="C1" s="516"/>
      <c r="D1" s="516"/>
      <c r="E1" s="516"/>
    </row>
    <row r="4" spans="1:6">
      <c r="B4" s="14" t="s">
        <v>526</v>
      </c>
    </row>
    <row r="5" spans="1:6" ht="14.65" thickBot="1">
      <c r="B5" s="517" t="s">
        <v>56</v>
      </c>
      <c r="C5" s="518" t="str">
        <f>Commodities!C44</f>
        <v>SUPGAS</v>
      </c>
      <c r="D5" s="518" t="str">
        <f>Commodities!C45</f>
        <v>SUPCOA</v>
      </c>
      <c r="E5" s="518" t="str">
        <f>Commodities!C46</f>
        <v>SUPWAS</v>
      </c>
      <c r="F5" s="518" t="s">
        <v>527</v>
      </c>
    </row>
    <row r="6" spans="1:6">
      <c r="B6" s="499" t="str">
        <f>Commodities!C53</f>
        <v>SUPCO2N</v>
      </c>
      <c r="C6" s="167">
        <v>56.1</v>
      </c>
      <c r="D6" s="167">
        <v>96.1</v>
      </c>
      <c r="E6" s="167">
        <v>75.3</v>
      </c>
      <c r="F6" s="167" t="s">
        <v>528</v>
      </c>
    </row>
    <row r="7" spans="1:6">
      <c r="B7" s="499" t="str">
        <f>Commodities!C54</f>
        <v>SUPCH4N</v>
      </c>
      <c r="C7" s="167"/>
      <c r="D7" s="167"/>
      <c r="E7" s="167"/>
    </row>
    <row r="8" spans="1:6">
      <c r="B8" s="499" t="str">
        <f>Commodities!C55</f>
        <v>SUPSO2N</v>
      </c>
      <c r="C8" s="167"/>
      <c r="D8" s="167"/>
      <c r="E8" s="167"/>
    </row>
    <row r="9" spans="1:6">
      <c r="B9" s="499" t="str">
        <f>Commodities!C56</f>
        <v>SUPNOXN</v>
      </c>
      <c r="C9" s="167"/>
      <c r="D9" s="167"/>
      <c r="E9" s="167"/>
    </row>
    <row r="10" spans="1:6">
      <c r="B10" s="498" t="str">
        <f>Commodities!C57</f>
        <v>SUPPM10</v>
      </c>
    </row>
    <row r="11" spans="1:6">
      <c r="B11" s="498" t="str">
        <f>Commodities!C58</f>
        <v>SUPPM25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2A5943-069C-47E6-B7B1-1C4E8CC11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EBC224-6025-40B6-954C-A60FF473B4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4F399E6-2CA4-4BC3-AE7C-3570BA9F00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Commodities</vt:lpstr>
      <vt:lpstr>Imports_Fossil</vt:lpstr>
      <vt:lpstr>Imports_Bio</vt:lpstr>
      <vt:lpstr>Domestic</vt:lpstr>
      <vt:lpstr>Domestic_Bio</vt:lpstr>
      <vt:lpstr>Refinery</vt:lpstr>
      <vt:lpstr>Interconnector</vt:lpstr>
      <vt:lpstr>SUP_FuelTech</vt:lpstr>
      <vt:lpstr>Emi</vt:lpstr>
      <vt:lpstr>SEAI-AEA_BioData</vt:lpstr>
      <vt:lpstr>SEAI_Bal</vt:lpstr>
      <vt:lpstr>Conversions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2016-02-04T10:21:59Z</dcterms:created>
  <dcterms:modified xsi:type="dcterms:W3CDTF">2020-10-21T12:04:56Z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674328029155731</vt:r8>
  </property>
</Properties>
</file>