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GDrive\PhD\Veda_2\IrishTimes_GIT\Irish-TIMES-model\"/>
    </mc:Choice>
  </mc:AlternateContent>
  <xr:revisionPtr revIDLastSave="0" documentId="13_ncr:1_{FBFAFAE3-1B6E-45D8-AF28-FC5FE3C51735}" xr6:coauthVersionLast="46" xr6:coauthVersionMax="46" xr10:uidLastSave="{00000000-0000-0000-0000-000000000000}"/>
  <bookViews>
    <workbookView xWindow="-120" yWindow="-120" windowWidth="20730" windowHeight="11160" tabRatio="891" firstSheet="3" activeTab="5" xr2:uid="{00000000-000D-0000-FFFF-FFFF00000000}"/>
  </bookViews>
  <sheets>
    <sheet name="Cover" sheetId="33" r:id="rId1"/>
    <sheet name="Intro" sheetId="28" r:id="rId2"/>
    <sheet name="Regions" sheetId="40" r:id="rId3"/>
    <sheet name="EB2018" sheetId="32" r:id="rId4"/>
    <sheet name="COM_Balance" sheetId="6" r:id="rId5"/>
    <sheet name="COM_Commodities" sheetId="15" r:id="rId6"/>
    <sheet name="COM_Processes" sheetId="22" r:id="rId7"/>
    <sheet name="COM_FuelTechs" sheetId="18" r:id="rId8"/>
    <sheet name="COM_EmiCoeffs" sheetId="21" r:id="rId9"/>
    <sheet name="COM_CH" sheetId="7" r:id="rId10"/>
    <sheet name="COM_CW" sheetId="9" r:id="rId11"/>
    <sheet name="COM_COth" sheetId="10" r:id="rId12"/>
    <sheet name="COM_CC" sheetId="8" r:id="rId13"/>
    <sheet name="COM_DC" sheetId="41" r:id="rId14"/>
    <sheet name="COM_PV" sheetId="27" r:id="rId15"/>
    <sheet name="Commercial SEAI" sheetId="34" r:id="rId16"/>
    <sheet name="Public SEAI" sheetId="38" r:id="rId17"/>
    <sheet name="CSO data" sheetId="37" r:id="rId18"/>
    <sheet name="Public BOC" sheetId="39" r:id="rId19"/>
  </sheets>
  <definedNames>
    <definedName name="__123Graph_AEUMILKPN" hidden="1">#REF!</definedName>
    <definedName name="_Regression_Y" hidden="1">#REF!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81029" calcMode="manual"/>
  <fileRecoveryPr autoRecover="0"/>
</workbook>
</file>

<file path=xl/calcChain.xml><?xml version="1.0" encoding="utf-8"?>
<calcChain xmlns="http://schemas.openxmlformats.org/spreadsheetml/2006/main">
  <c r="G14" i="41" l="1"/>
  <c r="E14" i="41" s="1"/>
  <c r="E87" i="22" s="1"/>
  <c r="D6" i="41"/>
  <c r="C87" i="22"/>
  <c r="D14" i="41" l="1"/>
  <c r="D87" i="22" s="1"/>
  <c r="C40" i="15"/>
  <c r="AB71" i="32"/>
  <c r="L71" i="32"/>
  <c r="H71" i="32"/>
  <c r="C71" i="32"/>
  <c r="AQ71" i="32" s="1"/>
  <c r="AB70" i="32"/>
  <c r="AQ70" i="32" s="1"/>
  <c r="L70" i="32"/>
  <c r="H70" i="32"/>
  <c r="C70" i="32"/>
  <c r="AB69" i="32"/>
  <c r="L69" i="32"/>
  <c r="H69" i="32"/>
  <c r="C69" i="32"/>
  <c r="AQ69" i="32" s="1"/>
  <c r="AB68" i="32"/>
  <c r="L68" i="32"/>
  <c r="H68" i="32"/>
  <c r="C68" i="32"/>
  <c r="AQ68" i="32" s="1"/>
  <c r="AB67" i="32"/>
  <c r="L67" i="32"/>
  <c r="AQ67" i="32" s="1"/>
  <c r="H67" i="32"/>
  <c r="C67" i="32"/>
  <c r="AB66" i="32"/>
  <c r="L66" i="32"/>
  <c r="H66" i="32"/>
  <c r="C66" i="32"/>
  <c r="AQ66" i="32" s="1"/>
  <c r="AE65" i="32"/>
  <c r="AB65" i="32" s="1"/>
  <c r="V65" i="32"/>
  <c r="L65" i="32" s="1"/>
  <c r="H65" i="32"/>
  <c r="D65" i="32"/>
  <c r="D57" i="32" s="1"/>
  <c r="AQ64" i="32"/>
  <c r="AB64" i="32"/>
  <c r="L64" i="32"/>
  <c r="H64" i="32"/>
  <c r="C64" i="32"/>
  <c r="AB63" i="32"/>
  <c r="L63" i="32"/>
  <c r="H63" i="32"/>
  <c r="C63" i="32"/>
  <c r="AQ63" i="32" s="1"/>
  <c r="AB62" i="32"/>
  <c r="L62" i="32"/>
  <c r="H62" i="32"/>
  <c r="C62" i="32"/>
  <c r="AQ62" i="32" s="1"/>
  <c r="AB61" i="32"/>
  <c r="AQ61" i="32" s="1"/>
  <c r="L61" i="32"/>
  <c r="H61" i="32"/>
  <c r="C61" i="32"/>
  <c r="AB60" i="32"/>
  <c r="L60" i="32"/>
  <c r="H60" i="32"/>
  <c r="C60" i="32"/>
  <c r="AQ60" i="32" s="1"/>
  <c r="AB59" i="32"/>
  <c r="L59" i="32"/>
  <c r="H59" i="32"/>
  <c r="C59" i="32"/>
  <c r="AQ59" i="32" s="1"/>
  <c r="AP58" i="32"/>
  <c r="AP57" i="32" s="1"/>
  <c r="AN58" i="32"/>
  <c r="AN29" i="32" s="1"/>
  <c r="AJ58" i="32"/>
  <c r="AI58" i="32"/>
  <c r="AH58" i="32"/>
  <c r="AG58" i="32"/>
  <c r="AE58" i="32"/>
  <c r="AD58" i="32"/>
  <c r="AD57" i="32" s="1"/>
  <c r="AC58" i="32"/>
  <c r="AB58" i="32"/>
  <c r="Z58" i="32"/>
  <c r="Y58" i="32"/>
  <c r="X58" i="32"/>
  <c r="W58" i="32"/>
  <c r="V58" i="32"/>
  <c r="R58" i="32"/>
  <c r="R57" i="32" s="1"/>
  <c r="P58" i="32"/>
  <c r="P29" i="32" s="1"/>
  <c r="O58" i="32"/>
  <c r="L58" i="32" s="1"/>
  <c r="L57" i="32" s="1"/>
  <c r="N58" i="32"/>
  <c r="M58" i="32"/>
  <c r="K58" i="32"/>
  <c r="J58" i="32"/>
  <c r="I58" i="32"/>
  <c r="I29" i="32" s="1"/>
  <c r="F58" i="32"/>
  <c r="C58" i="32" s="1"/>
  <c r="AO57" i="32"/>
  <c r="AM57" i="32"/>
  <c r="AL57" i="32"/>
  <c r="AK57" i="32"/>
  <c r="AJ57" i="32"/>
  <c r="AI57" i="32"/>
  <c r="AH57" i="32"/>
  <c r="AG57" i="32"/>
  <c r="AF57" i="32"/>
  <c r="AE57" i="32"/>
  <c r="AC57" i="32"/>
  <c r="AA57" i="32"/>
  <c r="Z57" i="32"/>
  <c r="Y57" i="32"/>
  <c r="X57" i="32"/>
  <c r="W57" i="32"/>
  <c r="V57" i="32"/>
  <c r="U57" i="32"/>
  <c r="T57" i="32"/>
  <c r="S57" i="32"/>
  <c r="Q57" i="32"/>
  <c r="N57" i="32"/>
  <c r="M57" i="32"/>
  <c r="K57" i="32"/>
  <c r="J57" i="32"/>
  <c r="G57" i="32"/>
  <c r="E57" i="32"/>
  <c r="AB56" i="32"/>
  <c r="L56" i="32"/>
  <c r="H56" i="32"/>
  <c r="C56" i="32"/>
  <c r="AQ56" i="32" s="1"/>
  <c r="AQ55" i="32"/>
  <c r="AB55" i="32"/>
  <c r="L55" i="32"/>
  <c r="H55" i="32"/>
  <c r="C55" i="32"/>
  <c r="AB54" i="32"/>
  <c r="L54" i="32"/>
  <c r="H54" i="32"/>
  <c r="C54" i="32"/>
  <c r="AQ54" i="32" s="1"/>
  <c r="AB53" i="32"/>
  <c r="L53" i="32"/>
  <c r="H53" i="32"/>
  <c r="C53" i="32"/>
  <c r="AQ53" i="32" s="1"/>
  <c r="AB52" i="32"/>
  <c r="AQ52" i="32" s="1"/>
  <c r="L52" i="32"/>
  <c r="H52" i="32"/>
  <c r="C52" i="32"/>
  <c r="AB51" i="32"/>
  <c r="L51" i="32"/>
  <c r="H51" i="32"/>
  <c r="C51" i="32"/>
  <c r="AQ51" i="32" s="1"/>
  <c r="AB50" i="32"/>
  <c r="L50" i="32"/>
  <c r="H50" i="32"/>
  <c r="C50" i="32"/>
  <c r="AQ50" i="32" s="1"/>
  <c r="AB49" i="32"/>
  <c r="L49" i="32"/>
  <c r="AQ49" i="32" s="1"/>
  <c r="H49" i="32"/>
  <c r="C49" i="32"/>
  <c r="AB48" i="32"/>
  <c r="L48" i="32"/>
  <c r="H48" i="32"/>
  <c r="C48" i="32"/>
  <c r="C45" i="32" s="1"/>
  <c r="AQ47" i="32"/>
  <c r="AB47" i="32"/>
  <c r="L47" i="32"/>
  <c r="H47" i="32"/>
  <c r="C47" i="32"/>
  <c r="AB46" i="32"/>
  <c r="AB45" i="32" s="1"/>
  <c r="L46" i="32"/>
  <c r="L45" i="32" s="1"/>
  <c r="H46" i="32"/>
  <c r="AQ46" i="32" s="1"/>
  <c r="C46" i="32"/>
  <c r="AP45" i="32"/>
  <c r="AO45" i="32"/>
  <c r="AN45" i="32"/>
  <c r="AM45" i="32"/>
  <c r="AM29" i="32" s="1"/>
  <c r="AL45" i="32"/>
  <c r="AL29" i="32" s="1"/>
  <c r="AK45" i="32"/>
  <c r="AJ45" i="32"/>
  <c r="AI45" i="32"/>
  <c r="AH45" i="32"/>
  <c r="AG45" i="32"/>
  <c r="AF45" i="32"/>
  <c r="AE45" i="32"/>
  <c r="AE29" i="32" s="1"/>
  <c r="AD45" i="32"/>
  <c r="AD29" i="32" s="1"/>
  <c r="AC45" i="32"/>
  <c r="AA45" i="32"/>
  <c r="Z45" i="32"/>
  <c r="Y45" i="32"/>
  <c r="X45" i="32"/>
  <c r="W45" i="32"/>
  <c r="W29" i="32" s="1"/>
  <c r="V45" i="32"/>
  <c r="V29" i="32" s="1"/>
  <c r="U45" i="32"/>
  <c r="U29" i="32" s="1"/>
  <c r="T45" i="32"/>
  <c r="S45" i="32"/>
  <c r="R45" i="32"/>
  <c r="Q45" i="32"/>
  <c r="P45" i="32"/>
  <c r="O45" i="32"/>
  <c r="N45" i="32"/>
  <c r="M45" i="32"/>
  <c r="K45" i="32"/>
  <c r="J45" i="32"/>
  <c r="I45" i="32"/>
  <c r="G45" i="32"/>
  <c r="G29" i="32" s="1"/>
  <c r="F45" i="32"/>
  <c r="F29" i="32" s="1"/>
  <c r="E45" i="32"/>
  <c r="E29" i="32" s="1"/>
  <c r="D45" i="32"/>
  <c r="AB44" i="32"/>
  <c r="L44" i="32"/>
  <c r="H44" i="32"/>
  <c r="C44" i="32"/>
  <c r="AQ44" i="32" s="1"/>
  <c r="AQ43" i="32"/>
  <c r="AB43" i="32"/>
  <c r="L43" i="32"/>
  <c r="H43" i="32"/>
  <c r="C43" i="32"/>
  <c r="AB42" i="32"/>
  <c r="L42" i="32"/>
  <c r="H42" i="32"/>
  <c r="AQ42" i="32" s="1"/>
  <c r="C42" i="32"/>
  <c r="AB41" i="32"/>
  <c r="L41" i="32"/>
  <c r="H41" i="32"/>
  <c r="C41" i="32"/>
  <c r="AQ41" i="32" s="1"/>
  <c r="AB40" i="32"/>
  <c r="AQ40" i="32" s="1"/>
  <c r="L40" i="32"/>
  <c r="H40" i="32"/>
  <c r="C40" i="32"/>
  <c r="AB39" i="32"/>
  <c r="L39" i="32"/>
  <c r="H39" i="32"/>
  <c r="C39" i="32"/>
  <c r="AQ39" i="32" s="1"/>
  <c r="AB38" i="32"/>
  <c r="L38" i="32"/>
  <c r="H38" i="32"/>
  <c r="C38" i="32"/>
  <c r="AQ38" i="32" s="1"/>
  <c r="AB37" i="32"/>
  <c r="L37" i="32"/>
  <c r="AQ37" i="32" s="1"/>
  <c r="H37" i="32"/>
  <c r="C37" i="32"/>
  <c r="AB36" i="32"/>
  <c r="L36" i="32"/>
  <c r="H36" i="32"/>
  <c r="C36" i="32"/>
  <c r="AQ36" i="32" s="1"/>
  <c r="AQ35" i="32"/>
  <c r="AB35" i="32"/>
  <c r="L35" i="32"/>
  <c r="H35" i="32"/>
  <c r="C35" i="32"/>
  <c r="AB34" i="32"/>
  <c r="L34" i="32"/>
  <c r="H34" i="32"/>
  <c r="AQ34" i="32" s="1"/>
  <c r="C34" i="32"/>
  <c r="AB33" i="32"/>
  <c r="L33" i="32"/>
  <c r="H33" i="32"/>
  <c r="C33" i="32"/>
  <c r="AQ33" i="32" s="1"/>
  <c r="AB32" i="32"/>
  <c r="AQ32" i="32" s="1"/>
  <c r="L32" i="32"/>
  <c r="H32" i="32"/>
  <c r="C32" i="32"/>
  <c r="AB31" i="32"/>
  <c r="L31" i="32"/>
  <c r="L30" i="32" s="1"/>
  <c r="L29" i="32" s="1"/>
  <c r="H31" i="32"/>
  <c r="H30" i="32" s="1"/>
  <c r="C31" i="32"/>
  <c r="AQ31" i="32" s="1"/>
  <c r="AP30" i="32"/>
  <c r="AN30" i="32"/>
  <c r="AM30" i="32"/>
  <c r="AL30" i="32"/>
  <c r="AK30" i="32"/>
  <c r="AK29" i="32" s="1"/>
  <c r="AJ30" i="32"/>
  <c r="AI30" i="32"/>
  <c r="AI29" i="32" s="1"/>
  <c r="AH30" i="32"/>
  <c r="AG30" i="32"/>
  <c r="AF30" i="32"/>
  <c r="AE30" i="32"/>
  <c r="AD30" i="32"/>
  <c r="AC30" i="32"/>
  <c r="AC29" i="32" s="1"/>
  <c r="Z30" i="32"/>
  <c r="Y30" i="32"/>
  <c r="X30" i="32"/>
  <c r="W30" i="32"/>
  <c r="R30" i="32"/>
  <c r="P30" i="32"/>
  <c r="O30" i="32"/>
  <c r="O29" i="32" s="1"/>
  <c r="N30" i="32"/>
  <c r="N29" i="32" s="1"/>
  <c r="M30" i="32"/>
  <c r="M29" i="32" s="1"/>
  <c r="K30" i="32"/>
  <c r="J30" i="32"/>
  <c r="I30" i="32"/>
  <c r="AP29" i="32"/>
  <c r="AO29" i="32"/>
  <c r="AJ29" i="32"/>
  <c r="AH29" i="32"/>
  <c r="AG29" i="32"/>
  <c r="AF29" i="32"/>
  <c r="AA29" i="32"/>
  <c r="Z29" i="32"/>
  <c r="Y29" i="32"/>
  <c r="X29" i="32"/>
  <c r="T29" i="32"/>
  <c r="S29" i="32"/>
  <c r="R29" i="32"/>
  <c r="Q29" i="32"/>
  <c r="K29" i="32"/>
  <c r="J29" i="32"/>
  <c r="D29" i="32"/>
  <c r="AB28" i="32"/>
  <c r="H28" i="32"/>
  <c r="H27" i="32" s="1"/>
  <c r="C28" i="32"/>
  <c r="AP27" i="32"/>
  <c r="AO27" i="32"/>
  <c r="AN27" i="32"/>
  <c r="AM27" i="32"/>
  <c r="AL27" i="32"/>
  <c r="AK27" i="32"/>
  <c r="AJ27" i="32"/>
  <c r="AI27" i="32"/>
  <c r="AH27" i="32"/>
  <c r="AG27" i="32"/>
  <c r="AF27" i="32"/>
  <c r="AE27" i="32"/>
  <c r="AD27" i="32"/>
  <c r="AC27" i="32"/>
  <c r="AB27" i="32"/>
  <c r="AA27" i="32"/>
  <c r="V27" i="32"/>
  <c r="U27" i="32"/>
  <c r="T27" i="32"/>
  <c r="S27" i="32"/>
  <c r="R27" i="32"/>
  <c r="Q27" i="32"/>
  <c r="P27" i="32"/>
  <c r="O27" i="32"/>
  <c r="N27" i="32"/>
  <c r="M27" i="32"/>
  <c r="K27" i="32"/>
  <c r="J27" i="32"/>
  <c r="I27" i="32"/>
  <c r="G27" i="32"/>
  <c r="F27" i="32"/>
  <c r="E27" i="32"/>
  <c r="D27" i="32"/>
  <c r="C27" i="32"/>
  <c r="AK26" i="32"/>
  <c r="AI26" i="32"/>
  <c r="AC26" i="32"/>
  <c r="AC72" i="32" s="1"/>
  <c r="AA26" i="32"/>
  <c r="AA72" i="32" s="1"/>
  <c r="U26" i="32"/>
  <c r="U72" i="32" s="1"/>
  <c r="S26" i="32"/>
  <c r="S72" i="32" s="1"/>
  <c r="M26" i="32"/>
  <c r="M72" i="32" s="1"/>
  <c r="K26" i="32"/>
  <c r="K72" i="32" s="1"/>
  <c r="E26" i="32"/>
  <c r="AB25" i="32"/>
  <c r="L25" i="32"/>
  <c r="AQ25" i="32" s="1"/>
  <c r="H25" i="32"/>
  <c r="C25" i="32"/>
  <c r="AB24" i="32"/>
  <c r="L24" i="32"/>
  <c r="E24" i="32"/>
  <c r="C24" i="32" s="1"/>
  <c r="AQ23" i="32"/>
  <c r="AD22" i="32"/>
  <c r="AC22" i="32"/>
  <c r="AB22" i="32"/>
  <c r="AP21" i="32"/>
  <c r="AN21" i="32"/>
  <c r="AM21" i="32"/>
  <c r="AL21" i="32"/>
  <c r="AK21" i="32"/>
  <c r="AJ21" i="32"/>
  <c r="AJ26" i="32" s="1"/>
  <c r="AJ72" i="32" s="1"/>
  <c r="AI21" i="32"/>
  <c r="AH21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T26" i="32" s="1"/>
  <c r="T72" i="32" s="1"/>
  <c r="S21" i="32"/>
  <c r="R21" i="32"/>
  <c r="Q21" i="32"/>
  <c r="P21" i="32"/>
  <c r="O21" i="32"/>
  <c r="N21" i="32"/>
  <c r="M21" i="32"/>
  <c r="L21" i="32"/>
  <c r="K21" i="32"/>
  <c r="J21" i="32"/>
  <c r="I21" i="32"/>
  <c r="H21" i="32" s="1"/>
  <c r="G21" i="32"/>
  <c r="F21" i="32"/>
  <c r="E21" i="32"/>
  <c r="D21" i="32"/>
  <c r="D26" i="32" s="1"/>
  <c r="D72" i="32" s="1"/>
  <c r="AB20" i="32"/>
  <c r="AQ20" i="32" s="1"/>
  <c r="L20" i="32"/>
  <c r="H20" i="32"/>
  <c r="AB19" i="32"/>
  <c r="AB15" i="32" s="1"/>
  <c r="L19" i="32"/>
  <c r="L15" i="32" s="1"/>
  <c r="H19" i="32"/>
  <c r="AQ18" i="32"/>
  <c r="AB17" i="32"/>
  <c r="L17" i="32"/>
  <c r="H17" i="32"/>
  <c r="C17" i="32"/>
  <c r="AQ17" i="32" s="1"/>
  <c r="AQ16" i="32"/>
  <c r="AB16" i="32"/>
  <c r="L16" i="32"/>
  <c r="H16" i="32"/>
  <c r="C16" i="32"/>
  <c r="AP15" i="32"/>
  <c r="AO15" i="32"/>
  <c r="AN15" i="32"/>
  <c r="AM15" i="32"/>
  <c r="AL15" i="32"/>
  <c r="AK15" i="32"/>
  <c r="AJ15" i="32"/>
  <c r="AI15" i="32"/>
  <c r="AH15" i="32"/>
  <c r="AG15" i="32"/>
  <c r="AF15" i="32"/>
  <c r="AE15" i="32"/>
  <c r="AD15" i="32"/>
  <c r="AC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K15" i="32"/>
  <c r="J15" i="32"/>
  <c r="I15" i="32"/>
  <c r="H15" i="32"/>
  <c r="G15" i="32"/>
  <c r="F15" i="32"/>
  <c r="E15" i="32"/>
  <c r="D15" i="32"/>
  <c r="AB14" i="32"/>
  <c r="L14" i="32"/>
  <c r="AQ14" i="32" s="1"/>
  <c r="H14" i="32"/>
  <c r="C14" i="32"/>
  <c r="AB13" i="32"/>
  <c r="L13" i="32"/>
  <c r="H13" i="32"/>
  <c r="C13" i="32"/>
  <c r="AQ13" i="32" s="1"/>
  <c r="AQ12" i="32"/>
  <c r="AB11" i="32"/>
  <c r="L11" i="32"/>
  <c r="H11" i="32"/>
  <c r="C11" i="32"/>
  <c r="AQ11" i="32" s="1"/>
  <c r="AB10" i="32"/>
  <c r="AB9" i="32" s="1"/>
  <c r="L10" i="32"/>
  <c r="L9" i="32" s="1"/>
  <c r="H10" i="32"/>
  <c r="C10" i="32"/>
  <c r="AP9" i="32"/>
  <c r="AO9" i="32"/>
  <c r="AN9" i="32"/>
  <c r="AM9" i="32"/>
  <c r="AL9" i="32"/>
  <c r="AK9" i="32"/>
  <c r="AJ9" i="32"/>
  <c r="AI9" i="32"/>
  <c r="AH9" i="32"/>
  <c r="AG9" i="32"/>
  <c r="AF9" i="32"/>
  <c r="AE9" i="32"/>
  <c r="AD9" i="32"/>
  <c r="AC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K9" i="32"/>
  <c r="J9" i="32"/>
  <c r="I9" i="32"/>
  <c r="H9" i="32"/>
  <c r="G9" i="32"/>
  <c r="F9" i="32"/>
  <c r="E9" i="32"/>
  <c r="D9" i="32"/>
  <c r="AO8" i="32"/>
  <c r="AM8" i="32"/>
  <c r="AG8" i="32"/>
  <c r="AE8" i="32"/>
  <c r="W8" i="32"/>
  <c r="Q8" i="32"/>
  <c r="O8" i="32"/>
  <c r="I8" i="32"/>
  <c r="G8" i="32"/>
  <c r="AP7" i="32"/>
  <c r="AP26" i="32" s="1"/>
  <c r="AP72" i="32" s="1"/>
  <c r="AO7" i="32"/>
  <c r="AN7" i="32"/>
  <c r="AN26" i="32" s="1"/>
  <c r="AN72" i="32" s="1"/>
  <c r="AM7" i="32"/>
  <c r="AM26" i="32" s="1"/>
  <c r="AM72" i="32" s="1"/>
  <c r="AL7" i="32"/>
  <c r="AL8" i="32" s="1"/>
  <c r="AK7" i="32"/>
  <c r="AK8" i="32" s="1"/>
  <c r="AJ7" i="32"/>
  <c r="AJ8" i="32" s="1"/>
  <c r="AI7" i="32"/>
  <c r="AI8" i="32" s="1"/>
  <c r="AH7" i="32"/>
  <c r="AH26" i="32" s="1"/>
  <c r="AH72" i="32" s="1"/>
  <c r="AG7" i="32"/>
  <c r="AG26" i="32" s="1"/>
  <c r="AG72" i="32" s="1"/>
  <c r="AF7" i="32"/>
  <c r="AF26" i="32" s="1"/>
  <c r="AF72" i="32" s="1"/>
  <c r="AE7" i="32"/>
  <c r="AE26" i="32" s="1"/>
  <c r="AE72" i="32" s="1"/>
  <c r="AD7" i="32"/>
  <c r="AD8" i="32" s="1"/>
  <c r="AC7" i="32"/>
  <c r="AC8" i="32" s="1"/>
  <c r="AA7" i="32"/>
  <c r="AA8" i="32" s="1"/>
  <c r="Z7" i="32"/>
  <c r="Z26" i="32" s="1"/>
  <c r="Y7" i="32"/>
  <c r="Y26" i="32" s="1"/>
  <c r="X7" i="32"/>
  <c r="X26" i="32" s="1"/>
  <c r="W7" i="32"/>
  <c r="W26" i="32" s="1"/>
  <c r="W72" i="32" s="1"/>
  <c r="V7" i="32"/>
  <c r="V8" i="32" s="1"/>
  <c r="U7" i="32"/>
  <c r="U8" i="32" s="1"/>
  <c r="T7" i="32"/>
  <c r="T8" i="32" s="1"/>
  <c r="S7" i="32"/>
  <c r="S8" i="32" s="1"/>
  <c r="R7" i="32"/>
  <c r="R26" i="32" s="1"/>
  <c r="R72" i="32" s="1"/>
  <c r="Q7" i="32"/>
  <c r="Q26" i="32" s="1"/>
  <c r="Q72" i="32" s="1"/>
  <c r="P7" i="32"/>
  <c r="P26" i="32" s="1"/>
  <c r="P72" i="32" s="1"/>
  <c r="O7" i="32"/>
  <c r="O26" i="32" s="1"/>
  <c r="N7" i="32"/>
  <c r="N8" i="32" s="1"/>
  <c r="M7" i="32"/>
  <c r="M8" i="32" s="1"/>
  <c r="K7" i="32"/>
  <c r="K8" i="32" s="1"/>
  <c r="J7" i="32"/>
  <c r="J26" i="32" s="1"/>
  <c r="J72" i="32" s="1"/>
  <c r="I7" i="32"/>
  <c r="I26" i="32" s="1"/>
  <c r="I72" i="32" s="1"/>
  <c r="G7" i="32"/>
  <c r="G26" i="32" s="1"/>
  <c r="G72" i="32" s="1"/>
  <c r="F7" i="32"/>
  <c r="F8" i="32" s="1"/>
  <c r="E7" i="32"/>
  <c r="E8" i="32" s="1"/>
  <c r="D7" i="32"/>
  <c r="D8" i="32" s="1"/>
  <c r="AB6" i="32"/>
  <c r="L6" i="32"/>
  <c r="AQ6" i="32" s="1"/>
  <c r="H6" i="32"/>
  <c r="C6" i="32"/>
  <c r="AB5" i="32"/>
  <c r="L5" i="32"/>
  <c r="H5" i="32"/>
  <c r="C5" i="32"/>
  <c r="AQ5" i="32" s="1"/>
  <c r="AQ4" i="32"/>
  <c r="AB4" i="32"/>
  <c r="L4" i="32"/>
  <c r="H4" i="32"/>
  <c r="C4" i="32"/>
  <c r="AB3" i="32"/>
  <c r="L3" i="32"/>
  <c r="H3" i="32"/>
  <c r="AQ3" i="32" s="1"/>
  <c r="C3" i="32"/>
  <c r="AB2" i="32"/>
  <c r="AB7" i="32" s="1"/>
  <c r="L2" i="32"/>
  <c r="L7" i="32" s="1"/>
  <c r="H2" i="32"/>
  <c r="C2" i="32"/>
  <c r="AQ2" i="32" s="1"/>
  <c r="E10" i="6"/>
  <c r="D99" i="22"/>
  <c r="E99" i="22"/>
  <c r="C99" i="22"/>
  <c r="C16" i="18"/>
  <c r="B16" i="18"/>
  <c r="C56" i="9"/>
  <c r="C54" i="9"/>
  <c r="C52" i="9"/>
  <c r="C50" i="9"/>
  <c r="C39" i="9"/>
  <c r="C40" i="9"/>
  <c r="C41" i="9"/>
  <c r="C42" i="9"/>
  <c r="C43" i="9"/>
  <c r="C44" i="9"/>
  <c r="C45" i="9"/>
  <c r="C46" i="9"/>
  <c r="C47" i="9"/>
  <c r="C48" i="9"/>
  <c r="C30" i="9"/>
  <c r="C28" i="9"/>
  <c r="C26" i="9"/>
  <c r="C24" i="9"/>
  <c r="C13" i="9"/>
  <c r="C14" i="9"/>
  <c r="C15" i="9"/>
  <c r="C16" i="9"/>
  <c r="C17" i="9"/>
  <c r="C18" i="9"/>
  <c r="C19" i="9"/>
  <c r="C20" i="9"/>
  <c r="C21" i="9"/>
  <c r="C22" i="9"/>
  <c r="D38" i="8"/>
  <c r="D30" i="8"/>
  <c r="D31" i="8"/>
  <c r="D32" i="8"/>
  <c r="D33" i="8"/>
  <c r="D34" i="8"/>
  <c r="D35" i="8"/>
  <c r="D36" i="8"/>
  <c r="D21" i="8"/>
  <c r="D13" i="8"/>
  <c r="D14" i="8"/>
  <c r="D15" i="8"/>
  <c r="D16" i="8"/>
  <c r="D17" i="8"/>
  <c r="D18" i="8"/>
  <c r="D19" i="8"/>
  <c r="D60" i="10"/>
  <c r="D52" i="10"/>
  <c r="D42" i="10"/>
  <c r="D43" i="10"/>
  <c r="D44" i="10"/>
  <c r="D27" i="10"/>
  <c r="D28" i="10"/>
  <c r="D29" i="10"/>
  <c r="D30" i="10"/>
  <c r="D31" i="10"/>
  <c r="D32" i="10"/>
  <c r="D33" i="10"/>
  <c r="D34" i="10"/>
  <c r="D16" i="10"/>
  <c r="D17" i="10"/>
  <c r="D18" i="10"/>
  <c r="D19" i="10"/>
  <c r="B9" i="27"/>
  <c r="C68" i="7"/>
  <c r="C66" i="7"/>
  <c r="C61" i="7"/>
  <c r="C62" i="7"/>
  <c r="C63" i="7"/>
  <c r="C64" i="7"/>
  <c r="C58" i="7"/>
  <c r="C59" i="7"/>
  <c r="C55" i="7"/>
  <c r="C56" i="7"/>
  <c r="C53" i="7"/>
  <c r="C50" i="7"/>
  <c r="C51" i="7"/>
  <c r="C45" i="7"/>
  <c r="C46" i="7"/>
  <c r="C47" i="7"/>
  <c r="C48" i="7"/>
  <c r="C36" i="7"/>
  <c r="C34" i="7"/>
  <c r="C29" i="7"/>
  <c r="C30" i="7"/>
  <c r="C31" i="7"/>
  <c r="C32" i="7"/>
  <c r="C27" i="7"/>
  <c r="C26" i="7"/>
  <c r="C24" i="7"/>
  <c r="C23" i="7"/>
  <c r="C21" i="7"/>
  <c r="C18" i="7"/>
  <c r="C19" i="7"/>
  <c r="C13" i="7"/>
  <c r="C14" i="7"/>
  <c r="C15" i="7"/>
  <c r="C16" i="7"/>
  <c r="C27" i="15"/>
  <c r="B21" i="21"/>
  <c r="C26" i="15"/>
  <c r="B20" i="21"/>
  <c r="C25" i="15"/>
  <c r="B19" i="21"/>
  <c r="C24" i="15"/>
  <c r="B18" i="21"/>
  <c r="C23" i="15"/>
  <c r="B17" i="21"/>
  <c r="C22" i="15"/>
  <c r="B16" i="21"/>
  <c r="B44" i="18"/>
  <c r="B45" i="18"/>
  <c r="B36" i="18"/>
  <c r="B28" i="18"/>
  <c r="B21" i="18"/>
  <c r="B11" i="18"/>
  <c r="B12" i="18"/>
  <c r="B13" i="18"/>
  <c r="B14" i="18"/>
  <c r="B15" i="18"/>
  <c r="B8" i="18"/>
  <c r="B9" i="18"/>
  <c r="B6" i="18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8" i="22"/>
  <c r="C89" i="22"/>
  <c r="C90" i="22"/>
  <c r="C91" i="22"/>
  <c r="C92" i="22"/>
  <c r="C93" i="22"/>
  <c r="C94" i="22"/>
  <c r="C95" i="22"/>
  <c r="C96" i="22"/>
  <c r="C97" i="22"/>
  <c r="C98" i="22"/>
  <c r="C100" i="22"/>
  <c r="C101" i="22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D6" i="7"/>
  <c r="D6" i="9"/>
  <c r="E6" i="8"/>
  <c r="E6" i="10"/>
  <c r="D7" i="40"/>
  <c r="C7" i="40"/>
  <c r="AC6" i="40"/>
  <c r="AB6" i="40"/>
  <c r="AA6" i="40"/>
  <c r="Z6" i="40"/>
  <c r="U6" i="40"/>
  <c r="T6" i="40"/>
  <c r="S6" i="40"/>
  <c r="R6" i="40"/>
  <c r="M6" i="40"/>
  <c r="L6" i="40"/>
  <c r="K6" i="40"/>
  <c r="J6" i="40"/>
  <c r="E6" i="40"/>
  <c r="D6" i="40"/>
  <c r="C6" i="40"/>
  <c r="AD5" i="40"/>
  <c r="AD6" i="40"/>
  <c r="AC5" i="40"/>
  <c r="AC7" i="40"/>
  <c r="AB5" i="40"/>
  <c r="AB7" i="40"/>
  <c r="AA5" i="40"/>
  <c r="AA7" i="40"/>
  <c r="Z5" i="40"/>
  <c r="Z7" i="40"/>
  <c r="Y5" i="40"/>
  <c r="Y6" i="40"/>
  <c r="X5" i="40"/>
  <c r="X7" i="40"/>
  <c r="W5" i="40"/>
  <c r="W7" i="40"/>
  <c r="V5" i="40"/>
  <c r="V6" i="40"/>
  <c r="U5" i="40"/>
  <c r="U7" i="40"/>
  <c r="T5" i="40"/>
  <c r="T7" i="40"/>
  <c r="S5" i="40"/>
  <c r="S7" i="40"/>
  <c r="R5" i="40"/>
  <c r="R7" i="40"/>
  <c r="Q5" i="40"/>
  <c r="Q6" i="40"/>
  <c r="P5" i="40"/>
  <c r="P6" i="40"/>
  <c r="O5" i="40"/>
  <c r="O6" i="40"/>
  <c r="N5" i="40"/>
  <c r="N6" i="40"/>
  <c r="M5" i="40"/>
  <c r="M7" i="40"/>
  <c r="L5" i="40"/>
  <c r="L7" i="40"/>
  <c r="K5" i="40"/>
  <c r="K7" i="40"/>
  <c r="J5" i="40"/>
  <c r="J7" i="40"/>
  <c r="I5" i="40"/>
  <c r="I6" i="40"/>
  <c r="H5" i="40"/>
  <c r="H6" i="40"/>
  <c r="G5" i="40"/>
  <c r="G6" i="40"/>
  <c r="F5" i="40"/>
  <c r="F6" i="40"/>
  <c r="E5" i="40"/>
  <c r="E7" i="40"/>
  <c r="AD3" i="40" a="1"/>
  <c r="AD3" i="40"/>
  <c r="AC3" i="40" a="1"/>
  <c r="AC3" i="40"/>
  <c r="AB3" i="40" a="1"/>
  <c r="AB3" i="40"/>
  <c r="AA3" i="40" a="1"/>
  <c r="AA3" i="40"/>
  <c r="Z3" i="40" a="1"/>
  <c r="Z3" i="40"/>
  <c r="Y3" i="40" a="1"/>
  <c r="Y3" i="40"/>
  <c r="X3" i="40" a="1"/>
  <c r="X3" i="40"/>
  <c r="V3" i="40" a="1"/>
  <c r="V3" i="40"/>
  <c r="U3" i="40" a="1"/>
  <c r="U3" i="40"/>
  <c r="T3" i="40" a="1"/>
  <c r="T3" i="40"/>
  <c r="S3" i="40" a="1"/>
  <c r="S3" i="40"/>
  <c r="R3" i="40" a="1"/>
  <c r="R3" i="40"/>
  <c r="Q3" i="40" a="1"/>
  <c r="Q3" i="40"/>
  <c r="P3" i="40" a="1"/>
  <c r="P3" i="40"/>
  <c r="N3" i="40" a="1"/>
  <c r="N3" i="40"/>
  <c r="M3" i="40" a="1"/>
  <c r="M3" i="40"/>
  <c r="L3" i="40" a="1"/>
  <c r="L3" i="40"/>
  <c r="K3" i="40" a="1"/>
  <c r="K3" i="40"/>
  <c r="J3" i="40" a="1"/>
  <c r="J3" i="40"/>
  <c r="I3" i="40" a="1"/>
  <c r="I3" i="40"/>
  <c r="H3" i="40" a="1"/>
  <c r="H3" i="40"/>
  <c r="F3" i="40" a="1"/>
  <c r="F3" i="40"/>
  <c r="E3" i="40" a="1"/>
  <c r="E3" i="40"/>
  <c r="D3" i="40" a="1"/>
  <c r="D3" i="40"/>
  <c r="C3" i="40" a="1"/>
  <c r="C3" i="40"/>
  <c r="E5" i="10"/>
  <c r="D5" i="9"/>
  <c r="D5" i="7"/>
  <c r="E5" i="8"/>
  <c r="D5" i="8"/>
  <c r="C5" i="9"/>
  <c r="D5" i="10"/>
  <c r="C5" i="7"/>
  <c r="H7" i="40"/>
  <c r="G3" i="40" a="1"/>
  <c r="G3" i="40"/>
  <c r="O3" i="40" a="1"/>
  <c r="O3" i="40"/>
  <c r="W3" i="40" a="1"/>
  <c r="W3" i="40"/>
  <c r="F7" i="40"/>
  <c r="N7" i="40"/>
  <c r="V7" i="40"/>
  <c r="AD7" i="40"/>
  <c r="P7" i="40"/>
  <c r="I7" i="40"/>
  <c r="Q7" i="40"/>
  <c r="Y7" i="40"/>
  <c r="O7" i="40"/>
  <c r="G7" i="40"/>
  <c r="W6" i="40"/>
  <c r="X6" i="40"/>
  <c r="C54" i="6"/>
  <c r="C62" i="6"/>
  <c r="G8" i="34"/>
  <c r="F8" i="34"/>
  <c r="E8" i="34"/>
  <c r="D8" i="34"/>
  <c r="C8" i="34"/>
  <c r="D34" i="38"/>
  <c r="I34" i="38"/>
  <c r="D38" i="38"/>
  <c r="D37" i="38"/>
  <c r="D36" i="38"/>
  <c r="D40" i="38"/>
  <c r="D31" i="15"/>
  <c r="E11" i="6"/>
  <c r="E34" i="6" s="1"/>
  <c r="L10" i="6"/>
  <c r="B10" i="9"/>
  <c r="E101" i="22"/>
  <c r="F45" i="18"/>
  <c r="C45" i="18"/>
  <c r="D101" i="22"/>
  <c r="E100" i="22"/>
  <c r="F44" i="18"/>
  <c r="C44" i="18"/>
  <c r="D100" i="22"/>
  <c r="D28" i="15"/>
  <c r="E37" i="38"/>
  <c r="J25" i="38"/>
  <c r="E33" i="38"/>
  <c r="E32" i="38"/>
  <c r="J30" i="38"/>
  <c r="E31" i="38"/>
  <c r="E30" i="38"/>
  <c r="E29" i="38"/>
  <c r="E28" i="38"/>
  <c r="J26" i="38"/>
  <c r="E27" i="38"/>
  <c r="E26" i="38"/>
  <c r="E25" i="38"/>
  <c r="E24" i="38"/>
  <c r="F16" i="38"/>
  <c r="J13" i="38"/>
  <c r="E16" i="38"/>
  <c r="I7" i="38"/>
  <c r="D16" i="38"/>
  <c r="H7" i="38"/>
  <c r="J14" i="38"/>
  <c r="G9" i="34"/>
  <c r="F9" i="34"/>
  <c r="E9" i="34"/>
  <c r="D9" i="34"/>
  <c r="C9" i="34"/>
  <c r="P9" i="27"/>
  <c r="K9" i="27"/>
  <c r="O9" i="27"/>
  <c r="Q60" i="10"/>
  <c r="H60" i="10"/>
  <c r="F60" i="10"/>
  <c r="E86" i="22"/>
  <c r="Q52" i="10"/>
  <c r="H52" i="10"/>
  <c r="F52" i="10"/>
  <c r="E85" i="22"/>
  <c r="Q44" i="10"/>
  <c r="H44" i="10"/>
  <c r="F44" i="10"/>
  <c r="E84" i="22"/>
  <c r="G44" i="10"/>
  <c r="Q43" i="10"/>
  <c r="H43" i="10"/>
  <c r="F43" i="10"/>
  <c r="E83" i="22"/>
  <c r="Q42" i="10"/>
  <c r="H42" i="10"/>
  <c r="F42" i="10"/>
  <c r="E82" i="22"/>
  <c r="Q34" i="10"/>
  <c r="H34" i="10"/>
  <c r="F34" i="10"/>
  <c r="E81" i="22"/>
  <c r="Q33" i="10"/>
  <c r="H33" i="10"/>
  <c r="F33" i="10"/>
  <c r="E80" i="22"/>
  <c r="Q32" i="10"/>
  <c r="H32" i="10"/>
  <c r="F32" i="10"/>
  <c r="E79" i="22"/>
  <c r="Q31" i="10"/>
  <c r="H31" i="10"/>
  <c r="F31" i="10"/>
  <c r="E78" i="22"/>
  <c r="Q30" i="10"/>
  <c r="H30" i="10"/>
  <c r="F30" i="10"/>
  <c r="E77" i="22"/>
  <c r="Q29" i="10"/>
  <c r="H29" i="10"/>
  <c r="F29" i="10"/>
  <c r="E76" i="22"/>
  <c r="Q28" i="10"/>
  <c r="H28" i="10"/>
  <c r="F28" i="10"/>
  <c r="E75" i="22"/>
  <c r="Q27" i="10"/>
  <c r="H27" i="10"/>
  <c r="F27" i="10"/>
  <c r="E74" i="22"/>
  <c r="Z19" i="10"/>
  <c r="Q19" i="10"/>
  <c r="H19" i="10"/>
  <c r="F19" i="10"/>
  <c r="E73" i="22"/>
  <c r="Q18" i="10"/>
  <c r="H18" i="10"/>
  <c r="F18" i="10"/>
  <c r="E72" i="22"/>
  <c r="G18" i="10"/>
  <c r="Q17" i="10"/>
  <c r="H17" i="10"/>
  <c r="F17" i="10"/>
  <c r="E71" i="22"/>
  <c r="Q16" i="10"/>
  <c r="H16" i="10"/>
  <c r="F16" i="10"/>
  <c r="E70" i="22"/>
  <c r="F11" i="10"/>
  <c r="C11" i="10"/>
  <c r="F10" i="10"/>
  <c r="C10" i="10"/>
  <c r="F9" i="10"/>
  <c r="C9" i="10"/>
  <c r="F8" i="10"/>
  <c r="C8" i="10"/>
  <c r="F7" i="10"/>
  <c r="C7" i="10"/>
  <c r="J39" i="8"/>
  <c r="H38" i="8"/>
  <c r="J37" i="8"/>
  <c r="T37" i="8"/>
  <c r="H36" i="8"/>
  <c r="T35" i="8"/>
  <c r="R35" i="8"/>
  <c r="S35" i="8"/>
  <c r="H35" i="8"/>
  <c r="H34" i="8"/>
  <c r="J33" i="8"/>
  <c r="T33" i="8"/>
  <c r="H33" i="8"/>
  <c r="T32" i="8"/>
  <c r="H32" i="8"/>
  <c r="T31" i="8"/>
  <c r="H31" i="8"/>
  <c r="T30" i="8"/>
  <c r="H30" i="8"/>
  <c r="C27" i="8"/>
  <c r="J22" i="8"/>
  <c r="H21" i="8"/>
  <c r="J20" i="8"/>
  <c r="T20" i="8"/>
  <c r="H19" i="8"/>
  <c r="T18" i="8"/>
  <c r="R18" i="8"/>
  <c r="S18" i="8"/>
  <c r="H18" i="8"/>
  <c r="H17" i="8"/>
  <c r="J16" i="8"/>
  <c r="H16" i="8"/>
  <c r="T15" i="8"/>
  <c r="H15" i="8"/>
  <c r="T14" i="8"/>
  <c r="H14" i="8"/>
  <c r="T13" i="8"/>
  <c r="H13" i="8"/>
  <c r="C10" i="8"/>
  <c r="L57" i="9"/>
  <c r="H57" i="9"/>
  <c r="R57" i="9"/>
  <c r="L55" i="9"/>
  <c r="H55" i="9"/>
  <c r="R55" i="9"/>
  <c r="L53" i="9"/>
  <c r="H53" i="9"/>
  <c r="R53" i="9"/>
  <c r="L51" i="9"/>
  <c r="H51" i="9"/>
  <c r="R51" i="9"/>
  <c r="L49" i="9"/>
  <c r="H49" i="9"/>
  <c r="R49" i="9"/>
  <c r="F48" i="9"/>
  <c r="R47" i="9"/>
  <c r="F47" i="9"/>
  <c r="R46" i="9"/>
  <c r="F46" i="9"/>
  <c r="R45" i="9"/>
  <c r="F45" i="9"/>
  <c r="R44" i="9"/>
  <c r="F44" i="9"/>
  <c r="R43" i="9"/>
  <c r="F43" i="9"/>
  <c r="R42" i="9"/>
  <c r="F42" i="9"/>
  <c r="R41" i="9"/>
  <c r="F41" i="9"/>
  <c r="R40" i="9"/>
  <c r="F40" i="9"/>
  <c r="R39" i="9"/>
  <c r="O39" i="9"/>
  <c r="F39" i="9"/>
  <c r="B36" i="9"/>
  <c r="L31" i="9"/>
  <c r="H31" i="9"/>
  <c r="L29" i="9"/>
  <c r="H29" i="9"/>
  <c r="R29" i="9"/>
  <c r="L27" i="9"/>
  <c r="H27" i="9"/>
  <c r="R27" i="9"/>
  <c r="L25" i="9"/>
  <c r="H25" i="9"/>
  <c r="R25" i="9"/>
  <c r="L23" i="9"/>
  <c r="H23" i="9"/>
  <c r="F22" i="9"/>
  <c r="R21" i="9"/>
  <c r="F21" i="9"/>
  <c r="R20" i="9"/>
  <c r="F20" i="9"/>
  <c r="R19" i="9"/>
  <c r="F19" i="9"/>
  <c r="R18" i="9"/>
  <c r="F18" i="9"/>
  <c r="R17" i="9"/>
  <c r="F17" i="9"/>
  <c r="R16" i="9"/>
  <c r="F16" i="9"/>
  <c r="R15" i="9"/>
  <c r="F15" i="9"/>
  <c r="R14" i="9"/>
  <c r="F14" i="9"/>
  <c r="R13" i="9"/>
  <c r="O13" i="9"/>
  <c r="F13" i="9"/>
  <c r="E8" i="9"/>
  <c r="E7" i="9"/>
  <c r="L71" i="7"/>
  <c r="L70" i="7"/>
  <c r="L69" i="7"/>
  <c r="U68" i="7"/>
  <c r="G68" i="7"/>
  <c r="L67" i="7"/>
  <c r="U66" i="7"/>
  <c r="G66" i="7"/>
  <c r="F56" i="9"/>
  <c r="F66" i="7"/>
  <c r="L65" i="7"/>
  <c r="U64" i="7"/>
  <c r="G64" i="7"/>
  <c r="U63" i="7"/>
  <c r="L63" i="7"/>
  <c r="G63" i="7"/>
  <c r="U62" i="7"/>
  <c r="L62" i="7"/>
  <c r="G62" i="7"/>
  <c r="U61" i="7"/>
  <c r="L61" i="7"/>
  <c r="G61" i="7"/>
  <c r="U59" i="7"/>
  <c r="G59" i="7"/>
  <c r="F59" i="7"/>
  <c r="U58" i="7"/>
  <c r="G58" i="7"/>
  <c r="L57" i="7"/>
  <c r="U56" i="7"/>
  <c r="G56" i="7"/>
  <c r="F54" i="9"/>
  <c r="F56" i="7"/>
  <c r="U55" i="7"/>
  <c r="L55" i="7"/>
  <c r="G55" i="7"/>
  <c r="L54" i="7"/>
  <c r="U53" i="7"/>
  <c r="G53" i="7"/>
  <c r="F52" i="9"/>
  <c r="F53" i="7"/>
  <c r="L52" i="7"/>
  <c r="U51" i="7"/>
  <c r="G51" i="7"/>
  <c r="U50" i="7"/>
  <c r="L50" i="7"/>
  <c r="G50" i="7"/>
  <c r="L49" i="7"/>
  <c r="U48" i="7"/>
  <c r="G48" i="7"/>
  <c r="F50" i="9"/>
  <c r="F48" i="7"/>
  <c r="U47" i="7"/>
  <c r="L47" i="7"/>
  <c r="G47" i="7"/>
  <c r="U46" i="7"/>
  <c r="L46" i="7"/>
  <c r="G46" i="7"/>
  <c r="U45" i="7"/>
  <c r="S45" i="7"/>
  <c r="L45" i="7"/>
  <c r="G45" i="7"/>
  <c r="B42" i="7"/>
  <c r="L38" i="7"/>
  <c r="L37" i="7"/>
  <c r="U36" i="7"/>
  <c r="G36" i="7"/>
  <c r="L35" i="7"/>
  <c r="U34" i="7"/>
  <c r="G34" i="7"/>
  <c r="F30" i="9"/>
  <c r="F34" i="7"/>
  <c r="L33" i="7"/>
  <c r="U32" i="7"/>
  <c r="G32" i="7"/>
  <c r="U31" i="7"/>
  <c r="L31" i="7"/>
  <c r="G31" i="7"/>
  <c r="U30" i="7"/>
  <c r="L30" i="7"/>
  <c r="G30" i="7"/>
  <c r="U29" i="7"/>
  <c r="L29" i="7"/>
  <c r="G29" i="7"/>
  <c r="U27" i="7"/>
  <c r="G27" i="7"/>
  <c r="F27" i="7"/>
  <c r="U26" i="7"/>
  <c r="G26" i="7"/>
  <c r="L25" i="7"/>
  <c r="U24" i="7"/>
  <c r="G24" i="7"/>
  <c r="F28" i="9"/>
  <c r="F24" i="7"/>
  <c r="U23" i="7"/>
  <c r="L23" i="7"/>
  <c r="G23" i="7"/>
  <c r="L22" i="7"/>
  <c r="U21" i="7"/>
  <c r="G21" i="7"/>
  <c r="F26" i="9"/>
  <c r="F21" i="7"/>
  <c r="L20" i="7"/>
  <c r="U19" i="7"/>
  <c r="G19" i="7"/>
  <c r="U18" i="7"/>
  <c r="L18" i="7"/>
  <c r="G18" i="7"/>
  <c r="L17" i="7"/>
  <c r="U16" i="7"/>
  <c r="G16" i="7"/>
  <c r="F24" i="9"/>
  <c r="F16" i="7"/>
  <c r="U15" i="7"/>
  <c r="L15" i="7"/>
  <c r="G15" i="7"/>
  <c r="U14" i="7"/>
  <c r="L14" i="7"/>
  <c r="G14" i="7"/>
  <c r="U13" i="7"/>
  <c r="S13" i="7"/>
  <c r="L13" i="7"/>
  <c r="G13" i="7"/>
  <c r="B10" i="7"/>
  <c r="C21" i="21"/>
  <c r="C20" i="21"/>
  <c r="C19" i="21"/>
  <c r="C18" i="21"/>
  <c r="C17" i="21"/>
  <c r="G16" i="21"/>
  <c r="E16" i="21"/>
  <c r="D16" i="21"/>
  <c r="C16" i="21"/>
  <c r="G14" i="21"/>
  <c r="F14" i="21"/>
  <c r="E14" i="21"/>
  <c r="D14" i="21"/>
  <c r="F38" i="18"/>
  <c r="C36" i="18"/>
  <c r="E37" i="18"/>
  <c r="J28" i="18"/>
  <c r="F28" i="18"/>
  <c r="C28" i="18"/>
  <c r="D90" i="22"/>
  <c r="F21" i="18"/>
  <c r="F15" i="18"/>
  <c r="C15" i="18"/>
  <c r="D98" i="22"/>
  <c r="F14" i="18"/>
  <c r="C14" i="18"/>
  <c r="D97" i="22"/>
  <c r="F13" i="18"/>
  <c r="C13" i="18"/>
  <c r="D96" i="22"/>
  <c r="F12" i="18"/>
  <c r="C12" i="18"/>
  <c r="D95" i="22"/>
  <c r="F11" i="18"/>
  <c r="C11" i="18"/>
  <c r="D94" i="22"/>
  <c r="F9" i="18"/>
  <c r="C9" i="18"/>
  <c r="D93" i="22"/>
  <c r="F8" i="18"/>
  <c r="C8" i="18"/>
  <c r="D92" i="22"/>
  <c r="F6" i="18"/>
  <c r="C6" i="18"/>
  <c r="D91" i="22"/>
  <c r="E98" i="22"/>
  <c r="E97" i="22"/>
  <c r="E96" i="22"/>
  <c r="E95" i="22"/>
  <c r="E94" i="22"/>
  <c r="E93" i="22"/>
  <c r="E92" i="22"/>
  <c r="E91" i="22"/>
  <c r="E90" i="22"/>
  <c r="E89" i="22"/>
  <c r="E88" i="22"/>
  <c r="D88" i="22"/>
  <c r="D33" i="15"/>
  <c r="B8" i="9"/>
  <c r="D32" i="15"/>
  <c r="B7" i="9"/>
  <c r="C37" i="6"/>
  <c r="D30" i="15"/>
  <c r="C36" i="6"/>
  <c r="D29" i="15"/>
  <c r="D70" i="6"/>
  <c r="C70" i="6"/>
  <c r="N48" i="6"/>
  <c r="C47" i="6"/>
  <c r="B47" i="6"/>
  <c r="C46" i="6"/>
  <c r="B46" i="6"/>
  <c r="C45" i="6"/>
  <c r="B45" i="6"/>
  <c r="C44" i="6"/>
  <c r="B44" i="6"/>
  <c r="C43" i="6"/>
  <c r="B43" i="6"/>
  <c r="C42" i="6"/>
  <c r="B42" i="6"/>
  <c r="N41" i="6"/>
  <c r="B40" i="6"/>
  <c r="B39" i="6"/>
  <c r="N38" i="6"/>
  <c r="B37" i="6"/>
  <c r="F8" i="8"/>
  <c r="B36" i="6"/>
  <c r="F7" i="8"/>
  <c r="N35" i="6"/>
  <c r="C34" i="6"/>
  <c r="H64" i="7"/>
  <c r="I38" i="8"/>
  <c r="B34" i="6"/>
  <c r="E8" i="7"/>
  <c r="C33" i="6"/>
  <c r="B27" i="7"/>
  <c r="B33" i="6"/>
  <c r="E7" i="7"/>
  <c r="N32" i="6"/>
  <c r="M32" i="6"/>
  <c r="L32" i="6"/>
  <c r="K32" i="6"/>
  <c r="J32" i="6"/>
  <c r="H32" i="6"/>
  <c r="G32" i="6"/>
  <c r="F32" i="6"/>
  <c r="E32" i="6"/>
  <c r="D32" i="6"/>
  <c r="M27" i="6"/>
  <c r="K27" i="6"/>
  <c r="J27" i="6"/>
  <c r="F27" i="6"/>
  <c r="G22" i="6"/>
  <c r="H22" i="6"/>
  <c r="E22" i="6"/>
  <c r="G20" i="6"/>
  <c r="H20" i="6"/>
  <c r="E20" i="6"/>
  <c r="G18" i="6"/>
  <c r="H18" i="6"/>
  <c r="E18" i="6"/>
  <c r="N17" i="6"/>
  <c r="M17" i="6"/>
  <c r="L17" i="6"/>
  <c r="K17" i="6"/>
  <c r="J17" i="6"/>
  <c r="H17" i="6"/>
  <c r="G17" i="6"/>
  <c r="F17" i="6"/>
  <c r="E17" i="6"/>
  <c r="D17" i="6"/>
  <c r="N12" i="6"/>
  <c r="M11" i="6"/>
  <c r="K11" i="6"/>
  <c r="K40" i="6" s="1"/>
  <c r="P46" i="9" s="1"/>
  <c r="Q46" i="9" s="1"/>
  <c r="J11" i="6"/>
  <c r="J40" i="6" s="1"/>
  <c r="P45" i="9" s="1"/>
  <c r="Q45" i="9" s="1"/>
  <c r="I11" i="6"/>
  <c r="I34" i="6" s="1"/>
  <c r="H11" i="6"/>
  <c r="H34" i="6" s="1"/>
  <c r="T56" i="7" s="1"/>
  <c r="C11" i="6"/>
  <c r="M10" i="6"/>
  <c r="M39" i="6" s="1"/>
  <c r="K10" i="6"/>
  <c r="K39" i="6" s="1"/>
  <c r="J10" i="6"/>
  <c r="J33" i="6" s="1"/>
  <c r="T29" i="7" s="1"/>
  <c r="I10" i="6"/>
  <c r="H10" i="6"/>
  <c r="C10" i="6"/>
  <c r="L11" i="6"/>
  <c r="L40" i="6" s="1"/>
  <c r="P47" i="9" s="1"/>
  <c r="G11" i="6"/>
  <c r="G40" i="6" s="1"/>
  <c r="G10" i="6"/>
  <c r="G36" i="6" s="1"/>
  <c r="R13" i="8" s="1"/>
  <c r="J8" i="38"/>
  <c r="F18" i="38"/>
  <c r="F19" i="38"/>
  <c r="J9" i="38"/>
  <c r="J10" i="38"/>
  <c r="I11" i="38"/>
  <c r="H40" i="6"/>
  <c r="P43" i="9" s="1"/>
  <c r="D71" i="6"/>
  <c r="D72" i="6"/>
  <c r="I20" i="6"/>
  <c r="E27" i="6"/>
  <c r="H11" i="38"/>
  <c r="J11" i="38"/>
  <c r="J29" i="38"/>
  <c r="J12" i="38"/>
  <c r="H27" i="6"/>
  <c r="J7" i="38"/>
  <c r="C44" i="10"/>
  <c r="E44" i="10"/>
  <c r="D84" i="22"/>
  <c r="C60" i="10"/>
  <c r="E60" i="10"/>
  <c r="D86" i="22"/>
  <c r="C31" i="10"/>
  <c r="E31" i="10"/>
  <c r="D78" i="22"/>
  <c r="C52" i="10"/>
  <c r="E52" i="10"/>
  <c r="D85" i="22"/>
  <c r="C42" i="10"/>
  <c r="E42" i="10"/>
  <c r="D82" i="22"/>
  <c r="C40" i="6"/>
  <c r="H67" i="7"/>
  <c r="G57" i="9"/>
  <c r="C39" i="6"/>
  <c r="H37" i="7"/>
  <c r="G23" i="9"/>
  <c r="C8" i="8"/>
  <c r="C33" i="8"/>
  <c r="H52" i="7"/>
  <c r="I37" i="8"/>
  <c r="B8" i="7"/>
  <c r="B68" i="7"/>
  <c r="H34" i="7"/>
  <c r="G30" i="9"/>
  <c r="C21" i="18"/>
  <c r="D89" i="22"/>
  <c r="C30" i="10"/>
  <c r="E30" i="10"/>
  <c r="D77" i="22"/>
  <c r="C7" i="8"/>
  <c r="H33" i="7"/>
  <c r="I22" i="8"/>
  <c r="H20" i="7"/>
  <c r="I20" i="8"/>
  <c r="I18" i="6"/>
  <c r="H24" i="7"/>
  <c r="G28" i="9"/>
  <c r="B36" i="7"/>
  <c r="B31" i="7"/>
  <c r="B7" i="7"/>
  <c r="H36" i="7"/>
  <c r="G22" i="9"/>
  <c r="B34" i="7"/>
  <c r="H27" i="7"/>
  <c r="B16" i="7"/>
  <c r="E16" i="7"/>
  <c r="B32" i="7"/>
  <c r="H53" i="7"/>
  <c r="G52" i="9"/>
  <c r="H65" i="7"/>
  <c r="I39" i="8"/>
  <c r="W39" i="7"/>
  <c r="H66" i="7"/>
  <c r="G56" i="9"/>
  <c r="H68" i="7"/>
  <c r="G48" i="9"/>
  <c r="H56" i="7"/>
  <c r="G54" i="9"/>
  <c r="H51" i="7"/>
  <c r="I36" i="8"/>
  <c r="H48" i="7"/>
  <c r="G50" i="9"/>
  <c r="H54" i="7"/>
  <c r="G53" i="9"/>
  <c r="B13" i="9"/>
  <c r="D13" i="9"/>
  <c r="B21" i="9"/>
  <c r="D21" i="9"/>
  <c r="B14" i="9"/>
  <c r="D14" i="9"/>
  <c r="B18" i="9"/>
  <c r="D18" i="9"/>
  <c r="B17" i="9"/>
  <c r="D17" i="9"/>
  <c r="B16" i="9"/>
  <c r="D16" i="9"/>
  <c r="B15" i="9"/>
  <c r="D15" i="9"/>
  <c r="B20" i="9"/>
  <c r="D20" i="9"/>
  <c r="B13" i="7"/>
  <c r="B14" i="7"/>
  <c r="E14" i="7"/>
  <c r="E7" i="22"/>
  <c r="H59" i="7"/>
  <c r="B19" i="9"/>
  <c r="D19" i="9"/>
  <c r="E27" i="7"/>
  <c r="E16" i="22"/>
  <c r="D27" i="7"/>
  <c r="D16" i="22"/>
  <c r="G27" i="6"/>
  <c r="B18" i="7"/>
  <c r="D18" i="7"/>
  <c r="D10" i="22"/>
  <c r="H21" i="7"/>
  <c r="G26" i="9"/>
  <c r="H32" i="7"/>
  <c r="I21" i="8"/>
  <c r="R23" i="9"/>
  <c r="R31" i="9"/>
  <c r="J17" i="8"/>
  <c r="T16" i="8"/>
  <c r="B46" i="9"/>
  <c r="D46" i="9"/>
  <c r="B44" i="9"/>
  <c r="D44" i="9"/>
  <c r="B42" i="9"/>
  <c r="D42" i="9"/>
  <c r="B40" i="9"/>
  <c r="D40" i="9"/>
  <c r="B47" i="9"/>
  <c r="D47" i="9"/>
  <c r="B45" i="9"/>
  <c r="D45" i="9"/>
  <c r="B43" i="9"/>
  <c r="D43" i="9"/>
  <c r="B41" i="9"/>
  <c r="D41" i="9"/>
  <c r="B39" i="9"/>
  <c r="D39" i="9"/>
  <c r="T22" i="8"/>
  <c r="T39" i="8"/>
  <c r="C17" i="10"/>
  <c r="E17" i="10"/>
  <c r="D71" i="22"/>
  <c r="C18" i="10"/>
  <c r="E18" i="10"/>
  <c r="D72" i="22"/>
  <c r="C19" i="10"/>
  <c r="E19" i="10"/>
  <c r="D73" i="22"/>
  <c r="C16" i="10"/>
  <c r="E16" i="10"/>
  <c r="D70" i="22"/>
  <c r="J34" i="8"/>
  <c r="E18" i="38"/>
  <c r="E19" i="38"/>
  <c r="I13" i="38"/>
  <c r="I9" i="38"/>
  <c r="I14" i="38"/>
  <c r="I10" i="38"/>
  <c r="E17" i="38"/>
  <c r="I12" i="38"/>
  <c r="I8" i="38"/>
  <c r="C27" i="10"/>
  <c r="E27" i="10"/>
  <c r="D74" i="22"/>
  <c r="E36" i="38"/>
  <c r="D17" i="38"/>
  <c r="H12" i="38"/>
  <c r="H8" i="38"/>
  <c r="D18" i="38"/>
  <c r="D19" i="38"/>
  <c r="H13" i="38"/>
  <c r="H9" i="38"/>
  <c r="F17" i="38"/>
  <c r="C33" i="10"/>
  <c r="E33" i="10"/>
  <c r="D80" i="22"/>
  <c r="C29" i="10"/>
  <c r="E29" i="10"/>
  <c r="D76" i="22"/>
  <c r="C32" i="10"/>
  <c r="E32" i="10"/>
  <c r="D79" i="22"/>
  <c r="C28" i="10"/>
  <c r="E28" i="10"/>
  <c r="D75" i="22"/>
  <c r="C34" i="10"/>
  <c r="E34" i="10"/>
  <c r="D81" i="22"/>
  <c r="H10" i="38"/>
  <c r="H14" i="38"/>
  <c r="J28" i="38"/>
  <c r="J32" i="38"/>
  <c r="J31" i="38"/>
  <c r="J24" i="38"/>
  <c r="J27" i="38"/>
  <c r="E38" i="38"/>
  <c r="C43" i="10"/>
  <c r="E43" i="10"/>
  <c r="D83" i="22"/>
  <c r="H19" i="7"/>
  <c r="I19" i="8"/>
  <c r="B29" i="7"/>
  <c r="B26" i="7"/>
  <c r="D26" i="7"/>
  <c r="H16" i="7"/>
  <c r="G24" i="9"/>
  <c r="B15" i="7"/>
  <c r="D15" i="7"/>
  <c r="B23" i="7"/>
  <c r="D23" i="7"/>
  <c r="B24" i="7"/>
  <c r="D24" i="7"/>
  <c r="D28" i="9"/>
  <c r="B19" i="7"/>
  <c r="D19" i="7"/>
  <c r="B30" i="7"/>
  <c r="D30" i="7"/>
  <c r="B21" i="7"/>
  <c r="D21" i="7"/>
  <c r="D26" i="9"/>
  <c r="H22" i="7"/>
  <c r="G27" i="9"/>
  <c r="H35" i="7"/>
  <c r="G31" i="9"/>
  <c r="H28" i="7"/>
  <c r="H17" i="7"/>
  <c r="G25" i="9"/>
  <c r="H60" i="7"/>
  <c r="H69" i="7"/>
  <c r="G49" i="9"/>
  <c r="I27" i="6"/>
  <c r="F20" i="38"/>
  <c r="H57" i="7"/>
  <c r="G55" i="9"/>
  <c r="C31" i="8"/>
  <c r="E31" i="8"/>
  <c r="D65" i="22"/>
  <c r="B47" i="7"/>
  <c r="E47" i="7"/>
  <c r="E25" i="22"/>
  <c r="B51" i="7"/>
  <c r="D51" i="7"/>
  <c r="B56" i="7"/>
  <c r="D56" i="7"/>
  <c r="D54" i="9"/>
  <c r="B63" i="7"/>
  <c r="E63" i="7"/>
  <c r="E36" i="22"/>
  <c r="B55" i="7"/>
  <c r="E55" i="7"/>
  <c r="E30" i="22"/>
  <c r="H49" i="7"/>
  <c r="G51" i="9"/>
  <c r="C35" i="8"/>
  <c r="F35" i="8"/>
  <c r="E69" i="22"/>
  <c r="C32" i="8"/>
  <c r="F32" i="8"/>
  <c r="E66" i="22"/>
  <c r="C34" i="8"/>
  <c r="E34" i="8"/>
  <c r="D68" i="22"/>
  <c r="C30" i="8"/>
  <c r="E30" i="8"/>
  <c r="D64" i="22"/>
  <c r="H25" i="7"/>
  <c r="G29" i="9"/>
  <c r="B48" i="7"/>
  <c r="E48" i="7"/>
  <c r="B64" i="7"/>
  <c r="D64" i="7"/>
  <c r="B45" i="7"/>
  <c r="D45" i="7"/>
  <c r="D23" i="22"/>
  <c r="B50" i="7"/>
  <c r="D50" i="7"/>
  <c r="D27" i="22"/>
  <c r="B58" i="7"/>
  <c r="D58" i="7"/>
  <c r="D32" i="22"/>
  <c r="B61" i="7"/>
  <c r="E61" i="7"/>
  <c r="E34" i="22"/>
  <c r="B66" i="7"/>
  <c r="E66" i="7"/>
  <c r="B62" i="7"/>
  <c r="D62" i="7"/>
  <c r="D35" i="22"/>
  <c r="B53" i="7"/>
  <c r="D53" i="7"/>
  <c r="D52" i="9"/>
  <c r="B46" i="7"/>
  <c r="D46" i="7"/>
  <c r="D24" i="22"/>
  <c r="B59" i="7"/>
  <c r="E59" i="7"/>
  <c r="E33" i="22"/>
  <c r="D53" i="22"/>
  <c r="E43" i="9"/>
  <c r="E53" i="22"/>
  <c r="T17" i="8"/>
  <c r="D40" i="22"/>
  <c r="E13" i="9"/>
  <c r="E40" i="22"/>
  <c r="E34" i="7"/>
  <c r="D34" i="7"/>
  <c r="D30" i="9"/>
  <c r="D55" i="22"/>
  <c r="E45" i="9"/>
  <c r="E55" i="22"/>
  <c r="D54" i="22"/>
  <c r="E44" i="9"/>
  <c r="E54" i="22"/>
  <c r="D13" i="7"/>
  <c r="D6" i="22"/>
  <c r="E13" i="7"/>
  <c r="E6" i="22"/>
  <c r="D47" i="22"/>
  <c r="E20" i="9"/>
  <c r="E47" i="22"/>
  <c r="D45" i="22"/>
  <c r="E18" i="9"/>
  <c r="E45" i="22"/>
  <c r="D52" i="22"/>
  <c r="E42" i="9"/>
  <c r="E52" i="22"/>
  <c r="D14" i="7"/>
  <c r="D7" i="22"/>
  <c r="D44" i="22"/>
  <c r="E17" i="9"/>
  <c r="E44" i="22"/>
  <c r="E36" i="7"/>
  <c r="D36" i="7"/>
  <c r="E18" i="7"/>
  <c r="E10" i="22"/>
  <c r="E29" i="7"/>
  <c r="E17" i="22"/>
  <c r="D29" i="7"/>
  <c r="D17" i="22"/>
  <c r="T34" i="8"/>
  <c r="D49" i="22"/>
  <c r="E39" i="9"/>
  <c r="E49" i="22"/>
  <c r="D57" i="22"/>
  <c r="E47" i="9"/>
  <c r="E57" i="22"/>
  <c r="D56" i="22"/>
  <c r="E46" i="9"/>
  <c r="E56" i="22"/>
  <c r="D46" i="22"/>
  <c r="E19" i="9"/>
  <c r="E46" i="22"/>
  <c r="D42" i="22"/>
  <c r="E15" i="9"/>
  <c r="E42" i="22"/>
  <c r="D41" i="22"/>
  <c r="E14" i="9"/>
  <c r="E41" i="22"/>
  <c r="D16" i="7"/>
  <c r="D24" i="9"/>
  <c r="D68" i="7"/>
  <c r="D48" i="9"/>
  <c r="E68" i="7"/>
  <c r="C18" i="8"/>
  <c r="C13" i="8"/>
  <c r="C15" i="8"/>
  <c r="C14" i="8"/>
  <c r="C16" i="8"/>
  <c r="C17" i="8"/>
  <c r="E32" i="7"/>
  <c r="D32" i="7"/>
  <c r="E21" i="8"/>
  <c r="D51" i="22"/>
  <c r="E41" i="9"/>
  <c r="E51" i="22"/>
  <c r="D50" i="22"/>
  <c r="E40" i="9"/>
  <c r="E50" i="22"/>
  <c r="D43" i="22"/>
  <c r="E16" i="9"/>
  <c r="E43" i="22"/>
  <c r="D48" i="22"/>
  <c r="E21" i="9"/>
  <c r="E48" i="22"/>
  <c r="E33" i="8"/>
  <c r="D67" i="22"/>
  <c r="F33" i="8"/>
  <c r="E67" i="22"/>
  <c r="D31" i="7"/>
  <c r="D19" i="22"/>
  <c r="E31" i="7"/>
  <c r="E19" i="22"/>
  <c r="E21" i="7"/>
  <c r="E24" i="7"/>
  <c r="E23" i="7"/>
  <c r="E13" i="22"/>
  <c r="D13" i="22"/>
  <c r="D8" i="22"/>
  <c r="E15" i="7"/>
  <c r="E8" i="22"/>
  <c r="D15" i="22"/>
  <c r="E26" i="7"/>
  <c r="E15" i="22"/>
  <c r="D18" i="22"/>
  <c r="E30" i="7"/>
  <c r="E18" i="22"/>
  <c r="E24" i="9"/>
  <c r="E9" i="22"/>
  <c r="E19" i="7"/>
  <c r="D22" i="22"/>
  <c r="D22" i="9"/>
  <c r="F31" i="8"/>
  <c r="E65" i="22"/>
  <c r="E35" i="8"/>
  <c r="D69" i="22"/>
  <c r="E32" i="8"/>
  <c r="D66" i="22"/>
  <c r="F30" i="8"/>
  <c r="E64" i="22"/>
  <c r="D63" i="7"/>
  <c r="D36" i="22"/>
  <c r="D66" i="7"/>
  <c r="E45" i="7"/>
  <c r="E23" i="22"/>
  <c r="D59" i="7"/>
  <c r="D33" i="22"/>
  <c r="D47" i="7"/>
  <c r="D25" i="22"/>
  <c r="D55" i="7"/>
  <c r="D30" i="22"/>
  <c r="E56" i="7"/>
  <c r="E31" i="22"/>
  <c r="E51" i="7"/>
  <c r="E28" i="22"/>
  <c r="E58" i="7"/>
  <c r="E32" i="22"/>
  <c r="D48" i="7"/>
  <c r="D50" i="9"/>
  <c r="D20" i="22"/>
  <c r="E64" i="7"/>
  <c r="F38" i="8"/>
  <c r="D61" i="7"/>
  <c r="D34" i="22"/>
  <c r="E53" i="7"/>
  <c r="E52" i="9"/>
  <c r="E50" i="7"/>
  <c r="E27" i="22"/>
  <c r="E62" i="7"/>
  <c r="E35" i="22"/>
  <c r="F34" i="8"/>
  <c r="E68" i="22"/>
  <c r="D21" i="22"/>
  <c r="D9" i="22"/>
  <c r="E46" i="7"/>
  <c r="E24" i="22"/>
  <c r="F21" i="8"/>
  <c r="E20" i="22"/>
  <c r="E36" i="8"/>
  <c r="D28" i="22"/>
  <c r="E15" i="8"/>
  <c r="D60" i="22"/>
  <c r="F15" i="8"/>
  <c r="E60" i="22"/>
  <c r="E22" i="22"/>
  <c r="E22" i="9"/>
  <c r="E50" i="9"/>
  <c r="E26" i="22"/>
  <c r="D29" i="22"/>
  <c r="E17" i="8"/>
  <c r="D62" i="22"/>
  <c r="F17" i="8"/>
  <c r="E62" i="22"/>
  <c r="E13" i="8"/>
  <c r="D58" i="22"/>
  <c r="F13" i="8"/>
  <c r="E58" i="22"/>
  <c r="E38" i="8"/>
  <c r="D37" i="22"/>
  <c r="E16" i="8"/>
  <c r="D61" i="22"/>
  <c r="F16" i="8"/>
  <c r="E61" i="22"/>
  <c r="E18" i="8"/>
  <c r="D63" i="22"/>
  <c r="F18" i="8"/>
  <c r="E63" i="22"/>
  <c r="E48" i="9"/>
  <c r="E39" i="22"/>
  <c r="E21" i="22"/>
  <c r="E30" i="9"/>
  <c r="E56" i="9"/>
  <c r="E38" i="22"/>
  <c r="E14" i="8"/>
  <c r="D59" i="22"/>
  <c r="F14" i="8"/>
  <c r="E59" i="22"/>
  <c r="D39" i="22"/>
  <c r="D31" i="22"/>
  <c r="F19" i="8"/>
  <c r="E11" i="22"/>
  <c r="D11" i="22"/>
  <c r="E19" i="8"/>
  <c r="D12" i="22"/>
  <c r="D14" i="22"/>
  <c r="E14" i="22"/>
  <c r="E28" i="9"/>
  <c r="E26" i="9"/>
  <c r="E12" i="22"/>
  <c r="D38" i="22"/>
  <c r="D56" i="9"/>
  <c r="E54" i="9"/>
  <c r="D26" i="22"/>
  <c r="F36" i="8"/>
  <c r="E29" i="22"/>
  <c r="E37" i="22"/>
  <c r="Z28" i="32" l="1"/>
  <c r="Z27" i="32" s="1"/>
  <c r="Z72" i="32" s="1"/>
  <c r="L26" i="32"/>
  <c r="AB57" i="32"/>
  <c r="AB8" i="32"/>
  <c r="AB26" i="32"/>
  <c r="AB72" i="32" s="1"/>
  <c r="AI72" i="32"/>
  <c r="E72" i="32"/>
  <c r="AK72" i="32"/>
  <c r="O72" i="32"/>
  <c r="C21" i="32"/>
  <c r="AQ24" i="32"/>
  <c r="X28" i="32"/>
  <c r="Y28" i="32"/>
  <c r="Y27" i="32" s="1"/>
  <c r="Y8" i="32" s="1"/>
  <c r="P8" i="32"/>
  <c r="AF8" i="32"/>
  <c r="AN8" i="32"/>
  <c r="AB30" i="32"/>
  <c r="AB29" i="32" s="1"/>
  <c r="F57" i="32"/>
  <c r="H58" i="32"/>
  <c r="H57" i="32" s="1"/>
  <c r="C65" i="32"/>
  <c r="AQ65" i="32" s="1"/>
  <c r="AQ10" i="32"/>
  <c r="AQ19" i="32"/>
  <c r="C30" i="32"/>
  <c r="O57" i="32"/>
  <c r="H7" i="32"/>
  <c r="C7" i="32"/>
  <c r="J8" i="32"/>
  <c r="R8" i="32"/>
  <c r="Z8" i="32"/>
  <c r="AH8" i="32"/>
  <c r="AP8" i="32"/>
  <c r="C15" i="32"/>
  <c r="AQ15" i="32" s="1"/>
  <c r="AO22" i="32"/>
  <c r="AO21" i="32" s="1"/>
  <c r="AO26" i="32" s="1"/>
  <c r="AO72" i="32" s="1"/>
  <c r="F26" i="32"/>
  <c r="F72" i="32" s="1"/>
  <c r="N26" i="32"/>
  <c r="N72" i="32" s="1"/>
  <c r="V26" i="32"/>
  <c r="V72" i="32" s="1"/>
  <c r="AD26" i="32"/>
  <c r="AD72" i="32" s="1"/>
  <c r="AL26" i="32"/>
  <c r="AL72" i="32" s="1"/>
  <c r="H45" i="32"/>
  <c r="AQ45" i="32" s="1"/>
  <c r="P57" i="32"/>
  <c r="AN57" i="32"/>
  <c r="I57" i="32"/>
  <c r="C9" i="32"/>
  <c r="AQ9" i="32" s="1"/>
  <c r="AQ48" i="32"/>
  <c r="E36" i="6"/>
  <c r="E39" i="6"/>
  <c r="P14" i="9" s="1"/>
  <c r="Q14" i="9" s="1"/>
  <c r="E33" i="6"/>
  <c r="T14" i="7" s="1"/>
  <c r="D11" i="6"/>
  <c r="D34" i="6" s="1"/>
  <c r="T45" i="7" s="1"/>
  <c r="K36" i="6"/>
  <c r="R14" i="8" s="1"/>
  <c r="S14" i="8" s="1"/>
  <c r="G37" i="6"/>
  <c r="R30" i="8" s="1"/>
  <c r="H12" i="6"/>
  <c r="J12" i="18" s="1"/>
  <c r="H37" i="6"/>
  <c r="H36" i="6"/>
  <c r="I12" i="6"/>
  <c r="I42" i="6" s="1"/>
  <c r="L34" i="6"/>
  <c r="T64" i="7" s="1"/>
  <c r="K33" i="6"/>
  <c r="T30" i="7" s="1"/>
  <c r="G39" i="6"/>
  <c r="P16" i="9" s="1"/>
  <c r="H39" i="6"/>
  <c r="H33" i="6"/>
  <c r="H35" i="6" s="1"/>
  <c r="G33" i="6"/>
  <c r="T21" i="7" s="1"/>
  <c r="G12" i="6"/>
  <c r="G42" i="6" s="1"/>
  <c r="J39" i="6"/>
  <c r="P19" i="9" s="1"/>
  <c r="Q19" i="9" s="1"/>
  <c r="J36" i="6"/>
  <c r="K37" i="6"/>
  <c r="R31" i="8" s="1"/>
  <c r="S31" i="8" s="1"/>
  <c r="E12" i="6"/>
  <c r="T55" i="7"/>
  <c r="K34" i="6"/>
  <c r="T62" i="7" s="1"/>
  <c r="K12" i="6"/>
  <c r="K43" i="6" s="1"/>
  <c r="P34" i="10" s="1"/>
  <c r="E40" i="6"/>
  <c r="F11" i="6"/>
  <c r="E37" i="6"/>
  <c r="I39" i="6"/>
  <c r="J12" i="6"/>
  <c r="J43" i="6" s="1"/>
  <c r="P33" i="10" s="1"/>
  <c r="I37" i="6"/>
  <c r="I36" i="6"/>
  <c r="L37" i="6"/>
  <c r="I40" i="6"/>
  <c r="P44" i="9" s="1"/>
  <c r="Q44" i="9" s="1"/>
  <c r="I33" i="6"/>
  <c r="T27" i="7" s="1"/>
  <c r="P42" i="9"/>
  <c r="J11" i="18"/>
  <c r="J37" i="6"/>
  <c r="G34" i="6"/>
  <c r="H9" i="18"/>
  <c r="F16" i="21" s="1"/>
  <c r="J34" i="6"/>
  <c r="P20" i="9"/>
  <c r="Q20" i="9" s="1"/>
  <c r="K41" i="6"/>
  <c r="T58" i="7"/>
  <c r="T59" i="7"/>
  <c r="T46" i="7"/>
  <c r="E35" i="6"/>
  <c r="M40" i="6"/>
  <c r="M41" i="6" s="1"/>
  <c r="M37" i="6"/>
  <c r="M12" i="6"/>
  <c r="M34" i="6"/>
  <c r="T68" i="7" s="1"/>
  <c r="L39" i="6"/>
  <c r="L36" i="6"/>
  <c r="L33" i="6"/>
  <c r="L12" i="6"/>
  <c r="M33" i="6"/>
  <c r="M36" i="6"/>
  <c r="Y72" i="32" l="1"/>
  <c r="C26" i="32"/>
  <c r="C8" i="32"/>
  <c r="AQ7" i="32"/>
  <c r="AQ22" i="32"/>
  <c r="AQ21" i="32" s="1"/>
  <c r="D10" i="6"/>
  <c r="D33" i="6" s="1"/>
  <c r="T13" i="7" s="1"/>
  <c r="H26" i="32"/>
  <c r="H8" i="32"/>
  <c r="X27" i="32"/>
  <c r="L28" i="32"/>
  <c r="AQ58" i="32"/>
  <c r="E38" i="6"/>
  <c r="C57" i="32"/>
  <c r="AQ57" i="32" s="1"/>
  <c r="AQ30" i="32"/>
  <c r="AQ29" i="32" s="1"/>
  <c r="C29" i="32"/>
  <c r="H29" i="32"/>
  <c r="D37" i="6"/>
  <c r="D12" i="6"/>
  <c r="D43" i="6" s="1"/>
  <c r="P27" i="10" s="1"/>
  <c r="O11" i="6"/>
  <c r="D40" i="6"/>
  <c r="F10" i="6"/>
  <c r="F36" i="6" s="1"/>
  <c r="D39" i="6"/>
  <c r="P13" i="9" s="1"/>
  <c r="Q13" i="9" s="1"/>
  <c r="O10" i="6"/>
  <c r="O12" i="6" s="1"/>
  <c r="P12" i="6" s="1"/>
  <c r="D35" i="6"/>
  <c r="D36" i="6"/>
  <c r="D38" i="6" s="1"/>
  <c r="H38" i="6"/>
  <c r="G38" i="6"/>
  <c r="H42" i="6"/>
  <c r="G35" i="6"/>
  <c r="K38" i="6"/>
  <c r="I43" i="6"/>
  <c r="P32" i="10" s="1"/>
  <c r="H43" i="6"/>
  <c r="P31" i="10" s="1"/>
  <c r="J13" i="18"/>
  <c r="T26" i="7"/>
  <c r="I35" i="6"/>
  <c r="G43" i="6"/>
  <c r="P30" i="10" s="1"/>
  <c r="T23" i="7"/>
  <c r="T24" i="7"/>
  <c r="J41" i="6"/>
  <c r="P17" i="9"/>
  <c r="H41" i="6"/>
  <c r="G41" i="6"/>
  <c r="I38" i="6"/>
  <c r="T18" i="7"/>
  <c r="T19" i="7"/>
  <c r="T63" i="7"/>
  <c r="T66" i="7"/>
  <c r="K35" i="6"/>
  <c r="J38" i="6"/>
  <c r="E42" i="6"/>
  <c r="E43" i="6"/>
  <c r="P28" i="10" s="1"/>
  <c r="J8" i="18"/>
  <c r="K42" i="6"/>
  <c r="K48" i="6" s="1"/>
  <c r="J15" i="18"/>
  <c r="P40" i="9"/>
  <c r="Q40" i="9" s="1"/>
  <c r="E41" i="6"/>
  <c r="J14" i="18"/>
  <c r="J42" i="6"/>
  <c r="J48" i="6" s="1"/>
  <c r="P18" i="9"/>
  <c r="Q18" i="9" s="1"/>
  <c r="I41" i="6"/>
  <c r="R34" i="8"/>
  <c r="R33" i="8"/>
  <c r="R32" i="8"/>
  <c r="M38" i="6"/>
  <c r="T53" i="7"/>
  <c r="T50" i="7"/>
  <c r="T61" i="7"/>
  <c r="J35" i="6"/>
  <c r="T51" i="7"/>
  <c r="L44" i="6"/>
  <c r="L24" i="6"/>
  <c r="L45" i="6" s="1"/>
  <c r="P52" i="10" s="1"/>
  <c r="L43" i="6"/>
  <c r="L42" i="6"/>
  <c r="T31" i="7"/>
  <c r="T34" i="7"/>
  <c r="T32" i="7"/>
  <c r="L35" i="6"/>
  <c r="R17" i="8"/>
  <c r="R16" i="8"/>
  <c r="R15" i="8"/>
  <c r="L38" i="6"/>
  <c r="M35" i="6"/>
  <c r="T36" i="7"/>
  <c r="P21" i="9"/>
  <c r="L41" i="6"/>
  <c r="D42" i="6"/>
  <c r="J6" i="18"/>
  <c r="H6" i="18"/>
  <c r="M43" i="6"/>
  <c r="M42" i="6"/>
  <c r="H28" i="18"/>
  <c r="F37" i="6"/>
  <c r="F38" i="6" s="1"/>
  <c r="F34" i="6"/>
  <c r="F40" i="6"/>
  <c r="F12" i="6"/>
  <c r="P39" i="9"/>
  <c r="AQ28" i="32" l="1"/>
  <c r="AQ27" i="32" s="1"/>
  <c r="L27" i="32"/>
  <c r="C72" i="32"/>
  <c r="AQ26" i="32"/>
  <c r="X8" i="32"/>
  <c r="X72" i="32"/>
  <c r="H72" i="32"/>
  <c r="C55" i="6"/>
  <c r="C63" i="6" s="1"/>
  <c r="C71" i="6" s="1"/>
  <c r="F39" i="6"/>
  <c r="P15" i="9" s="1"/>
  <c r="G48" i="6"/>
  <c r="F33" i="6"/>
  <c r="D41" i="6"/>
  <c r="I48" i="6"/>
  <c r="H48" i="6"/>
  <c r="C56" i="6"/>
  <c r="D55" i="6" s="1"/>
  <c r="E48" i="6"/>
  <c r="R41" i="8"/>
  <c r="O38" i="6"/>
  <c r="Q39" i="9"/>
  <c r="D48" i="6"/>
  <c r="P54" i="10"/>
  <c r="S52" i="10" s="1"/>
  <c r="K52" i="10" s="1"/>
  <c r="R52" i="10"/>
  <c r="J52" i="10" s="1"/>
  <c r="F42" i="6"/>
  <c r="F43" i="6"/>
  <c r="P29" i="10" s="1"/>
  <c r="P36" i="10" s="1"/>
  <c r="J9" i="18"/>
  <c r="F41" i="6"/>
  <c r="P41" i="9"/>
  <c r="P59" i="9" s="1"/>
  <c r="M48" i="6"/>
  <c r="R24" i="8"/>
  <c r="T48" i="7"/>
  <c r="T47" i="7"/>
  <c r="P16" i="10"/>
  <c r="P18" i="10"/>
  <c r="W18" i="10" s="1"/>
  <c r="P17" i="10"/>
  <c r="W17" i="10" s="1"/>
  <c r="P19" i="10"/>
  <c r="W19" i="10" s="1"/>
  <c r="P33" i="9"/>
  <c r="L25" i="6"/>
  <c r="L46" i="6" s="1"/>
  <c r="P60" i="10" s="1"/>
  <c r="P62" i="10" s="1"/>
  <c r="P44" i="10"/>
  <c r="P43" i="10"/>
  <c r="P42" i="10"/>
  <c r="W71" i="7" l="1"/>
  <c r="C64" i="6"/>
  <c r="D62" i="6" s="1"/>
  <c r="L8" i="32"/>
  <c r="AQ8" i="32" s="1"/>
  <c r="L72" i="32"/>
  <c r="AQ72" i="32" s="1"/>
  <c r="T16" i="7"/>
  <c r="T15" i="7"/>
  <c r="F35" i="6"/>
  <c r="O35" i="6" s="1"/>
  <c r="O41" i="6"/>
  <c r="S36" i="10"/>
  <c r="R27" i="10" s="1"/>
  <c r="J27" i="10" s="1"/>
  <c r="J31" i="10" s="1"/>
  <c r="D54" i="6"/>
  <c r="D56" i="6" s="1"/>
  <c r="S62" i="10"/>
  <c r="S60" i="10" s="1"/>
  <c r="K60" i="10" s="1"/>
  <c r="S46" i="10"/>
  <c r="R42" i="10" s="1"/>
  <c r="J42" i="10" s="1"/>
  <c r="L48" i="6"/>
  <c r="T71" i="7"/>
  <c r="W53" i="7" s="1"/>
  <c r="T53" i="9" s="1"/>
  <c r="P46" i="10"/>
  <c r="S33" i="10"/>
  <c r="K33" i="10" s="1"/>
  <c r="S31" i="10"/>
  <c r="K31" i="10" s="1"/>
  <c r="S27" i="10"/>
  <c r="K27" i="10" s="1"/>
  <c r="S28" i="10"/>
  <c r="K28" i="10" s="1"/>
  <c r="S30" i="10"/>
  <c r="K30" i="10" s="1"/>
  <c r="S29" i="10"/>
  <c r="K29" i="10" s="1"/>
  <c r="S32" i="10"/>
  <c r="K32" i="10" s="1"/>
  <c r="S34" i="10"/>
  <c r="K34" i="10" s="1"/>
  <c r="K19" i="10"/>
  <c r="S19" i="10"/>
  <c r="V45" i="7"/>
  <c r="M45" i="7" s="1"/>
  <c r="L27" i="6"/>
  <c r="F48" i="6"/>
  <c r="S18" i="10"/>
  <c r="K18" i="10"/>
  <c r="W16" i="10"/>
  <c r="P21" i="10"/>
  <c r="C72" i="6"/>
  <c r="S17" i="10"/>
  <c r="K17" i="10"/>
  <c r="O52" i="10"/>
  <c r="O54" i="10" s="1"/>
  <c r="K54" i="10"/>
  <c r="D10" i="10" s="1"/>
  <c r="E10" i="10" s="1"/>
  <c r="D63" i="6"/>
  <c r="D64" i="6" s="1"/>
  <c r="T39" i="7" l="1"/>
  <c r="V13" i="7"/>
  <c r="W47" i="7"/>
  <c r="J28" i="10"/>
  <c r="J29" i="10"/>
  <c r="O48" i="6"/>
  <c r="O49" i="6" s="1"/>
  <c r="P49" i="6" s="1"/>
  <c r="W63" i="7"/>
  <c r="W46" i="7"/>
  <c r="S42" i="10"/>
  <c r="K42" i="10" s="1"/>
  <c r="W56" i="7"/>
  <c r="T55" i="9" s="1"/>
  <c r="R60" i="10"/>
  <c r="J60" i="10" s="1"/>
  <c r="O60" i="10" s="1"/>
  <c r="O62" i="10" s="1"/>
  <c r="W66" i="7"/>
  <c r="T57" i="9" s="1"/>
  <c r="W62" i="7"/>
  <c r="W68" i="7"/>
  <c r="T49" i="9" s="1"/>
  <c r="S43" i="10"/>
  <c r="K43" i="10" s="1"/>
  <c r="W55" i="7"/>
  <c r="W48" i="7"/>
  <c r="T51" i="9" s="1"/>
  <c r="W45" i="7"/>
  <c r="N45" i="7" s="1"/>
  <c r="W61" i="7"/>
  <c r="W51" i="7"/>
  <c r="V37" i="8" s="1"/>
  <c r="W50" i="7"/>
  <c r="W64" i="7"/>
  <c r="V39" i="8" s="1"/>
  <c r="J32" i="10"/>
  <c r="O32" i="10" s="1"/>
  <c r="J34" i="10"/>
  <c r="O34" i="10" s="1"/>
  <c r="J33" i="10"/>
  <c r="O33" i="10" s="1"/>
  <c r="O31" i="10"/>
  <c r="J30" i="10"/>
  <c r="O30" i="10" s="1"/>
  <c r="S44" i="10"/>
  <c r="K44" i="10" s="1"/>
  <c r="O29" i="10"/>
  <c r="K62" i="10"/>
  <c r="M61" i="7"/>
  <c r="M63" i="7"/>
  <c r="M46" i="7"/>
  <c r="M62" i="7"/>
  <c r="M50" i="7"/>
  <c r="M47" i="7"/>
  <c r="N47" i="7" s="1"/>
  <c r="S47" i="7" s="1"/>
  <c r="M55" i="7"/>
  <c r="O28" i="10"/>
  <c r="J44" i="10"/>
  <c r="J43" i="10"/>
  <c r="C8" i="7"/>
  <c r="D8" i="7" s="1"/>
  <c r="K36" i="10"/>
  <c r="D8" i="10" s="1"/>
  <c r="E8" i="10" s="1"/>
  <c r="O27" i="10"/>
  <c r="S16" i="10"/>
  <c r="S21" i="10"/>
  <c r="R16" i="10" s="1"/>
  <c r="J16" i="10" s="1"/>
  <c r="J17" i="10" s="1"/>
  <c r="J18" i="10" s="1"/>
  <c r="J19" i="10" s="1"/>
  <c r="O19" i="10" s="1"/>
  <c r="K16" i="10"/>
  <c r="N63" i="7" l="1"/>
  <c r="S63" i="7" s="1"/>
  <c r="Q49" i="6"/>
  <c r="C7" i="7"/>
  <c r="D7" i="7" s="1"/>
  <c r="M13" i="7"/>
  <c r="W18" i="7"/>
  <c r="W58" i="7"/>
  <c r="W14" i="7"/>
  <c r="W15" i="7"/>
  <c r="W26" i="7"/>
  <c r="W36" i="7"/>
  <c r="T23" i="9" s="1"/>
  <c r="W27" i="7"/>
  <c r="W13" i="7"/>
  <c r="W16" i="7"/>
  <c r="T25" i="9" s="1"/>
  <c r="W59" i="7"/>
  <c r="W34" i="7"/>
  <c r="T31" i="9" s="1"/>
  <c r="W24" i="7"/>
  <c r="T29" i="9" s="1"/>
  <c r="W21" i="7"/>
  <c r="T27" i="9" s="1"/>
  <c r="W19" i="7"/>
  <c r="V20" i="8" s="1"/>
  <c r="W31" i="7"/>
  <c r="W29" i="7"/>
  <c r="W23" i="7"/>
  <c r="W30" i="7"/>
  <c r="W32" i="7"/>
  <c r="V22" i="8" s="1"/>
  <c r="D11" i="10"/>
  <c r="E11" i="10" s="1"/>
  <c r="K46" i="10"/>
  <c r="D9" i="10" s="1"/>
  <c r="E9" i="10" s="1"/>
  <c r="O42" i="10"/>
  <c r="N46" i="7"/>
  <c r="S46" i="7" s="1"/>
  <c r="O43" i="10"/>
  <c r="O44" i="10"/>
  <c r="N62" i="7"/>
  <c r="S62" i="7" s="1"/>
  <c r="N55" i="7"/>
  <c r="S55" i="7" s="1"/>
  <c r="V41" i="8"/>
  <c r="U30" i="8" s="1"/>
  <c r="K30" i="8" s="1"/>
  <c r="D8" i="8" s="1"/>
  <c r="E8" i="8" s="1"/>
  <c r="T59" i="9"/>
  <c r="S39" i="9" s="1"/>
  <c r="I39" i="9" s="1"/>
  <c r="M66" i="7" s="1"/>
  <c r="K66" i="7" s="1"/>
  <c r="N61" i="7"/>
  <c r="S61" i="7" s="1"/>
  <c r="N50" i="7"/>
  <c r="S50" i="7" s="1"/>
  <c r="O36" i="10"/>
  <c r="O18" i="10"/>
  <c r="O16" i="10"/>
  <c r="K21" i="10"/>
  <c r="D7" i="10" s="1"/>
  <c r="E7" i="10" s="1"/>
  <c r="K22" i="10"/>
  <c r="O17" i="10"/>
  <c r="M18" i="7" l="1"/>
  <c r="N18" i="7" s="1"/>
  <c r="S18" i="7" s="1"/>
  <c r="M30" i="7"/>
  <c r="N30" i="7" s="1"/>
  <c r="S30" i="7" s="1"/>
  <c r="M23" i="7"/>
  <c r="N23" i="7" s="1"/>
  <c r="S23" i="7" s="1"/>
  <c r="M29" i="7"/>
  <c r="N29" i="7" s="1"/>
  <c r="S29" i="7" s="1"/>
  <c r="M14" i="7"/>
  <c r="N14" i="7" s="1"/>
  <c r="S14" i="7" s="1"/>
  <c r="M31" i="7"/>
  <c r="N31" i="7" s="1"/>
  <c r="S31" i="7" s="1"/>
  <c r="M58" i="7"/>
  <c r="N58" i="7" s="1"/>
  <c r="S58" i="7" s="1"/>
  <c r="N13" i="7"/>
  <c r="M15" i="7"/>
  <c r="N15" i="7" s="1"/>
  <c r="S15" i="7" s="1"/>
  <c r="M26" i="7"/>
  <c r="N26" i="7" s="1"/>
  <c r="S26" i="7" s="1"/>
  <c r="V24" i="8"/>
  <c r="U13" i="8" s="1"/>
  <c r="K13" i="8" s="1"/>
  <c r="M32" i="7" s="1"/>
  <c r="T33" i="9"/>
  <c r="S13" i="9" s="1"/>
  <c r="I13" i="9" s="1"/>
  <c r="O46" i="10"/>
  <c r="M64" i="7"/>
  <c r="K31" i="8"/>
  <c r="K32" i="8" s="1"/>
  <c r="K33" i="8" s="1"/>
  <c r="M51" i="7"/>
  <c r="N66" i="7"/>
  <c r="J57" i="9" s="1"/>
  <c r="M53" i="7"/>
  <c r="N53" i="7" s="1"/>
  <c r="J53" i="9" s="1"/>
  <c r="M48" i="7"/>
  <c r="N48" i="7" s="1"/>
  <c r="M68" i="7"/>
  <c r="K68" i="7" s="1"/>
  <c r="I40" i="9"/>
  <c r="I41" i="9" s="1"/>
  <c r="M56" i="7"/>
  <c r="N56" i="7" s="1"/>
  <c r="J55" i="9" s="1"/>
  <c r="O21" i="10"/>
  <c r="L66" i="7"/>
  <c r="S66" i="7"/>
  <c r="O57" i="9"/>
  <c r="Q47" i="9" s="1"/>
  <c r="N32" i="7" l="1"/>
  <c r="K32" i="7"/>
  <c r="L32" i="7" s="1"/>
  <c r="M36" i="7"/>
  <c r="M34" i="7"/>
  <c r="M59" i="7"/>
  <c r="M27" i="7"/>
  <c r="I14" i="9"/>
  <c r="I15" i="9" s="1"/>
  <c r="I16" i="9" s="1"/>
  <c r="M16" i="7"/>
  <c r="M21" i="7"/>
  <c r="M24" i="7"/>
  <c r="M19" i="7"/>
  <c r="K14" i="8"/>
  <c r="K15" i="8" s="1"/>
  <c r="K16" i="8" s="1"/>
  <c r="D7" i="8"/>
  <c r="E7" i="8" s="1"/>
  <c r="K64" i="7"/>
  <c r="L64" i="7" s="1"/>
  <c r="N64" i="7"/>
  <c r="K56" i="7"/>
  <c r="S56" i="7" s="1"/>
  <c r="K51" i="7"/>
  <c r="L51" i="7" s="1"/>
  <c r="N51" i="7"/>
  <c r="N68" i="7"/>
  <c r="J49" i="9" s="1"/>
  <c r="O49" i="9" s="1"/>
  <c r="K48" i="7"/>
  <c r="L48" i="7" s="1"/>
  <c r="K53" i="7"/>
  <c r="S53" i="7" s="1"/>
  <c r="K17" i="8"/>
  <c r="L68" i="7"/>
  <c r="K34" i="8"/>
  <c r="I42" i="9"/>
  <c r="J51" i="9"/>
  <c r="N16" i="7" l="1"/>
  <c r="K16" i="7"/>
  <c r="K27" i="7"/>
  <c r="N27" i="7"/>
  <c r="K59" i="7"/>
  <c r="N59" i="7"/>
  <c r="N71" i="7" s="1"/>
  <c r="K34" i="7"/>
  <c r="N34" i="7"/>
  <c r="J31" i="9" s="1"/>
  <c r="K19" i="7"/>
  <c r="L19" i="7" s="1"/>
  <c r="N19" i="7"/>
  <c r="N36" i="7"/>
  <c r="K36" i="7"/>
  <c r="L36" i="7" s="1"/>
  <c r="K24" i="7"/>
  <c r="N24" i="7"/>
  <c r="J29" i="9" s="1"/>
  <c r="K21" i="7"/>
  <c r="N21" i="7"/>
  <c r="J27" i="9" s="1"/>
  <c r="L22" i="8"/>
  <c r="Q22" i="8" s="1"/>
  <c r="S32" i="7"/>
  <c r="S68" i="7"/>
  <c r="L53" i="7"/>
  <c r="L39" i="8"/>
  <c r="Q39" i="8" s="1"/>
  <c r="S64" i="7"/>
  <c r="L56" i="7"/>
  <c r="O55" i="9"/>
  <c r="Q43" i="9" s="1"/>
  <c r="L37" i="8"/>
  <c r="Q37" i="8" s="1"/>
  <c r="S30" i="8" s="1"/>
  <c r="S51" i="7"/>
  <c r="S48" i="7"/>
  <c r="O51" i="9"/>
  <c r="Q41" i="9" s="1"/>
  <c r="O53" i="9"/>
  <c r="Q42" i="9" s="1"/>
  <c r="K35" i="8"/>
  <c r="I43" i="9"/>
  <c r="K18" i="8"/>
  <c r="I17" i="9"/>
  <c r="O31" i="9" l="1"/>
  <c r="Q21" i="9" s="1"/>
  <c r="L34" i="7"/>
  <c r="S34" i="7"/>
  <c r="S24" i="7"/>
  <c r="O29" i="9"/>
  <c r="Q17" i="9" s="1"/>
  <c r="L24" i="7"/>
  <c r="S59" i="7"/>
  <c r="S71" i="7" s="1"/>
  <c r="L59" i="7"/>
  <c r="O27" i="9"/>
  <c r="Q16" i="9" s="1"/>
  <c r="S21" i="7"/>
  <c r="L21" i="7"/>
  <c r="J23" i="9"/>
  <c r="O23" i="9" s="1"/>
  <c r="S36" i="7"/>
  <c r="L27" i="7"/>
  <c r="S27" i="7"/>
  <c r="L20" i="8"/>
  <c r="Q20" i="8" s="1"/>
  <c r="S13" i="8" s="1"/>
  <c r="S24" i="8" s="1"/>
  <c r="S19" i="7"/>
  <c r="L16" i="7"/>
  <c r="O25" i="9"/>
  <c r="Q15" i="9" s="1"/>
  <c r="S16" i="7"/>
  <c r="S15" i="8"/>
  <c r="S16" i="8"/>
  <c r="S17" i="8"/>
  <c r="J25" i="9"/>
  <c r="N39" i="7"/>
  <c r="S34" i="8"/>
  <c r="S33" i="8"/>
  <c r="S32" i="8"/>
  <c r="Q59" i="9"/>
  <c r="T42" i="9" s="1"/>
  <c r="J42" i="9" s="1"/>
  <c r="O42" i="9" s="1"/>
  <c r="I19" i="9"/>
  <c r="I18" i="9"/>
  <c r="I44" i="9"/>
  <c r="I45" i="9"/>
  <c r="T44" i="9" l="1"/>
  <c r="V16" i="8"/>
  <c r="L16" i="8" s="1"/>
  <c r="Q16" i="8" s="1"/>
  <c r="V18" i="8"/>
  <c r="L18" i="8" s="1"/>
  <c r="Q18" i="8" s="1"/>
  <c r="V15" i="8"/>
  <c r="L15" i="8" s="1"/>
  <c r="Q15" i="8" s="1"/>
  <c r="V17" i="8"/>
  <c r="L17" i="8" s="1"/>
  <c r="Q17" i="8" s="1"/>
  <c r="V14" i="8"/>
  <c r="L14" i="8" s="1"/>
  <c r="Q14" i="8" s="1"/>
  <c r="V13" i="8"/>
  <c r="L13" i="8" s="1"/>
  <c r="Q13" i="8" s="1"/>
  <c r="S41" i="8"/>
  <c r="V33" i="8" s="1"/>
  <c r="L33" i="8" s="1"/>
  <c r="Q33" i="8" s="1"/>
  <c r="S39" i="7"/>
  <c r="Q33" i="9"/>
  <c r="T41" i="9"/>
  <c r="J41" i="9" s="1"/>
  <c r="O41" i="9" s="1"/>
  <c r="T45" i="9"/>
  <c r="J45" i="9" s="1"/>
  <c r="O45" i="9" s="1"/>
  <c r="T39" i="9"/>
  <c r="J39" i="9" s="1"/>
  <c r="T47" i="9"/>
  <c r="T46" i="9"/>
  <c r="T40" i="9"/>
  <c r="J40" i="9" s="1"/>
  <c r="O40" i="9" s="1"/>
  <c r="T43" i="9"/>
  <c r="J43" i="9" s="1"/>
  <c r="O43" i="9" s="1"/>
  <c r="J44" i="9"/>
  <c r="O44" i="9" s="1"/>
  <c r="I46" i="9"/>
  <c r="I20" i="9"/>
  <c r="Q24" i="8" l="1"/>
  <c r="L24" i="8"/>
  <c r="V30" i="8"/>
  <c r="L30" i="8" s="1"/>
  <c r="Q30" i="8" s="1"/>
  <c r="V34" i="8"/>
  <c r="L34" i="8" s="1"/>
  <c r="Q34" i="8" s="1"/>
  <c r="V32" i="8"/>
  <c r="L32" i="8" s="1"/>
  <c r="Q32" i="8" s="1"/>
  <c r="V31" i="8"/>
  <c r="L31" i="8" s="1"/>
  <c r="Q31" i="8" s="1"/>
  <c r="Q41" i="8" s="1"/>
  <c r="V35" i="8"/>
  <c r="L35" i="8" s="1"/>
  <c r="Q35" i="8" s="1"/>
  <c r="T13" i="9"/>
  <c r="T16" i="9"/>
  <c r="J16" i="9" s="1"/>
  <c r="O16" i="9" s="1"/>
  <c r="T20" i="9"/>
  <c r="J20" i="9" s="1"/>
  <c r="T17" i="9"/>
  <c r="J17" i="9" s="1"/>
  <c r="O17" i="9" s="1"/>
  <c r="T19" i="9"/>
  <c r="J19" i="9" s="1"/>
  <c r="O19" i="9" s="1"/>
  <c r="T15" i="9"/>
  <c r="J15" i="9" s="1"/>
  <c r="O15" i="9" s="1"/>
  <c r="T18" i="9"/>
  <c r="J18" i="9" s="1"/>
  <c r="O18" i="9" s="1"/>
  <c r="T14" i="9"/>
  <c r="J14" i="9" s="1"/>
  <c r="O14" i="9" s="1"/>
  <c r="T21" i="9"/>
  <c r="C8" i="9"/>
  <c r="D8" i="9" s="1"/>
  <c r="I21" i="9"/>
  <c r="J46" i="9"/>
  <c r="I47" i="9"/>
  <c r="J47" i="9" s="1"/>
  <c r="O47" i="9" s="1"/>
  <c r="J13" i="9" l="1"/>
  <c r="C7" i="9"/>
  <c r="D7" i="9" s="1"/>
  <c r="J21" i="9"/>
  <c r="O21" i="9" s="1"/>
  <c r="L41" i="8"/>
  <c r="O20" i="9"/>
  <c r="O33" i="9" s="1"/>
  <c r="J33" i="9"/>
  <c r="O46" i="9"/>
  <c r="O59" i="9" s="1"/>
  <c r="J5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F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1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F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L2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Share from TIMES RW</t>
        </r>
      </text>
    </comment>
    <comment ref="C5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 stock is proportional to its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0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Maurizio Gargiulo</author>
    <author>A satisfied Microsoft Office user</author>
  </authors>
  <commentList>
    <comment ref="J4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
This interpolation rule number 2 is extrapolating to the time horizon of the analysis the NCAP_BND = 0 for any period for which a value is not defined.
This approach will avoid future investment in the infrastructure.</t>
        </r>
      </text>
    </comment>
    <comment ref="L4" authorId="0" shapeId="0" xr:uid="{00000000-0006-0000-0600-000003000000}">
      <text>
        <r>
          <rPr>
            <sz val="8"/>
            <color indexed="81"/>
            <rFont val="Tahoma"/>
            <family val="2"/>
          </rPr>
          <t xml:space="preserve">
This investment cost for expanding infrastructure should be used for all those fuels which have significant infrastructure requirement for distribution.</t>
        </r>
      </text>
    </comment>
    <comment ref="M4" authorId="0" shapeId="0" xr:uid="{00000000-0006-0000-0600-000004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K19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L26" authorId="0" shapeId="0" xr:uid="{00000000-0006-0000-0600-000006000000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  <comment ref="G28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Value from TIMES-BE data 91%, updated for calibration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8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TIMES-BE data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2" shapeId="0" xr:uid="{00000000-0006-0000-0600-00000A000000}">
      <text>
        <r>
          <rPr>
            <b/>
            <sz val="8"/>
            <color indexed="81"/>
            <rFont val="Tahoma"/>
            <family val="2"/>
          </rPr>
          <t>KanORS</t>
        </r>
        <r>
          <rPr>
            <sz val="8"/>
            <color indexed="81"/>
            <rFont val="Tahoma"/>
            <family val="2"/>
          </rPr>
          <t>:
distribution efficiency</t>
        </r>
      </text>
    </comment>
    <comment ref="L42" authorId="0" shapeId="0" xr:uid="{E4369879-7503-44F1-A405-03FB43118616}">
      <text>
        <r>
          <rPr>
            <sz val="8"/>
            <color indexed="81"/>
            <rFont val="Tahoma"/>
            <family val="2"/>
          </rPr>
          <t xml:space="preserve">
This represents the existing infrastructure (e.g. like gas pipelines and low temperature heat grids) and for limiting or excluding some fuels in a sector.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  <author>KanORS</author>
    <author>Amit Kanudia</author>
  </authors>
  <commentList>
    <comment ref="F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11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11" authorId="2" shapeId="0" xr:uid="{00000000-0006-0000-0800-000003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F4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  <comment ref="J43" authorId="1" shapeId="0" xr:uid="{00000000-0006-0000-0800-000005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Commodity based efficiency.</t>
        </r>
      </text>
    </comment>
    <comment ref="M43" authorId="2" shapeId="0" xr:uid="{00000000-0006-0000-0800-000006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1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  <comment ref="I37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This is the useful energy delivered by one piece of equipment over one year.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Marco Orsini</author>
  </authors>
  <commentList>
    <comment ref="G1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Set to calibrate Stocks. Based on SEAI data</t>
        </r>
      </text>
    </comment>
    <comment ref="S36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G40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BE: à revoir?</t>
        </r>
      </text>
    </comment>
    <comment ref="S46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54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  <comment ref="S6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 to be reviewed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Orsini</author>
  </authors>
  <commentList>
    <comment ref="G1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Marco Orsini:</t>
        </r>
        <r>
          <rPr>
            <sz val="9"/>
            <color indexed="81"/>
            <rFont val="Tahoma"/>
            <family val="2"/>
          </rPr>
          <t xml:space="preserve">
hypotheses TIMES BE, à revoir?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<sst xmlns="http://schemas.openxmlformats.org/spreadsheetml/2006/main" count="1517" uniqueCount="646">
  <si>
    <t>ELC</t>
  </si>
  <si>
    <t>Electricity</t>
  </si>
  <si>
    <t>Total</t>
  </si>
  <si>
    <t>Space Heating</t>
  </si>
  <si>
    <t>Space Cooling</t>
  </si>
  <si>
    <t>Geothermal</t>
  </si>
  <si>
    <t>Solar</t>
  </si>
  <si>
    <t>LPG</t>
  </si>
  <si>
    <t>Coal+Coke</t>
  </si>
  <si>
    <t>Natural gas</t>
  </si>
  <si>
    <t>PJ</t>
  </si>
  <si>
    <t>Water Heating</t>
  </si>
  <si>
    <t>Lighting</t>
  </si>
  <si>
    <t>Cooking</t>
  </si>
  <si>
    <t>Sector</t>
  </si>
  <si>
    <t>TechName</t>
  </si>
  <si>
    <t>TechDesc</t>
  </si>
  <si>
    <t>CommName</t>
  </si>
  <si>
    <t>CommDesc</t>
  </si>
  <si>
    <t>Unit</t>
  </si>
  <si>
    <t>End-use description</t>
  </si>
  <si>
    <t>Final end-use description</t>
  </si>
  <si>
    <t>End-Use</t>
  </si>
  <si>
    <t>\I:</t>
  </si>
  <si>
    <t>FIXOM</t>
  </si>
  <si>
    <t>\I: Unit</t>
  </si>
  <si>
    <t>Other Electric</t>
  </si>
  <si>
    <t>Other Energy</t>
  </si>
  <si>
    <t>Refrigeration</t>
  </si>
  <si>
    <t>Stock</t>
  </si>
  <si>
    <t>Life</t>
  </si>
  <si>
    <t>Cap2Act</t>
  </si>
  <si>
    <t>'000 Units</t>
  </si>
  <si>
    <t>(%)</t>
  </si>
  <si>
    <t>Years</t>
  </si>
  <si>
    <t>kEur/Unit per Year</t>
  </si>
  <si>
    <t>Final Energy</t>
  </si>
  <si>
    <t>Oil</t>
  </si>
  <si>
    <t>TJ/Unit - delivered/year</t>
  </si>
  <si>
    <t>Comm-IN</t>
  </si>
  <si>
    <t>Comm-OUT</t>
  </si>
  <si>
    <t>demands/fuels</t>
  </si>
  <si>
    <t>Public Lighting</t>
  </si>
  <si>
    <t>Liquified Petroleum Gas (COM)</t>
  </si>
  <si>
    <t>Oil (COM)</t>
  </si>
  <si>
    <t>Natural Gas (COM)</t>
  </si>
  <si>
    <t>Biomass (COM)</t>
  </si>
  <si>
    <t>Solar (COM)</t>
  </si>
  <si>
    <t>Geothermal (COM)</t>
  </si>
  <si>
    <t>Electricity (COM)</t>
  </si>
  <si>
    <t>Coal (COM)</t>
  </si>
  <si>
    <t>Fuel Tech - Electricity (COM)</t>
  </si>
  <si>
    <t>Biomass</t>
  </si>
  <si>
    <t>COM</t>
  </si>
  <si>
    <t>INVCOST</t>
  </si>
  <si>
    <t>kt</t>
  </si>
  <si>
    <t>Final Energy Eurostat</t>
  </si>
  <si>
    <t>CLIG</t>
  </si>
  <si>
    <t>CCOK</t>
  </si>
  <si>
    <t>CREF</t>
  </si>
  <si>
    <t>CPLI</t>
  </si>
  <si>
    <t>COEL</t>
  </si>
  <si>
    <t>COEN</t>
  </si>
  <si>
    <t>%</t>
  </si>
  <si>
    <t>ENV</t>
  </si>
  <si>
    <t>COMCOA</t>
  </si>
  <si>
    <t>COMLPG</t>
  </si>
  <si>
    <t>COMOIL</t>
  </si>
  <si>
    <t>COMGAS</t>
  </si>
  <si>
    <t>COMBIO</t>
  </si>
  <si>
    <t>COMSOL</t>
  </si>
  <si>
    <t>COMGEO</t>
  </si>
  <si>
    <t>COMELC</t>
  </si>
  <si>
    <t>LimType</t>
  </si>
  <si>
    <t>PeakTS</t>
  </si>
  <si>
    <t>DAYNITE</t>
  </si>
  <si>
    <t>Csets</t>
  </si>
  <si>
    <t>CTSLvl</t>
  </si>
  <si>
    <t>Base-year data aggregated by sector fuel (PJ)</t>
  </si>
  <si>
    <t>~FI_T</t>
  </si>
  <si>
    <t>~FI_Comm</t>
  </si>
  <si>
    <t>EFF</t>
  </si>
  <si>
    <t>Ctype</t>
  </si>
  <si>
    <t>\I:TOTAL</t>
  </si>
  <si>
    <t>CEFF</t>
  </si>
  <si>
    <t>~COMEMI</t>
  </si>
  <si>
    <t>Base-year technologies for commercial - Cooking</t>
  </si>
  <si>
    <t>Base-year technologies for commercial - Refrigeration</t>
  </si>
  <si>
    <t>Base-year technologies for commercial - Other electricity</t>
  </si>
  <si>
    <t>Base-year technologies for commercial - Lighting</t>
  </si>
  <si>
    <t>Base-year technologies for commercial - Public lighting</t>
  </si>
  <si>
    <t>High Temp Heat</t>
  </si>
  <si>
    <t>COMHTH</t>
  </si>
  <si>
    <t>Assumptions on stocks of technologies</t>
  </si>
  <si>
    <t>\I:Technology Shares</t>
  </si>
  <si>
    <t>1000s</t>
  </si>
  <si>
    <t>Statistics on stocks: number of square meters</t>
  </si>
  <si>
    <t>Carbon Dioxide - Combustion (COM)</t>
  </si>
  <si>
    <t>COMCO2N</t>
  </si>
  <si>
    <t>Cap2Act-assumption</t>
  </si>
  <si>
    <t>Stock-assumption</t>
  </si>
  <si>
    <t>GJ/kW</t>
  </si>
  <si>
    <t>Euro/kW</t>
  </si>
  <si>
    <t>Act2Flo</t>
  </si>
  <si>
    <t>COMCOO</t>
  </si>
  <si>
    <t>Free cooling source (COM)</t>
  </si>
  <si>
    <t>Cooling agent (COM)</t>
  </si>
  <si>
    <t>Com.District Cooling.Absorption heat pump and free source.</t>
  </si>
  <si>
    <t>Availability</t>
  </si>
  <si>
    <t>% of Final Energy</t>
  </si>
  <si>
    <t>AFA</t>
  </si>
  <si>
    <t>AF</t>
  </si>
  <si>
    <t>PJ/GW</t>
  </si>
  <si>
    <t>GW</t>
  </si>
  <si>
    <t>VA_DelivPerUnit</t>
  </si>
  <si>
    <t>COMBGS</t>
  </si>
  <si>
    <t>Biogas (COM)</t>
  </si>
  <si>
    <t>COMSLU</t>
  </si>
  <si>
    <t>Waste (COM)</t>
  </si>
  <si>
    <t>~FI_Process</t>
  </si>
  <si>
    <t>Sets</t>
  </si>
  <si>
    <t>Tact</t>
  </si>
  <si>
    <t>Tcap</t>
  </si>
  <si>
    <t>Tslvl</t>
  </si>
  <si>
    <t>PrimaryCG</t>
  </si>
  <si>
    <t>Vintage</t>
  </si>
  <si>
    <t>*Final Energy</t>
  </si>
  <si>
    <t>CEFF-O</t>
  </si>
  <si>
    <t>*Final Energy Eurostat</t>
  </si>
  <si>
    <t>*Final Energy Eurostat Adj</t>
  </si>
  <si>
    <t>Avg Watts</t>
  </si>
  <si>
    <t>Avg h/d</t>
  </si>
  <si>
    <t>Num (000)</t>
  </si>
  <si>
    <t>Life (h)</t>
  </si>
  <si>
    <t>NRG</t>
  </si>
  <si>
    <t>DEM</t>
  </si>
  <si>
    <t>Imports</t>
  </si>
  <si>
    <t>Exports</t>
  </si>
  <si>
    <t>Transport</t>
  </si>
  <si>
    <t>Rail</t>
  </si>
  <si>
    <t>Residential</t>
  </si>
  <si>
    <t>Final energy consumption by end-use and sector (PJ)</t>
  </si>
  <si>
    <t>CS</t>
  </si>
  <si>
    <t>TWh</t>
  </si>
  <si>
    <t>TOT</t>
  </si>
  <si>
    <t>*EFF</t>
  </si>
  <si>
    <t>PV technologies</t>
  </si>
  <si>
    <t>*</t>
  </si>
  <si>
    <t>Table of contents</t>
  </si>
  <si>
    <t>Energy Balance</t>
  </si>
  <si>
    <t>VEDA Input Tables</t>
  </si>
  <si>
    <t>Original data and elaboration for the TIMES tables</t>
  </si>
  <si>
    <t>Capacity</t>
  </si>
  <si>
    <t>Consumption</t>
  </si>
  <si>
    <t>Currency (year)</t>
  </si>
  <si>
    <t>COM_Commodities</t>
  </si>
  <si>
    <t>COM_Processes</t>
  </si>
  <si>
    <t>TIMES processes list for the commercial sector</t>
  </si>
  <si>
    <t>COM_EmiCoeffs</t>
  </si>
  <si>
    <t>COM_FuelTechs</t>
  </si>
  <si>
    <t>Emission coefficients for the commercial sector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</si>
  <si>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</si>
  <si>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</si>
  <si>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</si>
  <si>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</si>
  <si>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</si>
  <si>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</si>
  <si>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</si>
  <si>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</si>
  <si>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Processes - Commercial sector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</si>
  <si>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</si>
  <si>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</si>
  <si>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</si>
  <si>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</si>
  <si>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</si>
  <si>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</si>
  <si>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</si>
  <si>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Commodities - Commercial sector</t>
  </si>
  <si>
    <t>Emission coefficients</t>
  </si>
  <si>
    <t>Fuel</t>
  </si>
  <si>
    <t>OILLPG</t>
  </si>
  <si>
    <t>OILGSL</t>
  </si>
  <si>
    <t>OILKER</t>
  </si>
  <si>
    <t>OILDST</t>
  </si>
  <si>
    <t>OILHFO</t>
  </si>
  <si>
    <t>GASNAT</t>
  </si>
  <si>
    <t>Emission coefficient by fuel type</t>
  </si>
  <si>
    <t>kt/PJ</t>
  </si>
  <si>
    <t>COAHAR</t>
  </si>
  <si>
    <t>COACOK</t>
  </si>
  <si>
    <t>COALIG</t>
  </si>
  <si>
    <t>COABRO</t>
  </si>
  <si>
    <t>OILOTH</t>
  </si>
  <si>
    <t>GASGWG</t>
  </si>
  <si>
    <t>BIOWOO</t>
  </si>
  <si>
    <t>BIOGAS</t>
  </si>
  <si>
    <t>BIOMUN</t>
  </si>
  <si>
    <t>BIOSLU</t>
  </si>
  <si>
    <t xml:space="preserve">Code </t>
  </si>
  <si>
    <t>Sector Description</t>
  </si>
  <si>
    <t>Country</t>
  </si>
  <si>
    <t>Year</t>
  </si>
  <si>
    <t>Fuel Tech - Coal (COM)</t>
  </si>
  <si>
    <t>Fuel Tech - Liquified Petroleum Gas (COM)</t>
  </si>
  <si>
    <t>Fuel Tech - Oil (COM)</t>
  </si>
  <si>
    <t>Fuel Tech - Biomass (COM)</t>
  </si>
  <si>
    <t>Fuel Tech - Solar (COM)</t>
  </si>
  <si>
    <t>Fuel Tech - Geothermal (COM)</t>
  </si>
  <si>
    <t>SHARE-I~UP</t>
  </si>
  <si>
    <t>Infrastructure for commercial fuels</t>
  </si>
  <si>
    <t>CAP2ACT</t>
  </si>
  <si>
    <t>COMHET</t>
  </si>
  <si>
    <t>NCAP_BND~UP~0</t>
  </si>
  <si>
    <t>Interpolation/Extrapolation</t>
  </si>
  <si>
    <t>RENSOL</t>
  </si>
  <si>
    <t>RENGEO</t>
  </si>
  <si>
    <t>Meuro/GW</t>
  </si>
  <si>
    <t>SHARE-I~UP~W</t>
  </si>
  <si>
    <t>SHARE-I~UP~R</t>
  </si>
  <si>
    <t>SHARE-I~UP~S</t>
  </si>
  <si>
    <t>SHARE-I~UP~F</t>
  </si>
  <si>
    <t>FOR NOW DISABLED</t>
  </si>
  <si>
    <t>COM_CH</t>
  </si>
  <si>
    <t>Description of the commercial space heating sector</t>
  </si>
  <si>
    <t>Description of the commercial water heating sector</t>
  </si>
  <si>
    <t>Description of the commercial cooling sector</t>
  </si>
  <si>
    <t>COM_PV</t>
  </si>
  <si>
    <t>COM_CC</t>
  </si>
  <si>
    <t>COM_CW</t>
  </si>
  <si>
    <t>Description of the commercial PV sector</t>
  </si>
  <si>
    <t>Description of the commercial other sector</t>
  </si>
  <si>
    <t>VEDA-TIMES Input Table</t>
  </si>
  <si>
    <t>Description</t>
  </si>
  <si>
    <t>COLOUR LEGEND</t>
  </si>
  <si>
    <t>* Unit</t>
  </si>
  <si>
    <t>Calculation based on other assumptions</t>
  </si>
  <si>
    <t>User Input/Assumption</t>
  </si>
  <si>
    <t>Calibration</t>
  </si>
  <si>
    <t>LIFE</t>
  </si>
  <si>
    <t>STOCK</t>
  </si>
  <si>
    <t>Commercial Space Heating (CH)</t>
  </si>
  <si>
    <t>Commercial Water Heating (CW)</t>
  </si>
  <si>
    <t>SHARE-I~FX</t>
  </si>
  <si>
    <t>SHARE-I~FX~0</t>
  </si>
  <si>
    <t>Commercial Cooling (CO)</t>
  </si>
  <si>
    <t>*Technology Shares</t>
  </si>
  <si>
    <t>SHARE-O~UP</t>
  </si>
  <si>
    <t>Commercial PV</t>
  </si>
  <si>
    <t>Base year demand commercial Other Appliances</t>
  </si>
  <si>
    <t>Commercial Other appliances</t>
  </si>
  <si>
    <t>Base year demand commercial space cooling</t>
  </si>
  <si>
    <t>Base year demand commercial water heating</t>
  </si>
  <si>
    <t>Base year demand commercial space heating</t>
  </si>
  <si>
    <t>COM_Balance</t>
  </si>
  <si>
    <t>Description of the existing uses of energy in the commercial sector</t>
  </si>
  <si>
    <t>TIMES commodities list for the commercial sector</t>
  </si>
  <si>
    <t>Output</t>
  </si>
  <si>
    <t>Emission coefficients per unit of fuel consumed in the commercial sector</t>
  </si>
  <si>
    <t>Technical Life</t>
  </si>
  <si>
    <t>DMD</t>
  </si>
  <si>
    <t>ELE</t>
  </si>
  <si>
    <t>PRE</t>
  </si>
  <si>
    <t>IE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</si>
  <si>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</si>
  <si>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</si>
  <si>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</si>
  <si>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</si>
  <si>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</si>
  <si>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</si>
  <si>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</si>
  <si>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</si>
  <si>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</si>
  <si>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</si>
  <si>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</si>
  <si>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</si>
  <si>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</si>
  <si>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</si>
  <si>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</si>
  <si>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</si>
  <si>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</si>
  <si>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</si>
  <si>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</si>
  <si>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</si>
  <si>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</si>
  <si>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</si>
  <si>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</si>
  <si>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</si>
  <si>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</si>
  <si>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</si>
  <si>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</si>
  <si>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</si>
  <si>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</si>
  <si>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</si>
  <si>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</si>
  <si>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</si>
  <si>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</si>
  <si>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</si>
  <si>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</si>
  <si>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</si>
  <si>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</si>
  <si>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</si>
  <si>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</si>
  <si>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</si>
  <si>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</si>
  <si>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</si>
  <si>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</si>
  <si>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</si>
  <si>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</si>
  <si>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</si>
  <si>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</si>
  <si>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</si>
  <si>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</si>
  <si>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</si>
  <si>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</si>
  <si>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</si>
  <si>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</si>
  <si>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</si>
  <si>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</si>
  <si>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</si>
  <si>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</si>
  <si>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</si>
  <si>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</si>
  <si>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</si>
  <si>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</si>
  <si>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</si>
  <si>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</si>
  <si>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</si>
  <si>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</si>
  <si>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</si>
  <si>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</si>
  <si>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</si>
  <si>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</si>
  <si>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</si>
  <si>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</si>
  <si>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</si>
  <si>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</si>
  <si>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</si>
  <si>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</si>
  <si>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</si>
  <si>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</si>
  <si>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</si>
  <si>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</si>
  <si>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</si>
  <si>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</si>
  <si>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</si>
  <si>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Road Freight</t>
  </si>
  <si>
    <t>Road Light Goods Vehicle</t>
  </si>
  <si>
    <t>Road Private Car</t>
  </si>
  <si>
    <t>Public Passenger Services</t>
  </si>
  <si>
    <t>Domestic Aviation</t>
  </si>
  <si>
    <t>International Aviation</t>
  </si>
  <si>
    <t>Fuel Tourism</t>
  </si>
  <si>
    <t>Navigation</t>
  </si>
  <si>
    <t>Unspecified</t>
  </si>
  <si>
    <t>Commercial/Public Services</t>
  </si>
  <si>
    <t>Commercial Services</t>
  </si>
  <si>
    <t>Public Services</t>
  </si>
  <si>
    <t>Agricultural</t>
  </si>
  <si>
    <t>Fisheries</t>
  </si>
  <si>
    <t>Statistical Difference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</si>
  <si>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</si>
  <si>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</si>
  <si>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Conversion factors</t>
  </si>
  <si>
    <t>1 ktoe</t>
  </si>
  <si>
    <t>PS</t>
  </si>
  <si>
    <t>BIOWOO, BIOWCH, BIOWPE</t>
  </si>
  <si>
    <t>ELCD</t>
  </si>
  <si>
    <t>COMCH4N</t>
  </si>
  <si>
    <t>COMSO2N</t>
  </si>
  <si>
    <t>COMNOXN</t>
  </si>
  <si>
    <t>COMPM10</t>
  </si>
  <si>
    <t>COMPM25</t>
  </si>
  <si>
    <t>Methane (COM)</t>
  </si>
  <si>
    <t>Sulphur Oxides (COM)</t>
  </si>
  <si>
    <t>Nitrogen Oxide (COM)</t>
  </si>
  <si>
    <t>Particulate Matter &lt;10 µm (COM)</t>
  </si>
  <si>
    <t>Particulate Matter &lt;2.5 µm (COM)</t>
  </si>
  <si>
    <t>Commercial services</t>
  </si>
  <si>
    <t>SEASON</t>
  </si>
  <si>
    <t>BIOGAS1G,BIOGAS2G</t>
  </si>
  <si>
    <t>Biogas</t>
  </si>
  <si>
    <t>PJa</t>
  </si>
  <si>
    <t>Fuel Tech - Biogas (COM)</t>
  </si>
  <si>
    <t>Commercial Lighting Demand</t>
  </si>
  <si>
    <t>Commercial Cooking Demand</t>
  </si>
  <si>
    <t>Commercial Refrigeration Demand</t>
  </si>
  <si>
    <t>Commercial Public Lighting Demand</t>
  </si>
  <si>
    <t>Commercial Other Electric Demand</t>
  </si>
  <si>
    <t>Commercial Other Energy Demand</t>
  </si>
  <si>
    <t>Commercial space heat  demand - Commercial Services</t>
  </si>
  <si>
    <t>Commercial water heating demand - Commercial Services</t>
  </si>
  <si>
    <t>Commercial water heating demand - Public Services</t>
  </si>
  <si>
    <t>Commercial space cooling demand - Commercial Services</t>
  </si>
  <si>
    <t>Commercial space cooling demand - Public Services</t>
  </si>
  <si>
    <t>Commercial space heat demand - Public Services</t>
  </si>
  <si>
    <t>Fuel Tech - Natural Gas (COM)</t>
  </si>
  <si>
    <t>Irish TIMES Energy System Model</t>
  </si>
  <si>
    <t>Document type:</t>
  </si>
  <si>
    <t xml:space="preserve">Base Year Template </t>
  </si>
  <si>
    <t>Sector:</t>
  </si>
  <si>
    <t>Developer:</t>
  </si>
  <si>
    <t>Energy Policy Modelling Group, UCC</t>
  </si>
  <si>
    <t>Source data</t>
  </si>
  <si>
    <t>Notes</t>
  </si>
  <si>
    <t>Office</t>
  </si>
  <si>
    <t>Retail</t>
  </si>
  <si>
    <t>Restaurant/Pub</t>
  </si>
  <si>
    <t>Warehouse</t>
  </si>
  <si>
    <t>Hotel</t>
  </si>
  <si>
    <t>Number in SEAI Survey</t>
  </si>
  <si>
    <t>% of total Commerical Irish stock</t>
  </si>
  <si>
    <t>Figure 2: Number of commercial buildings in Ireland (Total = 109,000)</t>
  </si>
  <si>
    <t>Average floor Area (m2)</t>
  </si>
  <si>
    <t>Primary kWh per UNIT per yr</t>
  </si>
  <si>
    <t>Final Energy Demand kWh per Unit</t>
  </si>
  <si>
    <t>Fuel Supply % of total stock numbers</t>
  </si>
  <si>
    <t>Grid Supplied Electricity</t>
  </si>
  <si>
    <t>Natural Gas</t>
  </si>
  <si>
    <t>Primary energy demand by fuel type in the commercial buildings sector (TWh)</t>
  </si>
  <si>
    <t>Figure 5: Primary and final energy demand by fuel type</t>
  </si>
  <si>
    <t>Final energy demand by fuel type in the commercial buildings sector (TWh)</t>
  </si>
  <si>
    <t>Wall type by Sector</t>
  </si>
  <si>
    <t>Cavity</t>
  </si>
  <si>
    <t>Solid Masonry</t>
  </si>
  <si>
    <t>Other</t>
  </si>
  <si>
    <t>Fraction of double / triple glazing by sector</t>
  </si>
  <si>
    <t>With Double Glazing</t>
  </si>
  <si>
    <t>None</t>
  </si>
  <si>
    <t>HVAC type by sector</t>
  </si>
  <si>
    <t>Unheated (Natural Ventilation)</t>
  </si>
  <si>
    <t>Heating Only (Natural Ventilation for cooling)</t>
  </si>
  <si>
    <t>Heating and Cooling (Mechanical Ventilation)</t>
  </si>
  <si>
    <t>Fraction of low-energy lighting</t>
  </si>
  <si>
    <t>No Low energy lights</t>
  </si>
  <si>
    <t>50% of lights are low energy</t>
  </si>
  <si>
    <t>100% of lights are low energy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</si>
  <si>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</si>
  <si>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</si>
  <si>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</si>
  <si>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</si>
  <si>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</si>
  <si>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</si>
  <si>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</si>
  <si>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</si>
  <si>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</si>
  <si>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</si>
  <si>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</si>
  <si>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</si>
  <si>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Carlow</t>
  </si>
  <si>
    <t>Dublin 01-24</t>
  </si>
  <si>
    <t>Dublin County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</si>
  <si>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</si>
  <si>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</si>
  <si>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</si>
  <si>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</si>
  <si>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</si>
  <si>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</si>
  <si>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</si>
  <si>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</si>
  <si>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</si>
  <si>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</si>
  <si>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</si>
  <si>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 City</t>
  </si>
  <si>
    <t>–</t>
  </si>
  <si>
    <t>Cork County</t>
  </si>
  <si>
    <t>Kerry</t>
  </si>
  <si>
    <t>Limerick City</t>
  </si>
  <si>
    <t>Limerick County</t>
  </si>
  <si>
    <t>Tipperary</t>
  </si>
  <si>
    <t>Waterford City</t>
  </si>
  <si>
    <t>Waterford County</t>
  </si>
  <si>
    <t>Galway City</t>
  </si>
  <si>
    <t>Galway County</t>
  </si>
  <si>
    <t>Leitrim</t>
  </si>
  <si>
    <t>Mayo</t>
  </si>
  <si>
    <t>Roscommon</t>
  </si>
  <si>
    <t>Sligo</t>
  </si>
  <si>
    <t>Cavan</t>
  </si>
  <si>
    <t>Donegal</t>
  </si>
  <si>
    <t>Monaghan</t>
  </si>
  <si>
    <t>All</t>
  </si>
  <si>
    <t>– No data is available for this building type and county</t>
  </si>
  <si>
    <t>Source: CSO</t>
  </si>
  <si>
    <t>http://cso.ie/en/releasesandpublications/er/ndber/non-domesticbuildingenergyratingsq22017/</t>
  </si>
  <si>
    <t>Spreadsheet for Commercial building archetypes in Ireland for</t>
  </si>
  <si>
    <t>cons</t>
  </si>
  <si>
    <t>=</t>
  </si>
  <si>
    <t>stock*cap2act*af/eff</t>
  </si>
  <si>
    <t>Stock share</t>
  </si>
  <si>
    <t>EB2012</t>
  </si>
  <si>
    <t>CSO (http://cso.ie/en/releasesandpublications/er/ndber/non-domesticbuildingenergyratingsq22017/)</t>
  </si>
  <si>
    <t>SEAI (https://www.seai.ie/resources/publications/Extensive-Survey-of-Commercial-Buildings-Stock-i)</t>
  </si>
  <si>
    <t>Milion Euro 2012</t>
  </si>
  <si>
    <t>Description of the fuel sectoral technologies for the commercial sector</t>
  </si>
  <si>
    <t>Tab colour legend</t>
  </si>
  <si>
    <t>Units</t>
  </si>
  <si>
    <t>PJa or GW</t>
  </si>
  <si>
    <t>Base year</t>
  </si>
  <si>
    <t>Cell colour legend</t>
  </si>
  <si>
    <t>M€/Pja</t>
  </si>
  <si>
    <t>ktoe</t>
  </si>
  <si>
    <t>Primary kWh per UNIT per m2</t>
  </si>
  <si>
    <t>Source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</si>
  <si>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</si>
  <si>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</si>
  <si>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</si>
  <si>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</si>
  <si>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</si>
  <si>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</si>
  <si>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</si>
  <si>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</si>
  <si>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Health</t>
  </si>
  <si>
    <t>Justice and Defence</t>
  </si>
  <si>
    <t>Local Authorities and Water Services</t>
  </si>
  <si>
    <t>Non-commercial State Body/State Agency</t>
  </si>
  <si>
    <t>GWh</t>
  </si>
  <si>
    <t>Office Buildings</t>
  </si>
  <si>
    <t>Education Buildings</t>
  </si>
  <si>
    <t>Healthcare Buildings</t>
  </si>
  <si>
    <t>Other Buildings</t>
  </si>
  <si>
    <t>Water Services</t>
  </si>
  <si>
    <t>Unknown</t>
  </si>
  <si>
    <t>Source: http://boc.ie/Insights/Public-sector-energy-consumption-in-Ireland</t>
  </si>
  <si>
    <t>Buildings</t>
  </si>
  <si>
    <t>Statistics on stocks: number of buildings</t>
  </si>
  <si>
    <t>Existing commercial - Solar PV</t>
  </si>
  <si>
    <t>*COOFRE</t>
  </si>
  <si>
    <t>COABIT</t>
  </si>
  <si>
    <t>Sheet</t>
  </si>
  <si>
    <t>SEAI 2012 energy balance in ktoe</t>
  </si>
  <si>
    <t>COM_COth</t>
  </si>
  <si>
    <t>Commercial</t>
  </si>
  <si>
    <t>COMPVELC_00</t>
  </si>
  <si>
    <t>SUPH2GD</t>
  </si>
  <si>
    <t>Hydrogen gaseous (COM)</t>
  </si>
  <si>
    <t>COMH2G</t>
  </si>
  <si>
    <t>COMH2L</t>
  </si>
  <si>
    <t>Hydrogen liquid (COM)</t>
  </si>
  <si>
    <t>SUPH2LD</t>
  </si>
  <si>
    <t>Fuel Tech - Hydrogen gaseous (COM)</t>
  </si>
  <si>
    <t>Fuel Tech - Hydrogen liquid (COM)</t>
  </si>
  <si>
    <t>Heat (COM)</t>
  </si>
  <si>
    <t>Ambient Heat (COM)</t>
  </si>
  <si>
    <t>Fuel Tech - Heat (COM)</t>
  </si>
  <si>
    <t>2018 provisional data</t>
  </si>
  <si>
    <t>2018 provisional data based on 2017 breakdown</t>
  </si>
  <si>
    <t>2017 data</t>
  </si>
  <si>
    <t>PASTI~2018</t>
  </si>
  <si>
    <t>https://www.cso.ie/en/releasesandpublications/er/ndber/non-domesticbuildingenergyratingsq42018/</t>
  </si>
  <si>
    <t>Table 10 Average Floor Area by Type of Building and County (Non-Domestic) 2009-2018</t>
  </si>
  <si>
    <t>2018 Energy Consumption (Primary)</t>
  </si>
  <si>
    <t>https://www.seai.ie/publications/Public-Sector-Annual-Report-2019.pdf</t>
  </si>
  <si>
    <t>2018 Electricity Consumption (Primary)</t>
  </si>
  <si>
    <t>Waste &amp; Other Processing</t>
  </si>
  <si>
    <t>2018 Natural Gas Consumption</t>
  </si>
  <si>
    <t>Education (excl. Schools &amp; ETBs)</t>
  </si>
  <si>
    <t>Schools &amp; ETBs</t>
  </si>
  <si>
    <t>Electricity Generation</t>
  </si>
  <si>
    <t>Breakout by end-use (Fractional Shares) =&gt; Undocumented Assumptions</t>
  </si>
  <si>
    <t>% total stock with Cooling</t>
  </si>
  <si>
    <t>Stock with a cooling system</t>
  </si>
  <si>
    <t>SHARE-I~UP~0</t>
  </si>
  <si>
    <t>I/E rule</t>
  </si>
  <si>
    <t>SHARE-O~UP~0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</si>
  <si>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</si>
  <si>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</si>
  <si>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</si>
  <si>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</si>
  <si>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</si>
  <si>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</si>
  <si>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</si>
  <si>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</si>
  <si>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</si>
  <si>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</si>
  <si>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Cork</t>
  </si>
  <si>
    <t>IE-DL</t>
  </si>
  <si>
    <t>IE-D</t>
  </si>
  <si>
    <t>Dublin</t>
  </si>
  <si>
    <t>IE-G</t>
  </si>
  <si>
    <t>Galway</t>
  </si>
  <si>
    <t>IE-KY</t>
  </si>
  <si>
    <t>IE-KE</t>
  </si>
  <si>
    <t>IE-KK</t>
  </si>
  <si>
    <t>IE-LS</t>
  </si>
  <si>
    <t>IE-LM</t>
  </si>
  <si>
    <t>IE-LK</t>
  </si>
  <si>
    <t>Limerick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</si>
  <si>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</si>
  <si>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</si>
  <si>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</si>
  <si>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</si>
  <si>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</si>
  <si>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</si>
  <si>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</si>
  <si>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</si>
  <si>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</si>
  <si>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</si>
  <si>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Waterford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</si>
  <si>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</si>
  <si>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</si>
  <si>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</si>
  <si>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</si>
  <si>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~FI_T:COM_PROJ~2018</t>
  </si>
  <si>
    <t>Region</t>
  </si>
  <si>
    <t>PWRHTH</t>
  </si>
  <si>
    <t>COMAMB</t>
  </si>
  <si>
    <t>Fuel Tech - Ambient Heat (COM)</t>
  </si>
  <si>
    <t>AMBHET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</si>
  <si>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</si>
  <si>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</si>
  <si>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</si>
  <si>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</si>
  <si>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</si>
  <si>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</si>
  <si>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</si>
  <si>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</si>
  <si>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</si>
  <si>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</si>
  <si>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</si>
  <si>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</si>
  <si>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</si>
  <si>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</si>
  <si>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</si>
  <si>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</si>
  <si>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</si>
  <si>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</si>
  <si>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</si>
  <si>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</si>
  <si>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</si>
  <si>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</si>
  <si>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</si>
  <si>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</si>
  <si>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</si>
  <si>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</si>
  <si>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</si>
  <si>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</si>
  <si>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</si>
  <si>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</si>
  <si>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</si>
  <si>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</si>
  <si>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</si>
  <si>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</si>
  <si>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CDCE</t>
  </si>
  <si>
    <t>Commercial Data Centres Energy demand</t>
  </si>
  <si>
    <t>Final Energy (EIirGrid-35% of 708MW)</t>
  </si>
  <si>
    <t>IE,National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</si>
</sst>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"/>
    <numFmt numFmtId="165" formatCode="0.0"/>
    <numFmt numFmtId="166" formatCode="0.0_)"/>
    <numFmt numFmtId="167" formatCode="0.00000"/>
    <numFmt numFmtId="168" formatCode="0.0000"/>
    <numFmt numFmtId="169" formatCode="\Te\x\t"/>
    <numFmt numFmtId="170" formatCode="0.000000"/>
    <numFmt numFmtId="171" formatCode="0.0%"/>
    <numFmt numFmtId="172" formatCode="dd/mm/yyyy;@"/>
    <numFmt numFmtId="173" formatCode="0.000000_)"/>
    <numFmt numFmtId="174" formatCode="_-* #,##0_-;\-* #,##0_-;_-* &quot;-&quot;??_-;_-@_-"/>
  </numFmts>
  <fonts count="10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name val="Myriad Pro"/>
    </font>
    <font>
      <b/>
      <sz val="10"/>
      <name val="Myriad Pro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6"/>
      </patternFill>
    </fill>
    <fill>
      <patternFill patternType="solid">
        <fgColor indexed="43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A7F5"/>
        <bgColor indexed="64"/>
      </patternFill>
    </fill>
    <fill>
      <patternFill patternType="solid">
        <fgColor rgb="FFDFD6FA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</fills>
  <borders count="1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7">
    <xf numFmtId="0" fontId="0" fillId="0" borderId="0"/>
    <xf numFmtId="43" fontId="18" fillId="0" borderId="0" applyFont="0" applyFill="0" applyBorder="0" applyAlignment="0" applyProtection="0"/>
    <xf numFmtId="0" fontId="30" fillId="14" borderId="0" applyNumberFormat="0" applyBorder="0" applyAlignment="0" applyProtection="0"/>
    <xf numFmtId="9" fontId="18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89" fillId="0" borderId="157" applyNumberFormat="0" applyFill="0" applyAlignment="0" applyProtection="0"/>
    <xf numFmtId="0" fontId="90" fillId="0" borderId="158" applyNumberFormat="0" applyFill="0" applyAlignment="0" applyProtection="0"/>
    <xf numFmtId="0" fontId="91" fillId="0" borderId="159" applyNumberFormat="0" applyFill="0" applyAlignment="0" applyProtection="0"/>
    <xf numFmtId="0" fontId="91" fillId="0" borderId="0" applyNumberFormat="0" applyFill="0" applyBorder="0" applyAlignment="0" applyProtection="0"/>
    <xf numFmtId="0" fontId="92" fillId="40" borderId="0" applyNumberFormat="0" applyBorder="0" applyAlignment="0" applyProtection="0"/>
    <xf numFmtId="0" fontId="93" fillId="41" borderId="0" applyNumberFormat="0" applyBorder="0" applyAlignment="0" applyProtection="0"/>
    <xf numFmtId="0" fontId="94" fillId="42" borderId="160" applyNumberFormat="0" applyAlignment="0" applyProtection="0"/>
    <xf numFmtId="0" fontId="95" fillId="43" borderId="161" applyNumberFormat="0" applyAlignment="0" applyProtection="0"/>
    <xf numFmtId="0" fontId="96" fillId="43" borderId="160" applyNumberFormat="0" applyAlignment="0" applyProtection="0"/>
    <xf numFmtId="0" fontId="97" fillId="0" borderId="162" applyNumberFormat="0" applyFill="0" applyAlignment="0" applyProtection="0"/>
    <xf numFmtId="0" fontId="65" fillId="44" borderId="163" applyNumberFormat="0" applyAlignment="0" applyProtection="0"/>
    <xf numFmtId="0" fontId="3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32" fillId="0" borderId="164" applyNumberFormat="0" applyFill="0" applyAlignment="0" applyProtection="0"/>
    <xf numFmtId="0" fontId="51" fillId="45" borderId="0" applyNumberFormat="0" applyBorder="0" applyAlignment="0" applyProtection="0"/>
    <xf numFmtId="0" fontId="7" fillId="46" borderId="0" applyNumberFormat="0" applyBorder="0" applyAlignment="0" applyProtection="0"/>
    <xf numFmtId="0" fontId="7" fillId="47" borderId="0" applyNumberFormat="0" applyBorder="0" applyAlignment="0" applyProtection="0"/>
    <xf numFmtId="0" fontId="51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0" borderId="0" applyNumberFormat="0" applyBorder="0" applyAlignment="0" applyProtection="0"/>
    <xf numFmtId="0" fontId="51" fillId="51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51" fillId="54" borderId="0" applyNumberFormat="0" applyBorder="0" applyAlignment="0" applyProtection="0"/>
    <xf numFmtId="0" fontId="7" fillId="55" borderId="0" applyNumberFormat="0" applyBorder="0" applyAlignment="0" applyProtection="0"/>
    <xf numFmtId="0" fontId="7" fillId="56" borderId="0" applyNumberFormat="0" applyBorder="0" applyAlignment="0" applyProtection="0"/>
    <xf numFmtId="0" fontId="51" fillId="57" borderId="0" applyNumberFormat="0" applyBorder="0" applyAlignment="0" applyProtection="0"/>
    <xf numFmtId="0" fontId="7" fillId="58" borderId="0" applyNumberFormat="0" applyBorder="0" applyAlignment="0" applyProtection="0"/>
    <xf numFmtId="0" fontId="7" fillId="59" borderId="0" applyNumberFormat="0" applyBorder="0" applyAlignment="0" applyProtection="0"/>
    <xf numFmtId="0" fontId="51" fillId="60" borderId="0" applyNumberFormat="0" applyBorder="0" applyAlignment="0" applyProtection="0"/>
    <xf numFmtId="0" fontId="7" fillId="61" borderId="0" applyNumberFormat="0" applyBorder="0" applyAlignment="0" applyProtection="0"/>
    <xf numFmtId="0" fontId="7" fillId="62" borderId="0" applyNumberFormat="0" applyBorder="0" applyAlignment="0" applyProtection="0"/>
  </cellStyleXfs>
  <cellXfs count="828">
    <xf numFmtId="0" fontId="0" fillId="0" borderId="0" xfId="0"/>
    <xf numFmtId="0" fontId="0" fillId="0" borderId="0" xfId="0" applyFill="1"/>
    <xf numFmtId="0" fontId="19" fillId="0" borderId="0" xfId="0" applyFont="1"/>
    <xf numFmtId="0" fontId="21" fillId="5" borderId="0" xfId="0" applyFont="1" applyFill="1"/>
    <xf numFmtId="0" fontId="21" fillId="5" borderId="0" xfId="0" quotePrefix="1" applyFont="1" applyFill="1" applyAlignment="1">
      <alignment horizontal="left"/>
    </xf>
    <xf numFmtId="165" fontId="0" fillId="0" borderId="0" xfId="0" applyNumberFormat="1"/>
    <xf numFmtId="0" fontId="20" fillId="0" borderId="0" xfId="0" applyFont="1" applyFill="1"/>
    <xf numFmtId="0" fontId="20" fillId="0" borderId="0" xfId="0" applyFont="1"/>
    <xf numFmtId="2" fontId="0" fillId="0" borderId="0" xfId="0" applyNumberFormat="1"/>
    <xf numFmtId="0" fontId="0" fillId="0" borderId="0" xfId="0" applyFill="1" applyBorder="1"/>
    <xf numFmtId="0" fontId="19" fillId="0" borderId="0" xfId="0" applyFont="1" applyFill="1"/>
    <xf numFmtId="0" fontId="19" fillId="0" borderId="0" xfId="0" applyFont="1" applyFill="1" applyBorder="1" applyAlignment="1">
      <alignment horizontal="left" vertical="center" wrapText="1"/>
    </xf>
    <xf numFmtId="0" fontId="26" fillId="0" borderId="0" xfId="0" quotePrefix="1" applyFont="1" applyFill="1" applyAlignment="1">
      <alignment horizontal="left"/>
    </xf>
    <xf numFmtId="0" fontId="26" fillId="0" borderId="0" xfId="0" applyFont="1" applyFill="1"/>
    <xf numFmtId="0" fontId="25" fillId="0" borderId="0" xfId="0" applyFont="1" applyFill="1"/>
    <xf numFmtId="169" fontId="35" fillId="0" borderId="0" xfId="0" applyNumberFormat="1" applyFont="1"/>
    <xf numFmtId="0" fontId="36" fillId="0" borderId="0" xfId="0" applyFont="1"/>
    <xf numFmtId="169" fontId="38" fillId="5" borderId="0" xfId="0" applyNumberFormat="1" applyFont="1" applyFill="1" applyAlignment="1">
      <alignment horizontal="left"/>
    </xf>
    <xf numFmtId="169" fontId="39" fillId="5" borderId="0" xfId="0" applyNumberFormat="1" applyFont="1" applyFill="1" applyAlignment="1">
      <alignment horizontal="left"/>
    </xf>
    <xf numFmtId="0" fontId="17" fillId="0" borderId="0" xfId="0" applyFont="1"/>
    <xf numFmtId="169" fontId="17" fillId="0" borderId="0" xfId="0" applyNumberFormat="1" applyFont="1"/>
    <xf numFmtId="0" fontId="17" fillId="19" borderId="4" xfId="0" applyFont="1" applyFill="1" applyBorder="1"/>
    <xf numFmtId="0" fontId="40" fillId="20" borderId="38" xfId="0" applyFont="1" applyFill="1" applyBorder="1"/>
    <xf numFmtId="169" fontId="36" fillId="16" borderId="0" xfId="0" applyNumberFormat="1" applyFont="1" applyFill="1"/>
    <xf numFmtId="169" fontId="36" fillId="16" borderId="5" xfId="0" applyNumberFormat="1" applyFont="1" applyFill="1" applyBorder="1"/>
    <xf numFmtId="0" fontId="36" fillId="0" borderId="0" xfId="0" applyFont="1" applyBorder="1"/>
    <xf numFmtId="169" fontId="35" fillId="16" borderId="0" xfId="0" applyNumberFormat="1" applyFont="1" applyFill="1" applyBorder="1"/>
    <xf numFmtId="169" fontId="36" fillId="21" borderId="0" xfId="0" applyNumberFormat="1" applyFont="1" applyFill="1" applyBorder="1" applyAlignment="1">
      <alignment horizontal="left"/>
    </xf>
    <xf numFmtId="169" fontId="36" fillId="16" borderId="0" xfId="0" quotePrefix="1" applyNumberFormat="1" applyFont="1" applyFill="1" applyBorder="1" applyAlignment="1">
      <alignment horizontal="left"/>
    </xf>
    <xf numFmtId="169" fontId="36" fillId="16" borderId="0" xfId="0" applyNumberFormat="1" applyFont="1" applyFill="1" applyBorder="1"/>
    <xf numFmtId="169" fontId="35" fillId="16" borderId="5" xfId="0" applyNumberFormat="1" applyFont="1" applyFill="1" applyBorder="1"/>
    <xf numFmtId="169" fontId="36" fillId="16" borderId="5" xfId="0" quotePrefix="1" applyNumberFormat="1" applyFont="1" applyFill="1" applyBorder="1" applyAlignment="1">
      <alignment horizontal="left"/>
    </xf>
    <xf numFmtId="169" fontId="36" fillId="16" borderId="0" xfId="0" quotePrefix="1" applyNumberFormat="1" applyFont="1" applyFill="1" applyAlignment="1">
      <alignment horizontal="left"/>
    </xf>
    <xf numFmtId="0" fontId="41" fillId="0" borderId="0" xfId="0" applyFont="1"/>
    <xf numFmtId="0" fontId="35" fillId="0" borderId="0" xfId="0" applyFont="1" applyFill="1" applyBorder="1" applyAlignment="1">
      <alignment horizontal="left"/>
    </xf>
    <xf numFmtId="0" fontId="35" fillId="0" borderId="5" xfId="0" applyFont="1" applyFill="1" applyBorder="1"/>
    <xf numFmtId="0" fontId="0" fillId="0" borderId="0" xfId="0" applyFont="1"/>
    <xf numFmtId="0" fontId="36" fillId="0" borderId="0" xfId="0" applyFont="1" applyFill="1" applyBorder="1" applyAlignment="1">
      <alignment horizontal="left" vertical="center" wrapText="1"/>
    </xf>
    <xf numFmtId="0" fontId="36" fillId="2" borderId="4" xfId="0" applyFont="1" applyFill="1" applyBorder="1" applyAlignment="1">
      <alignment horizontal="left" vertical="center" wrapText="1"/>
    </xf>
    <xf numFmtId="1" fontId="36" fillId="19" borderId="4" xfId="0" applyNumberFormat="1" applyFont="1" applyFill="1" applyBorder="1" applyAlignment="1">
      <alignment horizontal="center"/>
    </xf>
    <xf numFmtId="2" fontId="36" fillId="0" borderId="0" xfId="0" applyNumberFormat="1" applyFont="1" applyFill="1" applyBorder="1" applyAlignment="1">
      <alignment horizontal="right"/>
    </xf>
    <xf numFmtId="0" fontId="19" fillId="0" borderId="0" xfId="0" quotePrefix="1" applyFont="1" applyFill="1" applyBorder="1" applyAlignment="1">
      <alignment horizontal="left" vertical="center" wrapText="1"/>
    </xf>
    <xf numFmtId="2" fontId="19" fillId="0" borderId="0" xfId="0" applyNumberFormat="1" applyFont="1" applyFill="1" applyBorder="1" applyAlignment="1">
      <alignment horizontal="right"/>
    </xf>
    <xf numFmtId="0" fontId="35" fillId="0" borderId="0" xfId="0" applyFont="1" applyFill="1" applyAlignment="1">
      <alignment horizontal="left"/>
    </xf>
    <xf numFmtId="0" fontId="39" fillId="0" borderId="0" xfId="0" applyFont="1" applyFill="1"/>
    <xf numFmtId="0" fontId="0" fillId="20" borderId="38" xfId="0" applyFont="1" applyFill="1" applyBorder="1"/>
    <xf numFmtId="0" fontId="0" fillId="0" borderId="0" xfId="0" applyFont="1" applyFill="1" applyBorder="1"/>
    <xf numFmtId="1" fontId="36" fillId="0" borderId="0" xfId="0" applyNumberFormat="1" applyFont="1" applyFill="1" applyBorder="1" applyAlignment="1">
      <alignment horizontal="center"/>
    </xf>
    <xf numFmtId="0" fontId="37" fillId="16" borderId="0" xfId="0" applyFont="1" applyFill="1" applyBorder="1" applyAlignment="1">
      <alignment horizontal="left" vertical="center" wrapText="1"/>
    </xf>
    <xf numFmtId="0" fontId="36" fillId="16" borderId="0" xfId="0" quotePrefix="1" applyFont="1" applyFill="1" applyBorder="1" applyAlignment="1">
      <alignment horizontal="left" vertical="center" wrapText="1"/>
    </xf>
    <xf numFmtId="2" fontId="36" fillId="16" borderId="0" xfId="0" applyNumberFormat="1" applyFont="1" applyFill="1" applyBorder="1" applyAlignment="1">
      <alignment horizontal="right"/>
    </xf>
    <xf numFmtId="2" fontId="19" fillId="16" borderId="0" xfId="0" applyNumberFormat="1" applyFont="1" applyFill="1"/>
    <xf numFmtId="0" fontId="36" fillId="16" borderId="0" xfId="0" applyFont="1" applyFill="1" applyBorder="1" applyAlignment="1">
      <alignment horizontal="left" vertical="center" wrapText="1"/>
    </xf>
    <xf numFmtId="169" fontId="31" fillId="16" borderId="0" xfId="0" applyNumberFormat="1" applyFont="1" applyFill="1"/>
    <xf numFmtId="0" fontId="36" fillId="16" borderId="0" xfId="0" applyFont="1" applyFill="1"/>
    <xf numFmtId="0" fontId="36" fillId="16" borderId="5" xfId="0" applyFont="1" applyFill="1" applyBorder="1"/>
    <xf numFmtId="169" fontId="35" fillId="16" borderId="0" xfId="0" applyNumberFormat="1" applyFont="1" applyFill="1"/>
    <xf numFmtId="0" fontId="36" fillId="16" borderId="0" xfId="0" applyFont="1" applyFill="1" applyBorder="1"/>
    <xf numFmtId="0" fontId="36" fillId="16" borderId="6" xfId="0" applyFont="1" applyFill="1" applyBorder="1"/>
    <xf numFmtId="0" fontId="36" fillId="16" borderId="3" xfId="0" applyFont="1" applyFill="1" applyBorder="1"/>
    <xf numFmtId="0" fontId="42" fillId="16" borderId="0" xfId="0" applyFont="1" applyFill="1" applyBorder="1" applyProtection="1">
      <protection locked="0"/>
    </xf>
    <xf numFmtId="0" fontId="42" fillId="16" borderId="0" xfId="0" applyFont="1" applyFill="1" applyBorder="1" applyAlignment="1" applyProtection="1">
      <alignment horizontal="left"/>
      <protection locked="0"/>
    </xf>
    <xf numFmtId="169" fontId="35" fillId="0" borderId="3" xfId="0" applyNumberFormat="1" applyFont="1" applyBorder="1"/>
    <xf numFmtId="0" fontId="35" fillId="16" borderId="3" xfId="0" applyFont="1" applyFill="1" applyBorder="1"/>
    <xf numFmtId="0" fontId="39" fillId="5" borderId="0" xfId="0" applyFont="1" applyFill="1"/>
    <xf numFmtId="0" fontId="43" fillId="0" borderId="0" xfId="0" applyFont="1"/>
    <xf numFmtId="0" fontId="38" fillId="5" borderId="0" xfId="0" quotePrefix="1" applyFont="1" applyFill="1" applyAlignment="1">
      <alignment horizontal="left"/>
    </xf>
    <xf numFmtId="0" fontId="35" fillId="0" borderId="0" xfId="0" applyFont="1"/>
    <xf numFmtId="0" fontId="35" fillId="0" borderId="0" xfId="0" applyFont="1" applyFill="1"/>
    <xf numFmtId="0" fontId="36" fillId="0" borderId="0" xfId="0" applyFont="1" applyFill="1"/>
    <xf numFmtId="0" fontId="36" fillId="3" borderId="0" xfId="0" applyFont="1" applyFill="1"/>
    <xf numFmtId="0" fontId="37" fillId="3" borderId="0" xfId="0" applyFont="1" applyFill="1"/>
    <xf numFmtId="0" fontId="36" fillId="22" borderId="0" xfId="0" applyFont="1" applyFill="1"/>
    <xf numFmtId="2" fontId="36" fillId="16" borderId="0" xfId="0" applyNumberFormat="1" applyFont="1" applyFill="1"/>
    <xf numFmtId="164" fontId="36" fillId="16" borderId="0" xfId="0" applyNumberFormat="1" applyFont="1" applyFill="1"/>
    <xf numFmtId="0" fontId="36" fillId="0" borderId="0" xfId="0" applyFont="1" applyFill="1" applyBorder="1"/>
    <xf numFmtId="165" fontId="36" fillId="16" borderId="0" xfId="0" applyNumberFormat="1" applyFont="1" applyFill="1"/>
    <xf numFmtId="0" fontId="35" fillId="0" borderId="0" xfId="0" applyFont="1" applyFill="1" applyBorder="1"/>
    <xf numFmtId="0" fontId="37" fillId="0" borderId="0" xfId="0" applyFont="1"/>
    <xf numFmtId="164" fontId="36" fillId="10" borderId="0" xfId="0" applyNumberFormat="1" applyFont="1" applyFill="1"/>
    <xf numFmtId="0" fontId="36" fillId="16" borderId="0" xfId="0" quotePrefix="1" applyFont="1" applyFill="1" applyAlignment="1">
      <alignment horizontal="left"/>
    </xf>
    <xf numFmtId="0" fontId="32" fillId="0" borderId="0" xfId="0" applyFont="1" applyFill="1"/>
    <xf numFmtId="0" fontId="47" fillId="0" borderId="0" xfId="0" applyFont="1"/>
    <xf numFmtId="0" fontId="48" fillId="0" borderId="0" xfId="0" applyFont="1"/>
    <xf numFmtId="0" fontId="37" fillId="9" borderId="0" xfId="0" applyFont="1" applyFill="1"/>
    <xf numFmtId="0" fontId="45" fillId="9" borderId="0" xfId="0" applyFont="1" applyFill="1"/>
    <xf numFmtId="0" fontId="36" fillId="0" borderId="0" xfId="0" applyFont="1" applyFill="1" applyBorder="1" applyAlignment="1">
      <alignment horizontal="center"/>
    </xf>
    <xf numFmtId="168" fontId="36" fillId="0" borderId="0" xfId="0" applyNumberFormat="1" applyFont="1" applyFill="1" applyBorder="1"/>
    <xf numFmtId="2" fontId="36" fillId="3" borderId="0" xfId="3" applyNumberFormat="1" applyFont="1" applyFill="1"/>
    <xf numFmtId="167" fontId="36" fillId="10" borderId="0" xfId="0" applyNumberFormat="1" applyFont="1" applyFill="1"/>
    <xf numFmtId="168" fontId="36" fillId="4" borderId="0" xfId="0" applyNumberFormat="1" applyFont="1" applyFill="1"/>
    <xf numFmtId="10" fontId="36" fillId="0" borderId="0" xfId="3" applyNumberFormat="1" applyFont="1"/>
    <xf numFmtId="165" fontId="36" fillId="3" borderId="0" xfId="3" applyNumberFormat="1" applyFont="1" applyFill="1"/>
    <xf numFmtId="165" fontId="36" fillId="10" borderId="0" xfId="0" applyNumberFormat="1" applyFont="1" applyFill="1"/>
    <xf numFmtId="2" fontId="36" fillId="0" borderId="0" xfId="0" applyNumberFormat="1" applyFont="1"/>
    <xf numFmtId="165" fontId="36" fillId="0" borderId="0" xfId="0" applyNumberFormat="1" applyFont="1"/>
    <xf numFmtId="0" fontId="40" fillId="19" borderId="4" xfId="0" applyFont="1" applyFill="1" applyBorder="1"/>
    <xf numFmtId="0" fontId="40" fillId="25" borderId="4" xfId="0" applyFont="1" applyFill="1" applyBorder="1"/>
    <xf numFmtId="0" fontId="40" fillId="20" borderId="5" xfId="0" applyFont="1" applyFill="1" applyBorder="1"/>
    <xf numFmtId="0" fontId="40" fillId="0" borderId="2" xfId="0" applyFont="1" applyFill="1" applyBorder="1"/>
    <xf numFmtId="0" fontId="37" fillId="16" borderId="0" xfId="0" applyFont="1" applyFill="1"/>
    <xf numFmtId="0" fontId="37" fillId="0" borderId="0" xfId="0" quotePrefix="1" applyFont="1" applyFill="1" applyAlignment="1">
      <alignment horizontal="left"/>
    </xf>
    <xf numFmtId="0" fontId="37" fillId="0" borderId="0" xfId="0" applyFont="1" applyFill="1"/>
    <xf numFmtId="0" fontId="45" fillId="0" borderId="0" xfId="0" applyFont="1" applyFill="1"/>
    <xf numFmtId="0" fontId="46" fillId="0" borderId="0" xfId="0" applyFont="1" applyFill="1"/>
    <xf numFmtId="165" fontId="36" fillId="16" borderId="0" xfId="3" applyNumberFormat="1" applyFont="1" applyFill="1" applyAlignment="1">
      <alignment horizontal="left"/>
    </xf>
    <xf numFmtId="0" fontId="36" fillId="16" borderId="0" xfId="0" quotePrefix="1" applyFont="1" applyFill="1" applyBorder="1" applyAlignment="1">
      <alignment horizontal="left"/>
    </xf>
    <xf numFmtId="0" fontId="44" fillId="16" borderId="0" xfId="0" applyNumberFormat="1" applyFont="1" applyFill="1" applyBorder="1" applyAlignment="1"/>
    <xf numFmtId="0" fontId="49" fillId="16" borderId="0" xfId="0" applyNumberFormat="1" applyFont="1" applyFill="1" applyBorder="1" applyAlignment="1"/>
    <xf numFmtId="9" fontId="36" fillId="16" borderId="0" xfId="3" applyFont="1" applyFill="1" applyBorder="1" applyProtection="1">
      <protection locked="0"/>
    </xf>
    <xf numFmtId="165" fontId="36" fillId="16" borderId="0" xfId="3" applyNumberFormat="1" applyFont="1" applyFill="1"/>
    <xf numFmtId="9" fontId="36" fillId="16" borderId="0" xfId="3" applyFont="1" applyFill="1"/>
    <xf numFmtId="167" fontId="36" fillId="16" borderId="0" xfId="0" applyNumberFormat="1" applyFont="1" applyFill="1"/>
    <xf numFmtId="2" fontId="37" fillId="16" borderId="0" xfId="0" applyNumberFormat="1" applyFont="1" applyFill="1"/>
    <xf numFmtId="0" fontId="36" fillId="22" borderId="0" xfId="0" applyFont="1" applyFill="1" applyBorder="1" applyAlignment="1">
      <alignment horizontal="center"/>
    </xf>
    <xf numFmtId="165" fontId="37" fillId="16" borderId="0" xfId="0" applyNumberFormat="1" applyFont="1" applyFill="1"/>
    <xf numFmtId="168" fontId="36" fillId="16" borderId="0" xfId="0" applyNumberFormat="1" applyFont="1" applyFill="1"/>
    <xf numFmtId="164" fontId="36" fillId="16" borderId="0" xfId="0" applyNumberFormat="1" applyFont="1" applyFill="1" applyBorder="1" applyAlignment="1">
      <alignment horizontal="right"/>
    </xf>
    <xf numFmtId="0" fontId="36" fillId="22" borderId="8" xfId="0" applyFont="1" applyFill="1" applyBorder="1"/>
    <xf numFmtId="0" fontId="36" fillId="22" borderId="30" xfId="0" applyFont="1" applyFill="1" applyBorder="1"/>
    <xf numFmtId="0" fontId="36" fillId="22" borderId="29" xfId="0" applyFont="1" applyFill="1" applyBorder="1"/>
    <xf numFmtId="168" fontId="36" fillId="24" borderId="0" xfId="0" applyNumberFormat="1" applyFont="1" applyFill="1" applyBorder="1"/>
    <xf numFmtId="0" fontId="36" fillId="22" borderId="0" xfId="0" applyFont="1" applyFill="1" applyBorder="1" applyAlignment="1">
      <alignment horizontal="left"/>
    </xf>
    <xf numFmtId="0" fontId="37" fillId="9" borderId="39" xfId="0" applyFont="1" applyFill="1" applyBorder="1"/>
    <xf numFmtId="165" fontId="36" fillId="16" borderId="39" xfId="0" applyNumberFormat="1" applyFont="1" applyFill="1" applyBorder="1"/>
    <xf numFmtId="0" fontId="36" fillId="23" borderId="3" xfId="0" applyFont="1" applyFill="1" applyBorder="1" applyAlignment="1">
      <alignment horizontal="center" vertical="center" wrapText="1"/>
    </xf>
    <xf numFmtId="0" fontId="36" fillId="23" borderId="3" xfId="0" quotePrefix="1" applyFont="1" applyFill="1" applyBorder="1" applyAlignment="1">
      <alignment horizontal="center" vertical="center" wrapText="1"/>
    </xf>
    <xf numFmtId="0" fontId="40" fillId="19" borderId="4" xfId="0" applyFont="1" applyFill="1" applyBorder="1" applyAlignment="1">
      <alignment wrapText="1"/>
    </xf>
    <xf numFmtId="0" fontId="40" fillId="25" borderId="4" xfId="0" applyFont="1" applyFill="1" applyBorder="1" applyAlignment="1">
      <alignment wrapText="1"/>
    </xf>
    <xf numFmtId="0" fontId="36" fillId="0" borderId="0" xfId="0" applyFont="1" applyAlignment="1">
      <alignment wrapText="1"/>
    </xf>
    <xf numFmtId="0" fontId="44" fillId="23" borderId="7" xfId="0" applyNumberFormat="1" applyFont="1" applyFill="1" applyBorder="1" applyAlignment="1">
      <alignment horizontal="center" wrapText="1"/>
    </xf>
    <xf numFmtId="0" fontId="40" fillId="20" borderId="38" xfId="0" applyFont="1" applyFill="1" applyBorder="1" applyAlignment="1">
      <alignment wrapText="1"/>
    </xf>
    <xf numFmtId="0" fontId="40" fillId="25" borderId="4" xfId="0" applyFont="1" applyFill="1" applyBorder="1" applyAlignment="1">
      <alignment horizontal="center" wrapText="1"/>
    </xf>
    <xf numFmtId="0" fontId="40" fillId="20" borderId="38" xfId="0" applyFont="1" applyFill="1" applyBorder="1" applyAlignment="1">
      <alignment horizontal="center" wrapText="1"/>
    </xf>
    <xf numFmtId="0" fontId="46" fillId="9" borderId="0" xfId="0" applyFont="1" applyFill="1"/>
    <xf numFmtId="2" fontId="43" fillId="0" borderId="0" xfId="0" applyNumberFormat="1" applyFont="1"/>
    <xf numFmtId="2" fontId="45" fillId="0" borderId="0" xfId="0" applyNumberFormat="1" applyFont="1" applyFill="1" applyBorder="1"/>
    <xf numFmtId="0" fontId="35" fillId="0" borderId="0" xfId="0" applyFont="1" applyAlignment="1">
      <alignment horizontal="left"/>
    </xf>
    <xf numFmtId="2" fontId="36" fillId="10" borderId="0" xfId="0" applyNumberFormat="1" applyFont="1" applyFill="1"/>
    <xf numFmtId="165" fontId="36" fillId="4" borderId="0" xfId="0" applyNumberFormat="1" applyFont="1" applyFill="1"/>
    <xf numFmtId="0" fontId="36" fillId="16" borderId="0" xfId="0" applyFont="1" applyFill="1" applyBorder="1" applyAlignment="1">
      <alignment vertical="center"/>
    </xf>
    <xf numFmtId="2" fontId="36" fillId="0" borderId="0" xfId="3" applyNumberFormat="1" applyFont="1" applyFill="1" applyBorder="1"/>
    <xf numFmtId="2" fontId="36" fillId="0" borderId="0" xfId="0" applyNumberFormat="1" applyFont="1" applyFill="1" applyBorder="1"/>
    <xf numFmtId="164" fontId="36" fillId="0" borderId="0" xfId="0" applyNumberFormat="1" applyFont="1" applyFill="1" applyBorder="1"/>
    <xf numFmtId="0" fontId="49" fillId="0" borderId="0" xfId="0" applyNumberFormat="1" applyFont="1" applyFill="1" applyBorder="1" applyAlignment="1"/>
    <xf numFmtId="165" fontId="37" fillId="0" borderId="0" xfId="0" applyNumberFormat="1" applyFont="1" applyFill="1" applyBorder="1"/>
    <xf numFmtId="165" fontId="36" fillId="0" borderId="0" xfId="0" applyNumberFormat="1" applyFont="1" applyFill="1" applyBorder="1"/>
    <xf numFmtId="0" fontId="36" fillId="0" borderId="0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/>
    </xf>
    <xf numFmtId="0" fontId="36" fillId="0" borderId="0" xfId="0" quotePrefix="1" applyFont="1" applyFill="1" applyBorder="1" applyAlignment="1">
      <alignment horizontal="left"/>
    </xf>
    <xf numFmtId="164" fontId="36" fillId="0" borderId="0" xfId="0" applyNumberFormat="1" applyFont="1" applyFill="1" applyBorder="1" applyAlignment="1">
      <alignment horizontal="right"/>
    </xf>
    <xf numFmtId="0" fontId="44" fillId="0" borderId="0" xfId="0" applyNumberFormat="1" applyFont="1" applyFill="1" applyBorder="1" applyAlignment="1"/>
    <xf numFmtId="165" fontId="36" fillId="0" borderId="0" xfId="1" applyNumberFormat="1" applyFont="1" applyFill="1" applyBorder="1"/>
    <xf numFmtId="0" fontId="40" fillId="20" borderId="16" xfId="0" applyFont="1" applyFill="1" applyBorder="1" applyAlignment="1">
      <alignment wrapText="1"/>
    </xf>
    <xf numFmtId="0" fontId="40" fillId="29" borderId="4" xfId="0" applyFont="1" applyFill="1" applyBorder="1" applyAlignment="1">
      <alignment wrapText="1"/>
    </xf>
    <xf numFmtId="1" fontId="36" fillId="16" borderId="0" xfId="3" applyNumberFormat="1" applyFont="1" applyFill="1" applyBorder="1" applyProtection="1">
      <protection locked="0"/>
    </xf>
    <xf numFmtId="2" fontId="36" fillId="22" borderId="0" xfId="3" applyNumberFormat="1" applyFont="1" applyFill="1"/>
    <xf numFmtId="165" fontId="37" fillId="22" borderId="0" xfId="0" applyNumberFormat="1" applyFont="1" applyFill="1"/>
    <xf numFmtId="0" fontId="36" fillId="30" borderId="0" xfId="0" applyFont="1" applyFill="1"/>
    <xf numFmtId="2" fontId="36" fillId="30" borderId="0" xfId="0" applyNumberFormat="1" applyFont="1" applyFill="1"/>
    <xf numFmtId="0" fontId="44" fillId="30" borderId="0" xfId="0" applyNumberFormat="1" applyFont="1" applyFill="1" applyBorder="1" applyAlignment="1"/>
    <xf numFmtId="165" fontId="36" fillId="30" borderId="0" xfId="0" applyNumberFormat="1" applyFont="1" applyFill="1"/>
    <xf numFmtId="2" fontId="36" fillId="24" borderId="0" xfId="0" applyNumberFormat="1" applyFont="1" applyFill="1"/>
    <xf numFmtId="164" fontId="36" fillId="18" borderId="0" xfId="0" applyNumberFormat="1" applyFont="1" applyFill="1"/>
    <xf numFmtId="0" fontId="36" fillId="16" borderId="39" xfId="0" applyFont="1" applyFill="1" applyBorder="1"/>
    <xf numFmtId="0" fontId="36" fillId="23" borderId="7" xfId="0" applyFont="1" applyFill="1" applyBorder="1" applyAlignment="1">
      <alignment horizontal="center" vertical="center" wrapText="1"/>
    </xf>
    <xf numFmtId="167" fontId="36" fillId="18" borderId="0" xfId="0" applyNumberFormat="1" applyFont="1" applyFill="1"/>
    <xf numFmtId="170" fontId="36" fillId="18" borderId="0" xfId="0" applyNumberFormat="1" applyFont="1" applyFill="1"/>
    <xf numFmtId="170" fontId="36" fillId="16" borderId="0" xfId="0" applyNumberFormat="1" applyFont="1" applyFill="1"/>
    <xf numFmtId="167" fontId="36" fillId="30" borderId="0" xfId="0" applyNumberFormat="1" applyFont="1" applyFill="1"/>
    <xf numFmtId="2" fontId="36" fillId="30" borderId="0" xfId="1" applyNumberFormat="1" applyFont="1" applyFill="1"/>
    <xf numFmtId="164" fontId="36" fillId="4" borderId="0" xfId="0" applyNumberFormat="1" applyFont="1" applyFill="1"/>
    <xf numFmtId="1" fontId="37" fillId="16" borderId="0" xfId="0" applyNumberFormat="1" applyFont="1" applyFill="1"/>
    <xf numFmtId="0" fontId="43" fillId="0" borderId="0" xfId="0" applyFont="1" applyFill="1"/>
    <xf numFmtId="0" fontId="50" fillId="0" borderId="0" xfId="0" applyFont="1"/>
    <xf numFmtId="0" fontId="33" fillId="0" borderId="0" xfId="0" quotePrefix="1" applyFont="1" applyFill="1" applyAlignment="1">
      <alignment horizontal="left"/>
    </xf>
    <xf numFmtId="0" fontId="33" fillId="0" borderId="0" xfId="0" applyFont="1" applyFill="1"/>
    <xf numFmtId="0" fontId="31" fillId="0" borderId="0" xfId="0" applyFont="1" applyFill="1"/>
    <xf numFmtId="2" fontId="36" fillId="16" borderId="0" xfId="3" applyNumberFormat="1" applyFont="1" applyFill="1" applyAlignment="1">
      <alignment horizontal="left"/>
    </xf>
    <xf numFmtId="9" fontId="36" fillId="22" borderId="8" xfId="3" applyFont="1" applyFill="1" applyBorder="1"/>
    <xf numFmtId="9" fontId="36" fillId="22" borderId="30" xfId="3" applyFont="1" applyFill="1" applyBorder="1"/>
    <xf numFmtId="9" fontId="36" fillId="22" borderId="29" xfId="3" applyFont="1" applyFill="1" applyBorder="1"/>
    <xf numFmtId="1" fontId="36" fillId="22" borderId="0" xfId="3" applyNumberFormat="1" applyFont="1" applyFill="1"/>
    <xf numFmtId="0" fontId="16" fillId="19" borderId="4" xfId="0" applyFont="1" applyFill="1" applyBorder="1"/>
    <xf numFmtId="0" fontId="16" fillId="25" borderId="4" xfId="0" applyFont="1" applyFill="1" applyBorder="1"/>
    <xf numFmtId="0" fontId="16" fillId="20" borderId="38" xfId="0" applyFont="1" applyFill="1" applyBorder="1"/>
    <xf numFmtId="0" fontId="16" fillId="0" borderId="2" xfId="0" applyFont="1" applyFill="1" applyBorder="1"/>
    <xf numFmtId="0" fontId="16" fillId="20" borderId="5" xfId="0" applyFont="1" applyFill="1" applyBorder="1"/>
    <xf numFmtId="0" fontId="16" fillId="19" borderId="4" xfId="0" applyFont="1" applyFill="1" applyBorder="1" applyAlignment="1">
      <alignment wrapText="1"/>
    </xf>
    <xf numFmtId="0" fontId="16" fillId="20" borderId="38" xfId="0" applyFont="1" applyFill="1" applyBorder="1" applyAlignment="1">
      <alignment wrapText="1"/>
    </xf>
    <xf numFmtId="165" fontId="37" fillId="3" borderId="0" xfId="0" applyNumberFormat="1" applyFont="1" applyFill="1"/>
    <xf numFmtId="0" fontId="36" fillId="0" borderId="0" xfId="0" applyFont="1" applyFill="1" applyAlignment="1">
      <alignment vertical="center"/>
    </xf>
    <xf numFmtId="0" fontId="36" fillId="3" borderId="0" xfId="0" applyFont="1" applyFill="1" applyAlignment="1">
      <alignment vertical="center"/>
    </xf>
    <xf numFmtId="0" fontId="39" fillId="0" borderId="0" xfId="0" quotePrefix="1" applyFont="1" applyFill="1" applyBorder="1" applyAlignment="1">
      <alignment horizontal="left"/>
    </xf>
    <xf numFmtId="0" fontId="39" fillId="0" borderId="0" xfId="0" applyFont="1" applyFill="1" applyBorder="1"/>
    <xf numFmtId="0" fontId="36" fillId="0" borderId="0" xfId="0" applyFont="1" applyFill="1" applyBorder="1" applyAlignment="1">
      <alignment horizontal="left"/>
    </xf>
    <xf numFmtId="1" fontId="36" fillId="0" borderId="0" xfId="0" applyNumberFormat="1" applyFont="1" applyFill="1" applyBorder="1"/>
    <xf numFmtId="2" fontId="36" fillId="22" borderId="8" xfId="0" applyNumberFormat="1" applyFont="1" applyFill="1" applyBorder="1"/>
    <xf numFmtId="2" fontId="36" fillId="22" borderId="29" xfId="0" applyNumberFormat="1" applyFont="1" applyFill="1" applyBorder="1"/>
    <xf numFmtId="164" fontId="36" fillId="22" borderId="0" xfId="3" applyNumberFormat="1" applyFont="1" applyFill="1"/>
    <xf numFmtId="0" fontId="16" fillId="20" borderId="38" xfId="0" applyFont="1" applyFill="1" applyBorder="1" applyAlignment="1">
      <alignment horizontal="center" wrapText="1"/>
    </xf>
    <xf numFmtId="0" fontId="37" fillId="9" borderId="28" xfId="0" applyFont="1" applyFill="1" applyBorder="1"/>
    <xf numFmtId="165" fontId="36" fillId="16" borderId="40" xfId="0" applyNumberFormat="1" applyFont="1" applyFill="1" applyBorder="1"/>
    <xf numFmtId="10" fontId="36" fillId="22" borderId="0" xfId="3" applyNumberFormat="1" applyFont="1" applyFill="1"/>
    <xf numFmtId="0" fontId="36" fillId="22" borderId="0" xfId="0" applyFont="1" applyFill="1" applyAlignment="1">
      <alignment vertical="center"/>
    </xf>
    <xf numFmtId="1" fontId="36" fillId="24" borderId="0" xfId="0" applyNumberFormat="1" applyFont="1" applyFill="1"/>
    <xf numFmtId="168" fontId="36" fillId="24" borderId="0" xfId="0" applyNumberFormat="1" applyFont="1" applyFill="1"/>
    <xf numFmtId="0" fontId="37" fillId="16" borderId="0" xfId="0" applyNumberFormat="1" applyFont="1" applyFill="1" applyBorder="1" applyAlignment="1"/>
    <xf numFmtId="0" fontId="36" fillId="16" borderId="0" xfId="0" applyFont="1" applyFill="1" applyAlignment="1">
      <alignment vertical="center"/>
    </xf>
    <xf numFmtId="168" fontId="36" fillId="10" borderId="0" xfId="0" applyNumberFormat="1" applyFont="1" applyFill="1"/>
    <xf numFmtId="0" fontId="36" fillId="22" borderId="34" xfId="2" applyFont="1" applyFill="1" applyBorder="1"/>
    <xf numFmtId="0" fontId="36" fillId="22" borderId="0" xfId="2" applyFont="1" applyFill="1" applyBorder="1"/>
    <xf numFmtId="1" fontId="36" fillId="22" borderId="0" xfId="2" applyNumberFormat="1" applyFont="1" applyFill="1" applyBorder="1"/>
    <xf numFmtId="0" fontId="36" fillId="22" borderId="35" xfId="0" applyFont="1" applyFill="1" applyBorder="1"/>
    <xf numFmtId="0" fontId="36" fillId="22" borderId="32" xfId="2" applyFont="1" applyFill="1" applyBorder="1"/>
    <xf numFmtId="0" fontId="36" fillId="22" borderId="31" xfId="2" applyFont="1" applyFill="1" applyBorder="1"/>
    <xf numFmtId="1" fontId="36" fillId="22" borderId="31" xfId="2" applyNumberFormat="1" applyFont="1" applyFill="1" applyBorder="1"/>
    <xf numFmtId="0" fontId="36" fillId="22" borderId="33" xfId="0" applyFont="1" applyFill="1" applyBorder="1"/>
    <xf numFmtId="0" fontId="36" fillId="22" borderId="36" xfId="2" applyFont="1" applyFill="1" applyBorder="1"/>
    <xf numFmtId="0" fontId="36" fillId="22" borderId="2" xfId="2" applyFont="1" applyFill="1" applyBorder="1"/>
    <xf numFmtId="1" fontId="36" fillId="22" borderId="2" xfId="2" applyNumberFormat="1" applyFont="1" applyFill="1" applyBorder="1"/>
    <xf numFmtId="0" fontId="36" fillId="22" borderId="37" xfId="0" applyFont="1" applyFill="1" applyBorder="1"/>
    <xf numFmtId="0" fontId="37" fillId="23" borderId="32" xfId="2" applyFont="1" applyFill="1" applyBorder="1" applyAlignment="1">
      <alignment horizontal="right"/>
    </xf>
    <xf numFmtId="0" fontId="37" fillId="23" borderId="31" xfId="2" applyFont="1" applyFill="1" applyBorder="1" applyAlignment="1">
      <alignment horizontal="right"/>
    </xf>
    <xf numFmtId="0" fontId="37" fillId="23" borderId="33" xfId="2" applyFont="1" applyFill="1" applyBorder="1" applyAlignment="1">
      <alignment horizontal="right"/>
    </xf>
    <xf numFmtId="0" fontId="15" fillId="16" borderId="0" xfId="0" applyFont="1" applyFill="1"/>
    <xf numFmtId="169" fontId="36" fillId="16" borderId="0" xfId="0" applyNumberFormat="1" applyFont="1" applyFill="1" applyBorder="1" applyAlignment="1">
      <alignment horizontal="left"/>
    </xf>
    <xf numFmtId="38" fontId="54" fillId="0" borderId="0" xfId="0" applyNumberFormat="1" applyFont="1" applyAlignment="1"/>
    <xf numFmtId="38" fontId="55" fillId="16" borderId="0" xfId="0" applyNumberFormat="1" applyFont="1" applyFill="1" applyAlignment="1"/>
    <xf numFmtId="38" fontId="54" fillId="0" borderId="0" xfId="0" applyNumberFormat="1" applyFont="1" applyFill="1"/>
    <xf numFmtId="38" fontId="53" fillId="0" borderId="0" xfId="0" applyNumberFormat="1" applyFont="1" applyFill="1"/>
    <xf numFmtId="38" fontId="54" fillId="0" borderId="0" xfId="0" applyNumberFormat="1" applyFont="1" applyFill="1" applyBorder="1"/>
    <xf numFmtId="38" fontId="53" fillId="0" borderId="0" xfId="0" applyNumberFormat="1" applyFont="1" applyFill="1" applyBorder="1"/>
    <xf numFmtId="38" fontId="54" fillId="0" borderId="0" xfId="0" applyNumberFormat="1" applyFont="1"/>
    <xf numFmtId="38" fontId="56" fillId="16" borderId="0" xfId="0" applyNumberFormat="1" applyFont="1" applyFill="1"/>
    <xf numFmtId="38" fontId="57" fillId="16" borderId="0" xfId="0" applyNumberFormat="1" applyFont="1" applyFill="1"/>
    <xf numFmtId="38" fontId="0" fillId="0" borderId="0" xfId="0" applyNumberFormat="1"/>
    <xf numFmtId="171" fontId="53" fillId="0" borderId="0" xfId="3" applyNumberFormat="1" applyFont="1" applyFill="1" applyBorder="1" applyAlignment="1">
      <alignment horizontal="center"/>
    </xf>
    <xf numFmtId="38" fontId="53" fillId="0" borderId="0" xfId="0" applyNumberFormat="1" applyFont="1"/>
    <xf numFmtId="38" fontId="0" fillId="31" borderId="0" xfId="0" applyNumberFormat="1" applyFill="1"/>
    <xf numFmtId="38" fontId="54" fillId="0" borderId="0" xfId="0" applyNumberFormat="1" applyFont="1" applyFill="1"/>
    <xf numFmtId="38" fontId="53" fillId="0" borderId="0" xfId="0" applyNumberFormat="1" applyFont="1" applyFill="1"/>
    <xf numFmtId="38" fontId="53" fillId="0" borderId="0" xfId="0" applyNumberFormat="1" applyFont="1" applyBorder="1"/>
    <xf numFmtId="38" fontId="54" fillId="0" borderId="0" xfId="0" applyNumberFormat="1" applyFont="1" applyAlignment="1">
      <alignment horizontal="left"/>
    </xf>
    <xf numFmtId="38" fontId="53" fillId="0" borderId="0" xfId="0" applyNumberFormat="1" applyFont="1" applyFill="1" applyAlignment="1">
      <alignment horizontal="center"/>
    </xf>
    <xf numFmtId="38" fontId="54" fillId="0" borderId="0" xfId="0" applyNumberFormat="1" applyFont="1" applyFill="1" applyAlignment="1">
      <alignment horizontal="center"/>
    </xf>
    <xf numFmtId="38" fontId="53" fillId="0" borderId="0" xfId="0" applyNumberFormat="1" applyFont="1" applyFill="1" applyBorder="1"/>
    <xf numFmtId="38" fontId="56" fillId="16" borderId="0" xfId="0" applyNumberFormat="1" applyFont="1" applyFill="1" applyBorder="1"/>
    <xf numFmtId="38" fontId="57" fillId="16" borderId="0" xfId="0" applyNumberFormat="1" applyFont="1" applyFill="1" applyBorder="1"/>
    <xf numFmtId="164" fontId="63" fillId="22" borderId="0" xfId="0" applyNumberFormat="1" applyFont="1" applyFill="1" applyBorder="1" applyProtection="1"/>
    <xf numFmtId="164" fontId="43" fillId="22" borderId="0" xfId="0" applyNumberFormat="1" applyFont="1" applyFill="1" applyBorder="1" applyProtection="1"/>
    <xf numFmtId="0" fontId="60" fillId="0" borderId="0" xfId="0" applyFont="1" applyFill="1" applyBorder="1" applyAlignment="1" applyProtection="1">
      <alignment horizontal="left"/>
      <protection locked="0"/>
    </xf>
    <xf numFmtId="0" fontId="43" fillId="2" borderId="0" xfId="0" applyFont="1" applyFill="1" applyBorder="1" applyAlignment="1" applyProtection="1">
      <alignment horizontal="left" wrapText="1"/>
      <protection locked="0"/>
    </xf>
    <xf numFmtId="2" fontId="43" fillId="22" borderId="4" xfId="0" applyNumberFormat="1" applyFont="1" applyFill="1" applyBorder="1" applyAlignment="1" applyProtection="1">
      <alignment horizontal="right"/>
      <protection locked="0"/>
    </xf>
    <xf numFmtId="2" fontId="43" fillId="28" borderId="0" xfId="0" applyNumberFormat="1" applyFont="1" applyFill="1" applyBorder="1" applyAlignment="1" applyProtection="1">
      <alignment horizontal="right"/>
      <protection locked="0"/>
    </xf>
    <xf numFmtId="0" fontId="43" fillId="2" borderId="4" xfId="0" applyFont="1" applyFill="1" applyBorder="1" applyAlignment="1" applyProtection="1">
      <alignment horizontal="center"/>
      <protection locked="0"/>
    </xf>
    <xf numFmtId="0" fontId="43" fillId="0" borderId="0" xfId="0" applyFont="1" applyBorder="1" applyProtection="1">
      <protection locked="0"/>
    </xf>
    <xf numFmtId="166" fontId="43" fillId="0" borderId="0" xfId="0" applyNumberFormat="1" applyFont="1" applyBorder="1" applyProtection="1">
      <protection locked="0"/>
    </xf>
    <xf numFmtId="1" fontId="43" fillId="2" borderId="0" xfId="0" applyNumberFormat="1" applyFont="1" applyFill="1" applyBorder="1" applyProtection="1">
      <protection locked="0"/>
    </xf>
    <xf numFmtId="0" fontId="43" fillId="2" borderId="0" xfId="0" applyFont="1" applyFill="1" applyBorder="1" applyProtection="1">
      <protection locked="0"/>
    </xf>
    <xf numFmtId="0" fontId="43" fillId="22" borderId="4" xfId="0" applyFont="1" applyFill="1" applyBorder="1" applyAlignment="1" applyProtection="1">
      <alignment horizontal="center"/>
      <protection locked="0"/>
    </xf>
    <xf numFmtId="0" fontId="58" fillId="2" borderId="0" xfId="0" applyFont="1" applyFill="1" applyBorder="1" applyProtection="1">
      <protection locked="0"/>
    </xf>
    <xf numFmtId="43" fontId="43" fillId="0" borderId="0" xfId="1" applyFont="1" applyBorder="1" applyProtection="1">
      <protection locked="0"/>
    </xf>
    <xf numFmtId="0" fontId="43" fillId="28" borderId="0" xfId="0" applyFont="1" applyFill="1" applyBorder="1" applyAlignment="1" applyProtection="1">
      <alignment horizontal="center"/>
      <protection locked="0"/>
    </xf>
    <xf numFmtId="1" fontId="43" fillId="2" borderId="4" xfId="0" applyNumberFormat="1" applyFont="1" applyFill="1" applyBorder="1" applyAlignment="1" applyProtection="1">
      <alignment horizontal="left"/>
      <protection locked="0"/>
    </xf>
    <xf numFmtId="0" fontId="43" fillId="16" borderId="0" xfId="0" applyFont="1" applyFill="1" applyBorder="1" applyAlignment="1" applyProtection="1">
      <alignment horizontal="left"/>
      <protection locked="0"/>
    </xf>
    <xf numFmtId="0" fontId="43" fillId="2" borderId="4" xfId="0" applyFont="1" applyFill="1" applyBorder="1" applyProtection="1">
      <protection locked="0"/>
    </xf>
    <xf numFmtId="0" fontId="38" fillId="5" borderId="0" xfId="0" applyFont="1" applyFill="1" applyBorder="1" applyAlignment="1">
      <alignment horizontal="left"/>
    </xf>
    <xf numFmtId="173" fontId="43" fillId="0" borderId="0" xfId="0" applyNumberFormat="1" applyFont="1" applyBorder="1" applyProtection="1">
      <protection locked="0"/>
    </xf>
    <xf numFmtId="0" fontId="38" fillId="5" borderId="0" xfId="0" quotePrefix="1" applyFont="1" applyFill="1" applyBorder="1" applyAlignment="1" applyProtection="1">
      <alignment horizontal="left"/>
      <protection locked="0"/>
    </xf>
    <xf numFmtId="0" fontId="43" fillId="5" borderId="0" xfId="0" applyFont="1" applyFill="1" applyBorder="1" applyProtection="1">
      <protection locked="0"/>
    </xf>
    <xf numFmtId="164" fontId="63" fillId="2" borderId="0" xfId="0" applyNumberFormat="1" applyFont="1" applyFill="1" applyBorder="1" applyProtection="1"/>
    <xf numFmtId="164" fontId="43" fillId="4" borderId="0" xfId="0" applyNumberFormat="1" applyFont="1" applyFill="1" applyBorder="1" applyProtection="1"/>
    <xf numFmtId="0" fontId="58" fillId="0" borderId="0" xfId="0" applyFont="1" applyBorder="1" applyProtection="1">
      <protection locked="0"/>
    </xf>
    <xf numFmtId="0" fontId="43" fillId="2" borderId="0" xfId="0" applyFont="1" applyFill="1" applyBorder="1" applyAlignment="1" applyProtection="1">
      <alignment horizontal="left" vertical="center" wrapText="1"/>
      <protection locked="0"/>
    </xf>
    <xf numFmtId="0" fontId="60" fillId="2" borderId="0" xfId="0" applyFont="1" applyFill="1" applyBorder="1" applyAlignment="1" applyProtection="1">
      <alignment horizontal="left" vertical="center" wrapText="1"/>
      <protection locked="0"/>
    </xf>
    <xf numFmtId="2" fontId="43" fillId="2" borderId="4" xfId="0" applyNumberFormat="1" applyFont="1" applyFill="1" applyBorder="1" applyAlignment="1" applyProtection="1">
      <alignment horizontal="right"/>
      <protection locked="0"/>
    </xf>
    <xf numFmtId="2" fontId="43" fillId="13" borderId="0" xfId="0" applyNumberFormat="1" applyFont="1" applyFill="1" applyBorder="1" applyAlignment="1" applyProtection="1">
      <alignment horizontal="right"/>
      <protection locked="0"/>
    </xf>
    <xf numFmtId="0" fontId="43" fillId="22" borderId="4" xfId="0" applyFont="1" applyFill="1" applyBorder="1" applyAlignment="1" applyProtection="1">
      <alignment horizontal="center" wrapText="1"/>
      <protection locked="0"/>
    </xf>
    <xf numFmtId="0" fontId="43" fillId="0" borderId="0" xfId="0" applyFont="1" applyProtection="1">
      <protection locked="0"/>
    </xf>
    <xf numFmtId="166" fontId="43" fillId="2" borderId="0" xfId="0" applyNumberFormat="1" applyFont="1" applyFill="1" applyBorder="1" applyProtection="1">
      <protection locked="0"/>
    </xf>
    <xf numFmtId="0" fontId="43" fillId="2" borderId="4" xfId="0" applyFont="1" applyFill="1" applyBorder="1" applyAlignment="1" applyProtection="1">
      <alignment horizontal="left"/>
      <protection locked="0"/>
    </xf>
    <xf numFmtId="9" fontId="43" fillId="2" borderId="0" xfId="3" applyFont="1" applyFill="1" applyBorder="1" applyAlignment="1" applyProtection="1">
      <alignment horizontal="right"/>
      <protection locked="0"/>
    </xf>
    <xf numFmtId="2" fontId="43" fillId="0" borderId="0" xfId="0" applyNumberFormat="1" applyFont="1" applyBorder="1" applyProtection="1">
      <protection locked="0"/>
    </xf>
    <xf numFmtId="0" fontId="43" fillId="0" borderId="0" xfId="0" quotePrefix="1" applyFont="1"/>
    <xf numFmtId="0" fontId="62" fillId="2" borderId="0" xfId="0" applyNumberFormat="1" applyFont="1" applyFill="1" applyBorder="1" applyAlignment="1" applyProtection="1">
      <protection locked="0"/>
    </xf>
    <xf numFmtId="0" fontId="43" fillId="2" borderId="0" xfId="0" applyFont="1" applyFill="1" applyAlignment="1" applyProtection="1">
      <alignment horizontal="left"/>
      <protection locked="0"/>
    </xf>
    <xf numFmtId="0" fontId="43" fillId="2" borderId="0" xfId="0" applyFont="1" applyFill="1" applyBorder="1" applyAlignment="1" applyProtection="1">
      <alignment horizontal="left"/>
      <protection locked="0"/>
    </xf>
    <xf numFmtId="165" fontId="61" fillId="2" borderId="0" xfId="0" applyNumberFormat="1" applyFont="1" applyFill="1" applyBorder="1" applyAlignment="1" applyProtection="1">
      <alignment horizontal="right"/>
    </xf>
    <xf numFmtId="2" fontId="60" fillId="6" borderId="0" xfId="0" applyNumberFormat="1" applyFont="1" applyFill="1" applyBorder="1" applyProtection="1">
      <protection locked="0"/>
    </xf>
    <xf numFmtId="2" fontId="60" fillId="8" borderId="0" xfId="0" applyNumberFormat="1" applyFont="1" applyFill="1" applyBorder="1" applyProtection="1">
      <protection locked="0"/>
    </xf>
    <xf numFmtId="0" fontId="43" fillId="7" borderId="0" xfId="0" applyFont="1" applyFill="1" applyBorder="1" applyAlignment="1" applyProtection="1">
      <alignment horizontal="center"/>
      <protection locked="0"/>
    </xf>
    <xf numFmtId="0" fontId="38" fillId="5" borderId="0" xfId="0" applyFont="1" applyFill="1" applyBorder="1" applyProtection="1">
      <protection locked="0"/>
    </xf>
    <xf numFmtId="2" fontId="43" fillId="2" borderId="0" xfId="0" applyNumberFormat="1" applyFont="1" applyFill="1" applyBorder="1" applyAlignment="1" applyProtection="1">
      <alignment horizontal="right"/>
      <protection locked="0"/>
    </xf>
    <xf numFmtId="0" fontId="43" fillId="16" borderId="0" xfId="0" applyFont="1" applyFill="1" applyBorder="1" applyAlignment="1" applyProtection="1">
      <alignment horizontal="left" wrapText="1"/>
      <protection locked="0"/>
    </xf>
    <xf numFmtId="2" fontId="43" fillId="12" borderId="0" xfId="0" applyNumberFormat="1" applyFont="1" applyFill="1" applyBorder="1" applyAlignment="1" applyProtection="1">
      <alignment horizontal="right"/>
      <protection locked="0"/>
    </xf>
    <xf numFmtId="0" fontId="43" fillId="2" borderId="4" xfId="0" applyFont="1" applyFill="1" applyBorder="1" applyAlignment="1" applyProtection="1">
      <alignment vertical="center"/>
      <protection locked="0"/>
    </xf>
    <xf numFmtId="0" fontId="43" fillId="2" borderId="4" xfId="0" applyFont="1" applyFill="1" applyBorder="1" applyAlignment="1" applyProtection="1">
      <alignment horizontal="center" wrapText="1"/>
      <protection locked="0"/>
    </xf>
    <xf numFmtId="1" fontId="43" fillId="0" borderId="0" xfId="0" applyNumberFormat="1" applyFont="1" applyBorder="1" applyProtection="1">
      <protection locked="0"/>
    </xf>
    <xf numFmtId="0" fontId="59" fillId="5" borderId="0" xfId="0" applyFont="1" applyFill="1" applyBorder="1" applyProtection="1">
      <protection locked="0"/>
    </xf>
    <xf numFmtId="0" fontId="14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14" fillId="0" borderId="0" xfId="0" applyFont="1"/>
    <xf numFmtId="169" fontId="35" fillId="16" borderId="6" xfId="0" applyNumberFormat="1" applyFont="1" applyFill="1" applyBorder="1"/>
    <xf numFmtId="169" fontId="36" fillId="16" borderId="6" xfId="0" applyNumberFormat="1" applyFont="1" applyFill="1" applyBorder="1"/>
    <xf numFmtId="169" fontId="36" fillId="16" borderId="6" xfId="0" quotePrefix="1" applyNumberFormat="1" applyFont="1" applyFill="1" applyBorder="1" applyAlignment="1">
      <alignment horizontal="left"/>
    </xf>
    <xf numFmtId="9" fontId="36" fillId="16" borderId="0" xfId="3" applyFont="1" applyFill="1" applyBorder="1"/>
    <xf numFmtId="9" fontId="36" fillId="3" borderId="0" xfId="3" applyFont="1" applyFill="1"/>
    <xf numFmtId="2" fontId="22" fillId="6" borderId="0" xfId="0" applyNumberFormat="1" applyFont="1" applyFill="1" applyBorder="1" applyProtection="1">
      <protection locked="0"/>
    </xf>
    <xf numFmtId="164" fontId="36" fillId="0" borderId="0" xfId="0" applyNumberFormat="1" applyFont="1"/>
    <xf numFmtId="164" fontId="36" fillId="33" borderId="0" xfId="0" applyNumberFormat="1" applyFont="1" applyFill="1"/>
    <xf numFmtId="0" fontId="31" fillId="0" borderId="0" xfId="0" applyFont="1"/>
    <xf numFmtId="0" fontId="64" fillId="0" borderId="0" xfId="0" applyFont="1" applyFill="1" applyBorder="1" applyProtection="1">
      <protection locked="0"/>
    </xf>
    <xf numFmtId="0" fontId="67" fillId="34" borderId="0" xfId="4" applyFont="1" applyFill="1" applyBorder="1" applyAlignment="1">
      <alignment vertical="center"/>
    </xf>
    <xf numFmtId="0" fontId="66" fillId="34" borderId="0" xfId="4" applyFont="1" applyFill="1" applyBorder="1" applyAlignment="1">
      <alignment vertical="center"/>
    </xf>
    <xf numFmtId="0" fontId="37" fillId="34" borderId="0" xfId="4" applyFont="1" applyFill="1" applyBorder="1" applyAlignment="1">
      <alignment vertical="center"/>
    </xf>
    <xf numFmtId="0" fontId="68" fillId="34" borderId="0" xfId="4" applyFont="1" applyFill="1" applyBorder="1" applyAlignment="1">
      <alignment vertical="center"/>
    </xf>
    <xf numFmtId="0" fontId="69" fillId="16" borderId="0" xfId="0" applyFont="1" applyFill="1" applyBorder="1" applyAlignment="1">
      <alignment vertical="center"/>
    </xf>
    <xf numFmtId="0" fontId="36" fillId="34" borderId="0" xfId="4" applyFont="1" applyFill="1" applyBorder="1" applyAlignment="1">
      <alignment vertical="center"/>
    </xf>
    <xf numFmtId="0" fontId="70" fillId="34" borderId="0" xfId="4" applyFont="1" applyFill="1" applyBorder="1" applyAlignment="1">
      <alignment vertical="center"/>
    </xf>
    <xf numFmtId="0" fontId="34" fillId="31" borderId="0" xfId="0" applyFont="1" applyFill="1" applyAlignment="1">
      <alignment vertical="center"/>
    </xf>
    <xf numFmtId="0" fontId="40" fillId="16" borderId="0" xfId="0" applyFont="1" applyFill="1" applyAlignment="1">
      <alignment vertical="center"/>
    </xf>
    <xf numFmtId="0" fontId="40" fillId="34" borderId="0" xfId="0" applyFont="1" applyFill="1" applyAlignment="1">
      <alignment vertical="center"/>
    </xf>
    <xf numFmtId="0" fontId="32" fillId="0" borderId="0" xfId="0" applyFont="1" applyAlignment="1">
      <alignment horizontal="left" wrapText="1"/>
    </xf>
    <xf numFmtId="0" fontId="0" fillId="0" borderId="0" xfId="0" applyAlignment="1"/>
    <xf numFmtId="0" fontId="0" fillId="0" borderId="0" xfId="0"/>
    <xf numFmtId="0" fontId="65" fillId="35" borderId="1" xfId="0" applyFont="1" applyFill="1" applyBorder="1" applyAlignment="1">
      <alignment horizontal="left" wrapText="1"/>
    </xf>
    <xf numFmtId="0" fontId="65" fillId="35" borderId="1" xfId="0" applyFont="1" applyFill="1" applyBorder="1" applyAlignment="1"/>
    <xf numFmtId="0" fontId="32" fillId="0" borderId="1" xfId="0" applyFont="1" applyBorder="1" applyAlignment="1">
      <alignment horizontal="left" wrapText="1"/>
    </xf>
    <xf numFmtId="17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174" fontId="65" fillId="35" borderId="1" xfId="0" applyNumberFormat="1" applyFont="1" applyFill="1" applyBorder="1" applyAlignment="1"/>
    <xf numFmtId="0" fontId="32" fillId="0" borderId="1" xfId="0" applyFont="1" applyBorder="1" applyAlignment="1">
      <alignment horizontal="left" wrapText="1" indent="1"/>
    </xf>
    <xf numFmtId="9" fontId="0" fillId="0" borderId="1" xfId="0" applyNumberFormat="1" applyBorder="1" applyAlignment="1"/>
    <xf numFmtId="0" fontId="51" fillId="35" borderId="1" xfId="0" applyFont="1" applyFill="1" applyBorder="1" applyAlignment="1"/>
    <xf numFmtId="43" fontId="51" fillId="35" borderId="1" xfId="0" applyNumberFormat="1" applyFont="1" applyFill="1" applyBorder="1" applyAlignment="1"/>
    <xf numFmtId="165" fontId="0" fillId="0" borderId="1" xfId="0" applyNumberFormat="1" applyBorder="1" applyAlignment="1"/>
    <xf numFmtId="0" fontId="65" fillId="35" borderId="1" xfId="0" applyFont="1" applyFill="1" applyBorder="1" applyAlignment="1">
      <alignment horizontal="left" wrapText="1" indent="1"/>
    </xf>
    <xf numFmtId="0" fontId="51" fillId="35" borderId="1" xfId="0" applyFont="1" applyFill="1" applyBorder="1" applyAlignment="1">
      <alignment horizontal="left" wrapText="1"/>
    </xf>
    <xf numFmtId="0" fontId="51" fillId="35" borderId="0" xfId="0" applyFont="1" applyFill="1"/>
    <xf numFmtId="9" fontId="32" fillId="0" borderId="1" xfId="0" applyNumberFormat="1" applyFont="1" applyBorder="1" applyAlignment="1">
      <alignment horizontal="left" wrapText="1"/>
    </xf>
    <xf numFmtId="0" fontId="0" fillId="16" borderId="0" xfId="0" applyFill="1"/>
    <xf numFmtId="0" fontId="0" fillId="16" borderId="32" xfId="0" applyFill="1" applyBorder="1"/>
    <xf numFmtId="0" fontId="0" fillId="16" borderId="31" xfId="0" applyFill="1" applyBorder="1"/>
    <xf numFmtId="0" fontId="0" fillId="16" borderId="33" xfId="0" applyFill="1" applyBorder="1"/>
    <xf numFmtId="0" fontId="0" fillId="16" borderId="34" xfId="0" applyFill="1" applyBorder="1"/>
    <xf numFmtId="0" fontId="0" fillId="16" borderId="0" xfId="0" applyFill="1" applyBorder="1"/>
    <xf numFmtId="0" fontId="0" fillId="16" borderId="35" xfId="0" applyFill="1" applyBorder="1"/>
    <xf numFmtId="0" fontId="71" fillId="16" borderId="34" xfId="0" applyFont="1" applyFill="1" applyBorder="1" applyAlignment="1">
      <alignment horizontal="left" vertical="center" indent="2"/>
    </xf>
    <xf numFmtId="0" fontId="72" fillId="16" borderId="0" xfId="0" applyFont="1" applyFill="1"/>
    <xf numFmtId="0" fontId="0" fillId="16" borderId="36" xfId="0" applyFill="1" applyBorder="1"/>
    <xf numFmtId="0" fontId="0" fillId="16" borderId="2" xfId="0" applyFill="1" applyBorder="1"/>
    <xf numFmtId="0" fontId="0" fillId="16" borderId="37" xfId="0" applyFill="1" applyBorder="1"/>
    <xf numFmtId="0" fontId="74" fillId="0" borderId="0" xfId="0" applyFont="1"/>
    <xf numFmtId="0" fontId="73" fillId="0" borderId="0" xfId="0" applyFont="1" applyAlignment="1"/>
    <xf numFmtId="0" fontId="75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3" fontId="74" fillId="0" borderId="0" xfId="0" applyNumberFormat="1" applyFont="1"/>
    <xf numFmtId="3" fontId="73" fillId="0" borderId="0" xfId="0" applyNumberFormat="1" applyFont="1"/>
    <xf numFmtId="0" fontId="73" fillId="0" borderId="0" xfId="0" applyFont="1" applyAlignment="1">
      <alignment horizontal="left"/>
    </xf>
    <xf numFmtId="0" fontId="74" fillId="0" borderId="0" xfId="0" applyFont="1" applyAlignment="1">
      <alignment horizontal="left"/>
    </xf>
    <xf numFmtId="0" fontId="43" fillId="0" borderId="0" xfId="0" applyFont="1" applyFill="1" applyBorder="1" applyProtection="1">
      <protection locked="0"/>
    </xf>
    <xf numFmtId="1" fontId="43" fillId="24" borderId="0" xfId="0" applyNumberFormat="1" applyFont="1" applyFill="1" applyBorder="1" applyProtection="1">
      <protection locked="0"/>
    </xf>
    <xf numFmtId="1" fontId="43" fillId="22" borderId="0" xfId="0" applyNumberFormat="1" applyFont="1" applyFill="1" applyBorder="1" applyProtection="1">
      <protection locked="0"/>
    </xf>
    <xf numFmtId="171" fontId="43" fillId="24" borderId="0" xfId="3" applyNumberFormat="1" applyFont="1" applyFill="1" applyBorder="1" applyProtection="1">
      <protection locked="0"/>
    </xf>
    <xf numFmtId="0" fontId="37" fillId="23" borderId="8" xfId="2" applyFont="1" applyFill="1" applyBorder="1" applyAlignment="1">
      <alignment horizontal="right"/>
    </xf>
    <xf numFmtId="9" fontId="37" fillId="0" borderId="0" xfId="3" applyNumberFormat="1" applyFont="1"/>
    <xf numFmtId="0" fontId="66" fillId="0" borderId="0" xfId="4" applyFill="1"/>
    <xf numFmtId="0" fontId="34" fillId="0" borderId="0" xfId="0" applyFont="1" applyFill="1" applyBorder="1"/>
    <xf numFmtId="0" fontId="65" fillId="0" borderId="0" xfId="0" applyFont="1" applyFill="1" applyBorder="1" applyAlignment="1"/>
    <xf numFmtId="171" fontId="43" fillId="0" borderId="0" xfId="3" applyNumberFormat="1" applyFont="1" applyFill="1" applyBorder="1" applyProtection="1">
      <protection locked="0"/>
    </xf>
    <xf numFmtId="9" fontId="36" fillId="24" borderId="30" xfId="3" applyFont="1" applyFill="1" applyBorder="1"/>
    <xf numFmtId="0" fontId="36" fillId="0" borderId="8" xfId="2" applyFont="1" applyFill="1" applyBorder="1"/>
    <xf numFmtId="0" fontId="36" fillId="0" borderId="29" xfId="2" applyFont="1" applyFill="1" applyBorder="1"/>
    <xf numFmtId="165" fontId="43" fillId="0" borderId="0" xfId="0" applyNumberFormat="1" applyFont="1" applyBorder="1" applyProtection="1">
      <protection locked="0"/>
    </xf>
    <xf numFmtId="1" fontId="0" fillId="0" borderId="1" xfId="0" applyNumberFormat="1" applyBorder="1" applyAlignment="1"/>
    <xf numFmtId="0" fontId="0" fillId="0" borderId="0" xfId="0"/>
    <xf numFmtId="0" fontId="0" fillId="0" borderId="0" xfId="0" applyBorder="1"/>
    <xf numFmtId="0" fontId="32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32" fillId="0" borderId="1" xfId="0" applyFont="1" applyBorder="1"/>
    <xf numFmtId="165" fontId="0" fillId="0" borderId="0" xfId="0" applyNumberFormat="1"/>
    <xf numFmtId="1" fontId="0" fillId="0" borderId="0" xfId="0" applyNumberFormat="1"/>
    <xf numFmtId="0" fontId="0" fillId="15" borderId="1" xfId="0" applyFont="1" applyFill="1" applyBorder="1"/>
    <xf numFmtId="3" fontId="0" fillId="0" borderId="0" xfId="0" applyNumberFormat="1"/>
    <xf numFmtId="9" fontId="12" fillId="0" borderId="0" xfId="3" applyFont="1"/>
    <xf numFmtId="1" fontId="43" fillId="0" borderId="0" xfId="0" applyNumberFormat="1" applyFont="1" applyFill="1" applyBorder="1" applyProtection="1">
      <protection locked="0"/>
    </xf>
    <xf numFmtId="9" fontId="43" fillId="0" borderId="0" xfId="3" applyFont="1" applyFill="1" applyBorder="1" applyAlignment="1" applyProtection="1">
      <alignment horizontal="right"/>
      <protection locked="0"/>
    </xf>
    <xf numFmtId="9" fontId="43" fillId="2" borderId="4" xfId="3" applyFont="1" applyFill="1" applyBorder="1" applyProtection="1">
      <protection locked="0"/>
    </xf>
    <xf numFmtId="171" fontId="43" fillId="22" borderId="0" xfId="3" applyNumberFormat="1" applyFont="1" applyFill="1" applyBorder="1" applyProtection="1">
      <protection locked="0"/>
    </xf>
    <xf numFmtId="1" fontId="43" fillId="2" borderId="4" xfId="0" applyNumberFormat="1" applyFont="1" applyFill="1" applyBorder="1" applyProtection="1">
      <protection locked="0"/>
    </xf>
    <xf numFmtId="10" fontId="43" fillId="0" borderId="0" xfId="0" applyNumberFormat="1" applyFont="1" applyFill="1" applyBorder="1" applyProtection="1">
      <protection locked="0"/>
    </xf>
    <xf numFmtId="1" fontId="37" fillId="3" borderId="0" xfId="0" applyNumberFormat="1" applyFont="1" applyFill="1"/>
    <xf numFmtId="0" fontId="37" fillId="0" borderId="82" xfId="0" applyFont="1" applyBorder="1"/>
    <xf numFmtId="0" fontId="37" fillId="0" borderId="18" xfId="0" applyFont="1" applyBorder="1"/>
    <xf numFmtId="0" fontId="36" fillId="0" borderId="34" xfId="0" applyFont="1" applyBorder="1"/>
    <xf numFmtId="0" fontId="36" fillId="0" borderId="41" xfId="0" applyFont="1" applyBorder="1"/>
    <xf numFmtId="0" fontId="78" fillId="0" borderId="0" xfId="0" applyFont="1"/>
    <xf numFmtId="0" fontId="79" fillId="0" borderId="0" xfId="0" applyFont="1"/>
    <xf numFmtId="0" fontId="79" fillId="0" borderId="0" xfId="0" quotePrefix="1" applyFont="1" applyAlignment="1">
      <alignment horizontal="left"/>
    </xf>
    <xf numFmtId="0" fontId="80" fillId="5" borderId="0" xfId="0" applyFont="1" applyFill="1" applyAlignment="1">
      <alignment horizontal="left"/>
    </xf>
    <xf numFmtId="0" fontId="81" fillId="5" borderId="0" xfId="0" applyFont="1" applyFill="1"/>
    <xf numFmtId="0" fontId="79" fillId="0" borderId="0" xfId="0" applyFont="1" applyFill="1"/>
    <xf numFmtId="0" fontId="82" fillId="17" borderId="4" xfId="0" applyFont="1" applyFill="1" applyBorder="1"/>
    <xf numFmtId="0" fontId="82" fillId="25" borderId="4" xfId="0" applyFont="1" applyFill="1" applyBorder="1"/>
    <xf numFmtId="0" fontId="82" fillId="26" borderId="4" xfId="0" applyFont="1" applyFill="1" applyBorder="1"/>
    <xf numFmtId="0" fontId="82" fillId="27" borderId="4" xfId="0" applyFont="1" applyFill="1" applyBorder="1"/>
    <xf numFmtId="0" fontId="78" fillId="20" borderId="4" xfId="0" applyFont="1" applyFill="1" applyBorder="1" applyAlignment="1">
      <alignment vertical="center"/>
    </xf>
    <xf numFmtId="0" fontId="78" fillId="20" borderId="4" xfId="0" applyFont="1" applyFill="1" applyBorder="1" applyAlignment="1">
      <alignment vertical="center" wrapText="1"/>
    </xf>
    <xf numFmtId="0" fontId="78" fillId="16" borderId="0" xfId="0" applyFont="1" applyFill="1" applyAlignment="1">
      <alignment wrapText="1"/>
    </xf>
    <xf numFmtId="0" fontId="78" fillId="16" borderId="0" xfId="0" applyFont="1" applyFill="1"/>
    <xf numFmtId="0" fontId="78" fillId="16" borderId="0" xfId="0" applyFont="1" applyFill="1" applyBorder="1"/>
    <xf numFmtId="2" fontId="78" fillId="16" borderId="0" xfId="0" applyNumberFormat="1" applyFont="1" applyFill="1"/>
    <xf numFmtId="0" fontId="78" fillId="16" borderId="3" xfId="0" applyFont="1" applyFill="1" applyBorder="1" applyAlignment="1">
      <alignment wrapText="1"/>
    </xf>
    <xf numFmtId="0" fontId="78" fillId="16" borderId="3" xfId="0" applyFont="1" applyFill="1" applyBorder="1"/>
    <xf numFmtId="2" fontId="78" fillId="16" borderId="3" xfId="0" applyNumberFormat="1" applyFont="1" applyFill="1" applyBorder="1"/>
    <xf numFmtId="0" fontId="78" fillId="16" borderId="5" xfId="0" applyFont="1" applyFill="1" applyBorder="1"/>
    <xf numFmtId="0" fontId="78" fillId="16" borderId="6" xfId="0" applyFont="1" applyFill="1" applyBorder="1" applyAlignment="1">
      <alignment wrapText="1"/>
    </xf>
    <xf numFmtId="0" fontId="78" fillId="16" borderId="6" xfId="0" applyFont="1" applyFill="1" applyBorder="1"/>
    <xf numFmtId="2" fontId="78" fillId="16" borderId="6" xfId="0" applyNumberFormat="1" applyFont="1" applyFill="1" applyBorder="1"/>
    <xf numFmtId="164" fontId="78" fillId="16" borderId="6" xfId="0" applyNumberFormat="1" applyFont="1" applyFill="1" applyBorder="1"/>
    <xf numFmtId="0" fontId="78" fillId="0" borderId="0" xfId="0" applyFont="1" applyFill="1"/>
    <xf numFmtId="2" fontId="78" fillId="16" borderId="5" xfId="0" applyNumberFormat="1" applyFont="1" applyFill="1" applyBorder="1"/>
    <xf numFmtId="1" fontId="78" fillId="16" borderId="5" xfId="0" applyNumberFormat="1" applyFont="1" applyFill="1" applyBorder="1"/>
    <xf numFmtId="0" fontId="78" fillId="16" borderId="3" xfId="0" quotePrefix="1" applyFont="1" applyFill="1" applyBorder="1" applyAlignment="1">
      <alignment horizontal="left" wrapText="1"/>
    </xf>
    <xf numFmtId="0" fontId="78" fillId="0" borderId="0" xfId="0" quotePrefix="1" applyFont="1" applyFill="1"/>
    <xf numFmtId="4" fontId="78" fillId="0" borderId="0" xfId="0" applyNumberFormat="1" applyFont="1" applyFill="1"/>
    <xf numFmtId="0" fontId="78" fillId="0" borderId="0" xfId="0" applyFont="1" applyFill="1" applyAlignment="1">
      <alignment wrapText="1"/>
    </xf>
    <xf numFmtId="2" fontId="78" fillId="0" borderId="0" xfId="0" applyNumberFormat="1" applyFont="1" applyFill="1"/>
    <xf numFmtId="1" fontId="78" fillId="16" borderId="0" xfId="0" applyNumberFormat="1" applyFont="1" applyFill="1"/>
    <xf numFmtId="0" fontId="78" fillId="16" borderId="31" xfId="0" applyFont="1" applyFill="1" applyBorder="1"/>
    <xf numFmtId="0" fontId="78" fillId="0" borderId="0" xfId="0" applyFont="1" applyFill="1" applyProtection="1">
      <protection locked="0"/>
    </xf>
    <xf numFmtId="2" fontId="78" fillId="16" borderId="0" xfId="0" applyNumberFormat="1" applyFont="1" applyFill="1" applyBorder="1"/>
    <xf numFmtId="0" fontId="79" fillId="16" borderId="0" xfId="0" applyFont="1" applyFill="1" applyBorder="1"/>
    <xf numFmtId="0" fontId="78" fillId="16" borderId="0" xfId="0" applyFont="1" applyFill="1" applyBorder="1" applyAlignment="1">
      <alignment wrapText="1"/>
    </xf>
    <xf numFmtId="0" fontId="83" fillId="0" borderId="0" xfId="0" applyFont="1"/>
    <xf numFmtId="0" fontId="84" fillId="0" borderId="0" xfId="0" applyFont="1"/>
    <xf numFmtId="0" fontId="78" fillId="32" borderId="0" xfId="0" applyFont="1" applyFill="1"/>
    <xf numFmtId="0" fontId="78" fillId="32" borderId="0" xfId="0" quotePrefix="1" applyFont="1" applyFill="1" applyAlignment="1">
      <alignment horizontal="left"/>
    </xf>
    <xf numFmtId="1" fontId="78" fillId="32" borderId="0" xfId="0" applyNumberFormat="1" applyFont="1" applyFill="1"/>
    <xf numFmtId="2" fontId="78" fillId="32" borderId="0" xfId="0" applyNumberFormat="1" applyFont="1" applyFill="1"/>
    <xf numFmtId="0" fontId="85" fillId="32" borderId="0" xfId="0" quotePrefix="1" applyFont="1" applyFill="1" applyAlignment="1">
      <alignment horizontal="right"/>
    </xf>
    <xf numFmtId="0" fontId="85" fillId="32" borderId="0" xfId="0" applyFont="1" applyFill="1"/>
    <xf numFmtId="0" fontId="86" fillId="37" borderId="7" xfId="0" applyFont="1" applyFill="1" applyBorder="1" applyAlignment="1">
      <alignment vertical="center"/>
    </xf>
    <xf numFmtId="0" fontId="86" fillId="37" borderId="146" xfId="0" applyFont="1" applyFill="1" applyBorder="1" applyAlignment="1">
      <alignment vertical="center"/>
    </xf>
    <xf numFmtId="0" fontId="37" fillId="0" borderId="7" xfId="0" applyFont="1" applyFill="1" applyBorder="1" applyAlignment="1">
      <alignment vertical="center"/>
    </xf>
    <xf numFmtId="0" fontId="37" fillId="0" borderId="146" xfId="0" applyFont="1" applyFill="1" applyBorder="1" applyAlignment="1">
      <alignment vertical="center"/>
    </xf>
    <xf numFmtId="0" fontId="11" fillId="0" borderId="0" xfId="0" applyFont="1"/>
    <xf numFmtId="0" fontId="43" fillId="0" borderId="147" xfId="0" applyFont="1" applyFill="1" applyBorder="1" applyAlignment="1">
      <alignment vertical="center"/>
    </xf>
    <xf numFmtId="0" fontId="43" fillId="0" borderId="106" xfId="0" applyFont="1" applyFill="1" applyBorder="1" applyAlignment="1">
      <alignment vertical="center"/>
    </xf>
    <xf numFmtId="0" fontId="43" fillId="0" borderId="149" xfId="0" applyFont="1" applyFill="1" applyBorder="1" applyAlignment="1">
      <alignment vertical="center"/>
    </xf>
    <xf numFmtId="0" fontId="11" fillId="0" borderId="0" xfId="0" applyFont="1" applyBorder="1"/>
    <xf numFmtId="0" fontId="86" fillId="36" borderId="7" xfId="0" applyFont="1" applyFill="1" applyBorder="1" applyAlignment="1">
      <alignment vertical="center"/>
    </xf>
    <xf numFmtId="0" fontId="86" fillId="36" borderId="146" xfId="0" applyFont="1" applyFill="1" applyBorder="1" applyAlignment="1">
      <alignment vertical="center"/>
    </xf>
    <xf numFmtId="0" fontId="11" fillId="0" borderId="150" xfId="0" applyFont="1" applyBorder="1"/>
    <xf numFmtId="0" fontId="11" fillId="0" borderId="151" xfId="0" applyFont="1" applyBorder="1"/>
    <xf numFmtId="0" fontId="86" fillId="36" borderId="148" xfId="0" applyFont="1" applyFill="1" applyBorder="1" applyAlignment="1">
      <alignment vertical="center"/>
    </xf>
    <xf numFmtId="0" fontId="86" fillId="36" borderId="150" xfId="0" applyFont="1" applyFill="1" applyBorder="1" applyAlignment="1">
      <alignment vertical="center"/>
    </xf>
    <xf numFmtId="0" fontId="11" fillId="0" borderId="117" xfId="0" applyFont="1" applyBorder="1"/>
    <xf numFmtId="0" fontId="11" fillId="0" borderId="151" xfId="0" applyFont="1" applyBorder="1" applyAlignment="1">
      <alignment horizontal="left"/>
    </xf>
    <xf numFmtId="0" fontId="32" fillId="0" borderId="147" xfId="0" applyFont="1" applyBorder="1"/>
    <xf numFmtId="0" fontId="32" fillId="0" borderId="106" xfId="0" applyFont="1" applyBorder="1"/>
    <xf numFmtId="0" fontId="32" fillId="0" borderId="149" xfId="0" applyFont="1" applyBorder="1"/>
    <xf numFmtId="0" fontId="11" fillId="37" borderId="147" xfId="0" applyFont="1" applyFill="1" applyBorder="1"/>
    <xf numFmtId="0" fontId="34" fillId="36" borderId="149" xfId="0" applyFont="1" applyFill="1" applyBorder="1"/>
    <xf numFmtId="0" fontId="36" fillId="22" borderId="147" xfId="0" applyFont="1" applyFill="1" applyBorder="1" applyAlignment="1">
      <alignment horizontal="left"/>
    </xf>
    <xf numFmtId="168" fontId="36" fillId="24" borderId="149" xfId="0" applyNumberFormat="1" applyFont="1" applyFill="1" applyBorder="1"/>
    <xf numFmtId="0" fontId="11" fillId="16" borderId="0" xfId="0" applyFont="1" applyFill="1" applyAlignment="1">
      <alignment vertical="center"/>
    </xf>
    <xf numFmtId="0" fontId="11" fillId="34" borderId="0" xfId="0" applyFont="1" applyFill="1" applyAlignment="1">
      <alignment vertical="center"/>
    </xf>
    <xf numFmtId="0" fontId="11" fillId="31" borderId="0" xfId="0" applyFont="1" applyFill="1" applyAlignment="1">
      <alignment vertical="center"/>
    </xf>
    <xf numFmtId="0" fontId="88" fillId="0" borderId="0" xfId="0" applyFont="1"/>
    <xf numFmtId="9" fontId="88" fillId="0" borderId="0" xfId="0" applyNumberFormat="1" applyFont="1"/>
    <xf numFmtId="0" fontId="9" fillId="16" borderId="0" xfId="0" applyFont="1" applyFill="1"/>
    <xf numFmtId="0" fontId="9" fillId="16" borderId="0" xfId="0" applyFont="1" applyFill="1" applyBorder="1"/>
    <xf numFmtId="0" fontId="10" fillId="16" borderId="0" xfId="0" applyFont="1" applyFill="1" applyBorder="1"/>
    <xf numFmtId="0" fontId="15" fillId="16" borderId="0" xfId="0" applyFont="1" applyFill="1" applyBorder="1"/>
    <xf numFmtId="0" fontId="36" fillId="16" borderId="0" xfId="0" quotePrefix="1" applyFont="1" applyFill="1" applyBorder="1" applyAlignment="1">
      <alignment horizontal="left" wrapText="1"/>
    </xf>
    <xf numFmtId="0" fontId="15" fillId="16" borderId="5" xfId="0" applyFont="1" applyFill="1" applyBorder="1"/>
    <xf numFmtId="0" fontId="9" fillId="16" borderId="5" xfId="0" applyFont="1" applyFill="1" applyBorder="1"/>
    <xf numFmtId="38" fontId="54" fillId="0" borderId="0" xfId="0" applyNumberFormat="1" applyFont="1" applyAlignment="1">
      <alignment horizontal="left"/>
    </xf>
    <xf numFmtId="38" fontId="54" fillId="38" borderId="0" xfId="0" applyNumberFormat="1" applyFont="1" applyFill="1" applyAlignment="1">
      <alignment horizontal="left"/>
    </xf>
    <xf numFmtId="0" fontId="8" fillId="25" borderId="4" xfId="0" applyFont="1" applyFill="1" applyBorder="1"/>
    <xf numFmtId="0" fontId="36" fillId="0" borderId="36" xfId="0" applyFont="1" applyBorder="1"/>
    <xf numFmtId="0" fontId="36" fillId="0" borderId="145" xfId="0" applyFont="1" applyBorder="1"/>
    <xf numFmtId="9" fontId="13" fillId="0" borderId="0" xfId="3" applyFont="1"/>
    <xf numFmtId="174" fontId="0" fillId="0" borderId="0" xfId="0" applyNumberFormat="1"/>
    <xf numFmtId="3" fontId="0" fillId="0" borderId="1" xfId="0" applyNumberFormat="1" applyBorder="1" applyAlignment="1"/>
    <xf numFmtId="0" fontId="36" fillId="0" borderId="1" xfId="0" applyFont="1" applyBorder="1"/>
    <xf numFmtId="0" fontId="7" fillId="0" borderId="1" xfId="0" applyFont="1" applyBorder="1"/>
    <xf numFmtId="9" fontId="12" fillId="0" borderId="1" xfId="3" applyFont="1" applyBorder="1"/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66" fillId="0" borderId="0" xfId="4"/>
    <xf numFmtId="0" fontId="7" fillId="0" borderId="0" xfId="0" applyFont="1"/>
    <xf numFmtId="0" fontId="73" fillId="0" borderId="156" xfId="0" applyFont="1" applyBorder="1" applyAlignment="1">
      <alignment horizontal="left" vertical="center"/>
    </xf>
    <xf numFmtId="0" fontId="73" fillId="0" borderId="156" xfId="0" applyFont="1" applyBorder="1" applyAlignment="1">
      <alignment horizontal="right" wrapText="1"/>
    </xf>
    <xf numFmtId="3" fontId="74" fillId="0" borderId="0" xfId="0" applyNumberFormat="1" applyFont="1"/>
    <xf numFmtId="3" fontId="73" fillId="0" borderId="0" xfId="0" applyNumberFormat="1" applyFont="1"/>
    <xf numFmtId="2" fontId="73" fillId="0" borderId="0" xfId="0" applyNumberFormat="1" applyFont="1" applyAlignment="1">
      <alignment horizontal="left"/>
    </xf>
    <xf numFmtId="3" fontId="74" fillId="0" borderId="0" xfId="0" applyNumberFormat="1" applyFont="1" applyAlignment="1">
      <alignment horizontal="right"/>
    </xf>
    <xf numFmtId="0" fontId="73" fillId="0" borderId="5" xfId="0" applyFont="1" applyBorder="1" applyAlignment="1">
      <alignment horizontal="left"/>
    </xf>
    <xf numFmtId="3" fontId="73" fillId="0" borderId="5" xfId="0" applyNumberFormat="1" applyFont="1" applyBorder="1"/>
    <xf numFmtId="2" fontId="99" fillId="6" borderId="0" xfId="0" applyNumberFormat="1" applyFont="1" applyFill="1" applyBorder="1" applyProtection="1">
      <protection locked="0"/>
    </xf>
    <xf numFmtId="2" fontId="100" fillId="6" borderId="0" xfId="0" applyNumberFormat="1" applyFont="1" applyFill="1" applyBorder="1" applyProtection="1">
      <protection locked="0"/>
    </xf>
    <xf numFmtId="2" fontId="99" fillId="8" borderId="0" xfId="0" applyNumberFormat="1" applyFont="1" applyFill="1" applyBorder="1" applyProtection="1">
      <protection locked="0"/>
    </xf>
    <xf numFmtId="2" fontId="78" fillId="16" borderId="156" xfId="0" applyNumberFormat="1" applyFont="1" applyFill="1" applyBorder="1"/>
    <xf numFmtId="0" fontId="6" fillId="25" borderId="4" xfId="0" applyFont="1" applyFill="1" applyBorder="1"/>
    <xf numFmtId="1" fontId="78" fillId="16" borderId="153" xfId="0" applyNumberFormat="1" applyFont="1" applyFill="1" applyBorder="1"/>
    <xf numFmtId="0" fontId="36" fillId="20" borderId="4" xfId="0" applyFont="1" applyFill="1" applyBorder="1" applyAlignment="1">
      <alignment vertical="center"/>
    </xf>
    <xf numFmtId="1" fontId="36" fillId="16" borderId="0" xfId="0" applyNumberFormat="1" applyFont="1" applyFill="1"/>
    <xf numFmtId="0" fontId="32" fillId="63" borderId="5" xfId="0" applyFont="1" applyFill="1" applyBorder="1" applyAlignment="1">
      <alignment horizontal="left" vertical="center"/>
    </xf>
    <xf numFmtId="0" fontId="32" fillId="63" borderId="5" xfId="0" applyFont="1" applyFill="1" applyBorder="1" applyAlignment="1" applyProtection="1">
      <alignment horizontal="left" vertical="center"/>
      <protection locked="0"/>
    </xf>
    <xf numFmtId="0" fontId="32" fillId="19" borderId="4" xfId="0" applyFont="1" applyFill="1" applyBorder="1"/>
    <xf numFmtId="0" fontId="0" fillId="0" borderId="149" xfId="0" applyBorder="1"/>
    <xf numFmtId="0" fontId="0" fillId="0" borderId="152" xfId="0" applyBorder="1"/>
    <xf numFmtId="0" fontId="0" fillId="0" borderId="106" xfId="0" applyBorder="1"/>
    <xf numFmtId="0" fontId="5" fillId="19" borderId="4" xfId="0" applyFont="1" applyFill="1" applyBorder="1"/>
    <xf numFmtId="169" fontId="36" fillId="16" borderId="153" xfId="0" applyNumberFormat="1" applyFont="1" applyFill="1" applyBorder="1"/>
    <xf numFmtId="169" fontId="36" fillId="0" borderId="0" xfId="0" applyNumberFormat="1" applyFont="1"/>
    <xf numFmtId="169" fontId="36" fillId="0" borderId="156" xfId="0" applyNumberFormat="1" applyFont="1" applyBorder="1"/>
    <xf numFmtId="0" fontId="36" fillId="16" borderId="156" xfId="0" applyFont="1" applyFill="1" applyBorder="1"/>
    <xf numFmtId="0" fontId="4" fillId="19" borderId="4" xfId="0" applyFont="1" applyFill="1" applyBorder="1"/>
    <xf numFmtId="0" fontId="3" fillId="17" borderId="4" xfId="0" applyFont="1" applyFill="1" applyBorder="1"/>
    <xf numFmtId="1" fontId="36" fillId="16" borderId="0" xfId="0" applyNumberFormat="1" applyFont="1" applyFill="1" applyBorder="1"/>
    <xf numFmtId="0" fontId="2" fillId="16" borderId="0" xfId="0" applyFont="1" applyFill="1"/>
    <xf numFmtId="0" fontId="36" fillId="16" borderId="3" xfId="0" applyFont="1" applyFill="1" applyBorder="1" applyAlignment="1">
      <alignment wrapText="1"/>
    </xf>
    <xf numFmtId="38" fontId="52" fillId="0" borderId="0" xfId="0" applyNumberFormat="1" applyFont="1" applyAlignment="1">
      <alignment horizontal="left" wrapText="1"/>
    </xf>
    <xf numFmtId="38" fontId="53" fillId="0" borderId="41" xfId="0" applyNumberFormat="1" applyFont="1" applyBorder="1" applyAlignment="1">
      <alignment horizontal="center" wrapText="1"/>
    </xf>
    <xf numFmtId="38" fontId="53" fillId="0" borderId="42" xfId="0" applyNumberFormat="1" applyFont="1" applyBorder="1" applyAlignment="1">
      <alignment horizontal="center" textRotation="90" wrapText="1"/>
    </xf>
    <xf numFmtId="38" fontId="53" fillId="0" borderId="43" xfId="0" applyNumberFormat="1" applyFont="1" applyBorder="1" applyAlignment="1">
      <alignment horizontal="center" textRotation="90" wrapText="1"/>
    </xf>
    <xf numFmtId="38" fontId="53" fillId="0" borderId="44" xfId="0" applyNumberFormat="1" applyFont="1" applyBorder="1" applyAlignment="1">
      <alignment horizontal="center" textRotation="90" wrapText="1"/>
    </xf>
    <xf numFmtId="38" fontId="53" fillId="0" borderId="45" xfId="0" applyNumberFormat="1" applyFont="1" applyBorder="1" applyAlignment="1">
      <alignment horizontal="center" textRotation="90" wrapText="1"/>
    </xf>
    <xf numFmtId="38" fontId="53" fillId="0" borderId="46" xfId="0" applyNumberFormat="1" applyFont="1" applyBorder="1" applyAlignment="1">
      <alignment horizontal="center" textRotation="90" wrapText="1"/>
    </xf>
    <xf numFmtId="38" fontId="53" fillId="0" borderId="2" xfId="0" applyNumberFormat="1" applyFont="1" applyBorder="1" applyAlignment="1">
      <alignment horizontal="center" textRotation="90" wrapText="1"/>
    </xf>
    <xf numFmtId="38" fontId="53" fillId="0" borderId="47" xfId="0" applyNumberFormat="1" applyFont="1" applyBorder="1" applyAlignment="1">
      <alignment horizontal="center" textRotation="90" wrapText="1"/>
    </xf>
    <xf numFmtId="38" fontId="53" fillId="0" borderId="36" xfId="0" applyNumberFormat="1" applyFont="1" applyBorder="1" applyAlignment="1">
      <alignment horizontal="center" textRotation="90" wrapText="1"/>
    </xf>
    <xf numFmtId="38" fontId="54" fillId="0" borderId="48" xfId="0" applyNumberFormat="1" applyFont="1" applyBorder="1" applyAlignment="1">
      <alignment horizontal="left"/>
    </xf>
    <xf numFmtId="38" fontId="53" fillId="0" borderId="49" xfId="0" applyNumberFormat="1" applyFont="1" applyBorder="1" applyAlignment="1">
      <alignment horizontal="center"/>
    </xf>
    <xf numFmtId="38" fontId="53" fillId="0" borderId="50" xfId="0" applyNumberFormat="1" applyFont="1" applyBorder="1" applyAlignment="1">
      <alignment horizontal="center"/>
    </xf>
    <xf numFmtId="38" fontId="53" fillId="0" borderId="51" xfId="0" applyNumberFormat="1" applyFont="1" applyBorder="1" applyAlignment="1">
      <alignment horizontal="center"/>
    </xf>
    <xf numFmtId="38" fontId="53" fillId="0" borderId="52" xfId="0" applyNumberFormat="1" applyFont="1" applyBorder="1" applyAlignment="1">
      <alignment horizontal="center"/>
    </xf>
    <xf numFmtId="38" fontId="54" fillId="0" borderId="53" xfId="0" applyNumberFormat="1" applyFont="1" applyBorder="1" applyAlignment="1">
      <alignment horizontal="center"/>
    </xf>
    <xf numFmtId="38" fontId="53" fillId="0" borderId="54" xfId="0" applyNumberFormat="1" applyFont="1" applyBorder="1" applyAlignment="1">
      <alignment horizontal="center"/>
    </xf>
    <xf numFmtId="38" fontId="54" fillId="0" borderId="51" xfId="0" applyNumberFormat="1" applyFont="1" applyBorder="1" applyAlignment="1">
      <alignment horizontal="center"/>
    </xf>
    <xf numFmtId="38" fontId="54" fillId="0" borderId="52" xfId="0" applyNumberFormat="1" applyFont="1" applyBorder="1" applyAlignment="1">
      <alignment horizontal="center"/>
    </xf>
    <xf numFmtId="38" fontId="54" fillId="0" borderId="75" xfId="0" applyNumberFormat="1" applyFont="1" applyBorder="1" applyAlignment="1">
      <alignment horizontal="center"/>
    </xf>
    <xf numFmtId="38" fontId="54" fillId="0" borderId="55" xfId="0" applyNumberFormat="1" applyFont="1" applyBorder="1" applyAlignment="1">
      <alignment horizontal="center"/>
    </xf>
    <xf numFmtId="38" fontId="53" fillId="0" borderId="48" xfId="0" applyNumberFormat="1" applyFont="1" applyBorder="1" applyAlignment="1">
      <alignment horizontal="center"/>
    </xf>
    <xf numFmtId="38" fontId="54" fillId="0" borderId="56" xfId="0" applyNumberFormat="1" applyFont="1" applyBorder="1" applyAlignment="1">
      <alignment horizontal="center"/>
    </xf>
    <xf numFmtId="38" fontId="54" fillId="0" borderId="54" xfId="0" applyNumberFormat="1" applyFont="1" applyBorder="1" applyAlignment="1">
      <alignment horizontal="center"/>
    </xf>
    <xf numFmtId="38" fontId="54" fillId="0" borderId="57" xfId="0" applyNumberFormat="1" applyFont="1" applyBorder="1" applyAlignment="1">
      <alignment horizontal="center"/>
    </xf>
    <xf numFmtId="38" fontId="54" fillId="0" borderId="58" xfId="0" applyNumberFormat="1" applyFont="1" applyBorder="1" applyAlignment="1">
      <alignment horizontal="left"/>
    </xf>
    <xf numFmtId="38" fontId="53" fillId="0" borderId="59" xfId="0" applyNumberFormat="1" applyFont="1" applyBorder="1" applyAlignment="1">
      <alignment horizontal="center"/>
    </xf>
    <xf numFmtId="38" fontId="53" fillId="0" borderId="60" xfId="0" applyNumberFormat="1" applyFont="1" applyBorder="1" applyAlignment="1">
      <alignment horizontal="center"/>
    </xf>
    <xf numFmtId="38" fontId="53" fillId="0" borderId="61" xfId="0" applyNumberFormat="1" applyFont="1" applyBorder="1" applyAlignment="1">
      <alignment horizontal="center"/>
    </xf>
    <xf numFmtId="38" fontId="53" fillId="0" borderId="62" xfId="0" applyNumberFormat="1" applyFont="1" applyBorder="1" applyAlignment="1">
      <alignment horizontal="center"/>
    </xf>
    <xf numFmtId="38" fontId="54" fillId="0" borderId="62" xfId="0" applyNumberFormat="1" applyFont="1" applyBorder="1" applyAlignment="1">
      <alignment horizontal="center"/>
    </xf>
    <xf numFmtId="38" fontId="53" fillId="0" borderId="63" xfId="0" applyNumberFormat="1" applyFont="1" applyBorder="1" applyAlignment="1">
      <alignment horizontal="center"/>
    </xf>
    <xf numFmtId="38" fontId="54" fillId="0" borderId="61" xfId="0" applyNumberFormat="1" applyFont="1" applyBorder="1" applyAlignment="1">
      <alignment horizontal="center"/>
    </xf>
    <xf numFmtId="38" fontId="54" fillId="0" borderId="64" xfId="0" applyNumberFormat="1" applyFont="1" applyBorder="1" applyAlignment="1">
      <alignment horizontal="center"/>
    </xf>
    <xf numFmtId="38" fontId="53" fillId="0" borderId="58" xfId="0" applyNumberFormat="1" applyFont="1" applyBorder="1" applyAlignment="1">
      <alignment horizontal="center"/>
    </xf>
    <xf numFmtId="38" fontId="54" fillId="0" borderId="65" xfId="0" applyNumberFormat="1" applyFont="1" applyBorder="1" applyAlignment="1">
      <alignment horizontal="center"/>
    </xf>
    <xf numFmtId="38" fontId="54" fillId="0" borderId="63" xfId="0" applyNumberFormat="1" applyFont="1" applyBorder="1" applyAlignment="1">
      <alignment horizontal="center"/>
    </xf>
    <xf numFmtId="38" fontId="54" fillId="0" borderId="66" xfId="0" applyNumberFormat="1" applyFont="1" applyBorder="1" applyAlignment="1">
      <alignment horizontal="center"/>
    </xf>
    <xf numFmtId="38" fontId="53" fillId="0" borderId="64" xfId="0" applyNumberFormat="1" applyFont="1" applyBorder="1" applyAlignment="1">
      <alignment horizontal="center"/>
    </xf>
    <xf numFmtId="38" fontId="54" fillId="0" borderId="67" xfId="0" applyNumberFormat="1" applyFont="1" applyBorder="1" applyAlignment="1">
      <alignment horizontal="left"/>
    </xf>
    <xf numFmtId="38" fontId="53" fillId="0" borderId="68" xfId="0" applyNumberFormat="1" applyFont="1" applyBorder="1" applyAlignment="1">
      <alignment horizontal="center"/>
    </xf>
    <xf numFmtId="38" fontId="53" fillId="0" borderId="69" xfId="0" applyNumberFormat="1" applyFont="1" applyBorder="1" applyAlignment="1">
      <alignment horizontal="center"/>
    </xf>
    <xf numFmtId="38" fontId="54" fillId="0" borderId="70" xfId="0" applyNumberFormat="1" applyFont="1" applyBorder="1" applyAlignment="1">
      <alignment horizontal="center"/>
    </xf>
    <xf numFmtId="38" fontId="53" fillId="0" borderId="71" xfId="0" applyNumberFormat="1" applyFont="1" applyBorder="1" applyAlignment="1">
      <alignment horizontal="center"/>
    </xf>
    <xf numFmtId="38" fontId="54" fillId="0" borderId="69" xfId="0" applyNumberFormat="1" applyFont="1" applyBorder="1" applyAlignment="1">
      <alignment horizontal="center"/>
    </xf>
    <xf numFmtId="38" fontId="53" fillId="0" borderId="67" xfId="0" applyNumberFormat="1" applyFont="1" applyBorder="1" applyAlignment="1">
      <alignment horizontal="center"/>
    </xf>
    <xf numFmtId="38" fontId="54" fillId="0" borderId="72" xfId="0" applyNumberFormat="1" applyFont="1" applyBorder="1" applyAlignment="1">
      <alignment horizontal="center"/>
    </xf>
    <xf numFmtId="38" fontId="54" fillId="0" borderId="73" xfId="0" applyNumberFormat="1" applyFont="1" applyBorder="1" applyAlignment="1">
      <alignment horizontal="center"/>
    </xf>
    <xf numFmtId="38" fontId="54" fillId="0" borderId="71" xfId="0" applyNumberFormat="1" applyFont="1" applyBorder="1" applyAlignment="1">
      <alignment horizontal="center"/>
    </xf>
    <xf numFmtId="38" fontId="54" fillId="0" borderId="74" xfId="0" applyNumberFormat="1" applyFont="1" applyBorder="1" applyAlignment="1">
      <alignment horizontal="center"/>
    </xf>
    <xf numFmtId="38" fontId="53" fillId="0" borderId="31" xfId="0" applyNumberFormat="1" applyFont="1" applyBorder="1" applyAlignment="1">
      <alignment horizontal="left"/>
    </xf>
    <xf numFmtId="38" fontId="53" fillId="0" borderId="27" xfId="0" applyNumberFormat="1" applyFont="1" applyBorder="1" applyAlignment="1">
      <alignment horizontal="center"/>
    </xf>
    <xf numFmtId="38" fontId="53" fillId="0" borderId="26" xfId="0" applyNumberFormat="1" applyFont="1" applyBorder="1" applyAlignment="1">
      <alignment horizontal="center"/>
    </xf>
    <xf numFmtId="38" fontId="53" fillId="0" borderId="31" xfId="0" applyNumberFormat="1" applyFont="1" applyBorder="1" applyAlignment="1">
      <alignment horizontal="center"/>
    </xf>
    <xf numFmtId="38" fontId="53" fillId="0" borderId="55" xfId="0" applyNumberFormat="1" applyFont="1" applyBorder="1" applyAlignment="1">
      <alignment horizontal="center"/>
    </xf>
    <xf numFmtId="38" fontId="53" fillId="0" borderId="24" xfId="0" applyNumberFormat="1" applyFont="1" applyBorder="1" applyAlignment="1">
      <alignment horizontal="center"/>
    </xf>
    <xf numFmtId="38" fontId="53" fillId="0" borderId="75" xfId="0" applyNumberFormat="1" applyFont="1" applyBorder="1" applyAlignment="1">
      <alignment horizontal="center"/>
    </xf>
    <xf numFmtId="38" fontId="53" fillId="0" borderId="76" xfId="0" applyNumberFormat="1" applyFont="1" applyBorder="1" applyAlignment="1">
      <alignment horizontal="center"/>
    </xf>
    <xf numFmtId="38" fontId="53" fillId="0" borderId="32" xfId="0" applyNumberFormat="1" applyFont="1" applyBorder="1" applyAlignment="1">
      <alignment horizontal="center"/>
    </xf>
    <xf numFmtId="38" fontId="53" fillId="0" borderId="4" xfId="0" applyNumberFormat="1" applyFont="1" applyBorder="1" applyAlignment="1">
      <alignment horizontal="left"/>
    </xf>
    <xf numFmtId="38" fontId="53" fillId="0" borderId="23" xfId="0" applyNumberFormat="1" applyFont="1" applyBorder="1" applyAlignment="1">
      <alignment horizontal="center"/>
    </xf>
    <xf numFmtId="38" fontId="53" fillId="0" borderId="22" xfId="0" applyNumberFormat="1" applyFont="1" applyBorder="1" applyAlignment="1">
      <alignment horizontal="center"/>
    </xf>
    <xf numFmtId="38" fontId="53" fillId="0" borderId="4" xfId="0" applyNumberFormat="1" applyFont="1" applyBorder="1" applyAlignment="1">
      <alignment horizontal="center"/>
    </xf>
    <xf numFmtId="38" fontId="53" fillId="0" borderId="77" xfId="0" applyNumberFormat="1" applyFont="1" applyBorder="1" applyAlignment="1">
      <alignment horizontal="center"/>
    </xf>
    <xf numFmtId="38" fontId="53" fillId="0" borderId="78" xfId="0" applyNumberFormat="1" applyFont="1" applyBorder="1" applyAlignment="1">
      <alignment horizontal="center"/>
    </xf>
    <xf numFmtId="38" fontId="53" fillId="0" borderId="21" xfId="0" applyNumberFormat="1" applyFont="1" applyBorder="1" applyAlignment="1">
      <alignment horizontal="center"/>
    </xf>
    <xf numFmtId="38" fontId="54" fillId="0" borderId="21" xfId="0" applyNumberFormat="1" applyFont="1" applyBorder="1" applyAlignment="1">
      <alignment horizontal="center"/>
    </xf>
    <xf numFmtId="38" fontId="53" fillId="0" borderId="79" xfId="0" applyNumberFormat="1" applyFont="1" applyBorder="1" applyAlignment="1">
      <alignment horizontal="center"/>
    </xf>
    <xf numFmtId="38" fontId="53" fillId="0" borderId="80" xfId="0" applyNumberFormat="1" applyFont="1" applyBorder="1" applyAlignment="1">
      <alignment horizontal="center"/>
    </xf>
    <xf numFmtId="38" fontId="53" fillId="0" borderId="81" xfId="0" applyNumberFormat="1" applyFont="1" applyBorder="1" applyAlignment="1">
      <alignment horizontal="center"/>
    </xf>
    <xf numFmtId="38" fontId="53" fillId="0" borderId="25" xfId="0" applyNumberFormat="1" applyFont="1" applyBorder="1" applyAlignment="1">
      <alignment horizontal="center"/>
    </xf>
    <xf numFmtId="38" fontId="53" fillId="0" borderId="82" xfId="0" applyNumberFormat="1" applyFont="1" applyBorder="1" applyAlignment="1">
      <alignment horizontal="center"/>
    </xf>
    <xf numFmtId="38" fontId="54" fillId="0" borderId="83" xfId="0" applyNumberFormat="1" applyFont="1" applyBorder="1" applyAlignment="1">
      <alignment horizontal="left"/>
    </xf>
    <xf numFmtId="38" fontId="53" fillId="0" borderId="84" xfId="0" applyNumberFormat="1" applyFont="1" applyBorder="1" applyAlignment="1">
      <alignment horizontal="center"/>
    </xf>
    <xf numFmtId="38" fontId="53" fillId="0" borderId="85" xfId="0" applyNumberFormat="1" applyFont="1" applyBorder="1" applyAlignment="1">
      <alignment horizontal="center"/>
    </xf>
    <xf numFmtId="38" fontId="54" fillId="0" borderId="86" xfId="0" applyNumberFormat="1" applyFont="1" applyBorder="1" applyAlignment="1">
      <alignment horizontal="center"/>
    </xf>
    <xf numFmtId="38" fontId="54" fillId="0" borderId="87" xfId="0" applyNumberFormat="1" applyFont="1" applyBorder="1" applyAlignment="1">
      <alignment horizontal="center"/>
    </xf>
    <xf numFmtId="38" fontId="54" fillId="0" borderId="88" xfId="0" applyNumberFormat="1" applyFont="1" applyBorder="1" applyAlignment="1">
      <alignment horizontal="center"/>
    </xf>
    <xf numFmtId="38" fontId="53" fillId="0" borderId="89" xfId="0" applyNumberFormat="1" applyFont="1" applyBorder="1" applyAlignment="1">
      <alignment horizontal="center"/>
    </xf>
    <xf numFmtId="38" fontId="53" fillId="0" borderId="83" xfId="0" applyNumberFormat="1" applyFont="1" applyBorder="1" applyAlignment="1">
      <alignment horizontal="center"/>
    </xf>
    <xf numFmtId="38" fontId="54" fillId="0" borderId="90" xfId="0" applyNumberFormat="1" applyFont="1" applyBorder="1" applyAlignment="1">
      <alignment horizontal="center"/>
    </xf>
    <xf numFmtId="38" fontId="54" fillId="0" borderId="89" xfId="0" applyNumberFormat="1" applyFont="1" applyBorder="1" applyAlignment="1">
      <alignment horizontal="center"/>
    </xf>
    <xf numFmtId="38" fontId="54" fillId="0" borderId="91" xfId="0" applyNumberFormat="1" applyFont="1" applyBorder="1" applyAlignment="1">
      <alignment horizontal="center"/>
    </xf>
    <xf numFmtId="38" fontId="54" fillId="0" borderId="92" xfId="0" applyNumberFormat="1" applyFont="1" applyBorder="1" applyAlignment="1">
      <alignment horizontal="center"/>
    </xf>
    <xf numFmtId="38" fontId="54" fillId="0" borderId="93" xfId="0" applyNumberFormat="1" applyFont="1" applyBorder="1" applyAlignment="1">
      <alignment horizontal="left"/>
    </xf>
    <xf numFmtId="38" fontId="53" fillId="0" borderId="94" xfId="0" applyNumberFormat="1" applyFont="1" applyBorder="1" applyAlignment="1">
      <alignment horizontal="center"/>
    </xf>
    <xf numFmtId="38" fontId="53" fillId="0" borderId="95" xfId="0" applyNumberFormat="1" applyFont="1" applyBorder="1" applyAlignment="1">
      <alignment horizontal="center"/>
    </xf>
    <xf numFmtId="38" fontId="54" fillId="0" borderId="96" xfId="0" applyNumberFormat="1" applyFont="1" applyBorder="1" applyAlignment="1">
      <alignment horizontal="center"/>
    </xf>
    <xf numFmtId="38" fontId="54" fillId="0" borderId="97" xfId="0" applyNumberFormat="1" applyFont="1" applyBorder="1" applyAlignment="1">
      <alignment horizontal="center"/>
    </xf>
    <xf numFmtId="38" fontId="54" fillId="0" borderId="98" xfId="0" applyNumberFormat="1" applyFont="1" applyBorder="1" applyAlignment="1">
      <alignment horizontal="center"/>
    </xf>
    <xf numFmtId="38" fontId="53" fillId="0" borderId="99" xfId="0" applyNumberFormat="1" applyFont="1" applyBorder="1" applyAlignment="1">
      <alignment horizontal="center"/>
    </xf>
    <xf numFmtId="38" fontId="53" fillId="0" borderId="93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54" fillId="0" borderId="99" xfId="0" applyNumberFormat="1" applyFont="1" applyBorder="1" applyAlignment="1">
      <alignment horizontal="center"/>
    </xf>
    <xf numFmtId="38" fontId="54" fillId="0" borderId="101" xfId="0" applyNumberFormat="1" applyFont="1" applyBorder="1" applyAlignment="1">
      <alignment horizontal="center"/>
    </xf>
    <xf numFmtId="38" fontId="53" fillId="0" borderId="0" xfId="0" applyNumberFormat="1" applyFont="1" applyAlignment="1">
      <alignment horizontal="left"/>
    </xf>
    <xf numFmtId="38" fontId="53" fillId="0" borderId="41" xfId="0" applyNumberFormat="1" applyFont="1" applyBorder="1" applyAlignment="1">
      <alignment horizontal="center"/>
    </xf>
    <xf numFmtId="38" fontId="53" fillId="0" borderId="102" xfId="0" applyNumberFormat="1" applyFont="1" applyBorder="1" applyAlignment="1">
      <alignment horizontal="center"/>
    </xf>
    <xf numFmtId="38" fontId="53" fillId="0" borderId="103" xfId="0" applyNumberFormat="1" applyFont="1" applyBorder="1" applyAlignment="1">
      <alignment horizontal="center"/>
    </xf>
    <xf numFmtId="38" fontId="53" fillId="0" borderId="104" xfId="0" applyNumberFormat="1" applyFont="1" applyBorder="1" applyAlignment="1">
      <alignment horizontal="center"/>
    </xf>
    <xf numFmtId="38" fontId="53" fillId="0" borderId="105" xfId="0" applyNumberFormat="1" applyFont="1" applyBorder="1" applyAlignment="1">
      <alignment horizontal="center"/>
    </xf>
    <xf numFmtId="38" fontId="53" fillId="0" borderId="106" xfId="0" applyNumberFormat="1" applyFont="1" applyBorder="1" applyAlignment="1">
      <alignment horizontal="center"/>
    </xf>
    <xf numFmtId="38" fontId="53" fillId="0" borderId="0" xfId="0" applyNumberFormat="1" applyFont="1" applyAlignment="1">
      <alignment horizontal="center"/>
    </xf>
    <xf numFmtId="38" fontId="53" fillId="0" borderId="39" xfId="0" applyNumberFormat="1" applyFont="1" applyBorder="1" applyAlignment="1">
      <alignment horizontal="center"/>
    </xf>
    <xf numFmtId="38" fontId="53" fillId="0" borderId="107" xfId="0" applyNumberFormat="1" applyFont="1" applyBorder="1" applyAlignment="1">
      <alignment horizontal="center"/>
    </xf>
    <xf numFmtId="38" fontId="53" fillId="0" borderId="34" xfId="0" applyNumberFormat="1" applyFont="1" applyBorder="1" applyAlignment="1">
      <alignment horizontal="center"/>
    </xf>
    <xf numFmtId="38" fontId="54" fillId="0" borderId="108" xfId="0" applyNumberFormat="1" applyFont="1" applyBorder="1" applyAlignment="1">
      <alignment horizontal="center"/>
    </xf>
    <xf numFmtId="1" fontId="54" fillId="0" borderId="63" xfId="0" applyNumberFormat="1" applyFont="1" applyBorder="1" applyAlignment="1">
      <alignment horizontal="center"/>
    </xf>
    <xf numFmtId="38" fontId="53" fillId="0" borderId="153" xfId="0" applyNumberFormat="1" applyFont="1" applyBorder="1" applyAlignment="1">
      <alignment horizontal="left"/>
    </xf>
    <xf numFmtId="38" fontId="53" fillId="0" borderId="109" xfId="0" applyNumberFormat="1" applyFont="1" applyBorder="1" applyAlignment="1">
      <alignment horizontal="center"/>
    </xf>
    <xf numFmtId="38" fontId="53" fillId="0" borderId="110" xfId="0" applyNumberFormat="1" applyFont="1" applyBorder="1" applyAlignment="1">
      <alignment horizontal="center"/>
    </xf>
    <xf numFmtId="38" fontId="54" fillId="0" borderId="111" xfId="0" applyNumberFormat="1" applyFont="1" applyBorder="1" applyAlignment="1">
      <alignment horizontal="center"/>
    </xf>
    <xf numFmtId="38" fontId="54" fillId="0" borderId="112" xfId="0" applyNumberFormat="1" applyFont="1" applyBorder="1" applyAlignment="1">
      <alignment horizontal="center"/>
    </xf>
    <xf numFmtId="38" fontId="54" fillId="0" borderId="113" xfId="0" applyNumberFormat="1" applyFont="1" applyBorder="1" applyAlignment="1">
      <alignment horizontal="center"/>
    </xf>
    <xf numFmtId="38" fontId="53" fillId="0" borderId="155" xfId="0" applyNumberFormat="1" applyFont="1" applyBorder="1" applyAlignment="1">
      <alignment horizontal="center"/>
    </xf>
    <xf numFmtId="38" fontId="53" fillId="0" borderId="153" xfId="0" applyNumberFormat="1" applyFont="1" applyBorder="1" applyAlignment="1">
      <alignment horizontal="center"/>
    </xf>
    <xf numFmtId="38" fontId="54" fillId="0" borderId="148" xfId="0" applyNumberFormat="1" applyFont="1" applyBorder="1" applyAlignment="1">
      <alignment horizontal="center"/>
    </xf>
    <xf numFmtId="38" fontId="54" fillId="0" borderId="107" xfId="0" applyNumberFormat="1" applyFont="1" applyBorder="1" applyAlignment="1">
      <alignment horizontal="center"/>
    </xf>
    <xf numFmtId="38" fontId="54" fillId="0" borderId="155" xfId="0" applyNumberFormat="1" applyFont="1" applyBorder="1" applyAlignment="1">
      <alignment horizontal="center"/>
    </xf>
    <xf numFmtId="38" fontId="54" fillId="0" borderId="114" xfId="0" applyNumberFormat="1" applyFont="1" applyBorder="1" applyAlignment="1">
      <alignment horizontal="center"/>
    </xf>
    <xf numFmtId="38" fontId="53" fillId="0" borderId="115" xfId="0" applyNumberFormat="1" applyFont="1" applyBorder="1" applyAlignment="1">
      <alignment horizontal="center"/>
    </xf>
    <xf numFmtId="38" fontId="101" fillId="0" borderId="116" xfId="0" applyNumberFormat="1" applyFont="1" applyBorder="1" applyAlignment="1">
      <alignment horizontal="center"/>
    </xf>
    <xf numFmtId="38" fontId="53" fillId="0" borderId="87" xfId="0" applyNumberFormat="1" applyFont="1" applyBorder="1" applyAlignment="1">
      <alignment horizontal="center"/>
    </xf>
    <xf numFmtId="38" fontId="54" fillId="0" borderId="83" xfId="0" applyNumberFormat="1" applyFont="1" applyBorder="1" applyAlignment="1">
      <alignment horizontal="center"/>
    </xf>
    <xf numFmtId="38" fontId="54" fillId="0" borderId="0" xfId="0" applyNumberFormat="1" applyFont="1" applyAlignment="1">
      <alignment horizontal="left"/>
    </xf>
    <xf numFmtId="38" fontId="53" fillId="0" borderId="117" xfId="0" applyNumberFormat="1" applyFont="1" applyBorder="1" applyAlignment="1">
      <alignment horizontal="center"/>
    </xf>
    <xf numFmtId="38" fontId="53" fillId="0" borderId="118" xfId="0" applyNumberFormat="1" applyFont="1" applyBorder="1" applyAlignment="1">
      <alignment horizontal="center"/>
    </xf>
    <xf numFmtId="38" fontId="54" fillId="0" borderId="105" xfId="0" applyNumberFormat="1" applyFont="1" applyBorder="1" applyAlignment="1">
      <alignment horizontal="center"/>
    </xf>
    <xf numFmtId="38" fontId="54" fillId="0" borderId="0" xfId="0" applyNumberFormat="1" applyFont="1" applyAlignment="1">
      <alignment horizontal="center"/>
    </xf>
    <xf numFmtId="38" fontId="54" fillId="0" borderId="104" xfId="0" applyNumberFormat="1" applyFont="1" applyBorder="1" applyAlignment="1">
      <alignment horizontal="center"/>
    </xf>
    <xf numFmtId="38" fontId="54" fillId="0" borderId="39" xfId="0" applyNumberFormat="1" applyFont="1" applyBorder="1" applyAlignment="1">
      <alignment horizontal="center"/>
    </xf>
    <xf numFmtId="38" fontId="54" fillId="0" borderId="103" xfId="0" applyNumberFormat="1" applyFont="1" applyBorder="1" applyAlignment="1">
      <alignment horizontal="center"/>
    </xf>
    <xf numFmtId="38" fontId="54" fillId="0" borderId="106" xfId="0" applyNumberFormat="1" applyFont="1" applyBorder="1" applyAlignment="1">
      <alignment horizontal="center"/>
    </xf>
    <xf numFmtId="38" fontId="54" fillId="0" borderId="34" xfId="0" applyNumberFormat="1" applyFont="1" applyBorder="1" applyAlignment="1">
      <alignment horizontal="center"/>
    </xf>
    <xf numFmtId="38" fontId="53" fillId="0" borderId="119" xfId="0" applyNumberFormat="1" applyFont="1" applyBorder="1" applyAlignment="1">
      <alignment horizontal="center"/>
    </xf>
    <xf numFmtId="38" fontId="54" fillId="0" borderId="120" xfId="0" applyNumberFormat="1" applyFont="1" applyBorder="1" applyAlignment="1">
      <alignment horizontal="center"/>
    </xf>
    <xf numFmtId="38" fontId="54" fillId="0" borderId="67" xfId="0" applyNumberFormat="1" applyFont="1" applyBorder="1" applyAlignment="1">
      <alignment horizontal="center"/>
    </xf>
    <xf numFmtId="38" fontId="53" fillId="0" borderId="10" xfId="0" applyNumberFormat="1" applyFont="1" applyBorder="1" applyAlignment="1">
      <alignment horizontal="left"/>
    </xf>
    <xf numFmtId="38" fontId="53" fillId="0" borderId="14" xfId="0" applyNumberFormat="1" applyFont="1" applyBorder="1" applyAlignment="1">
      <alignment horizontal="center"/>
    </xf>
    <xf numFmtId="38" fontId="53" fillId="0" borderId="13" xfId="0" applyNumberFormat="1" applyFont="1" applyBorder="1" applyAlignment="1">
      <alignment horizontal="center"/>
    </xf>
    <xf numFmtId="38" fontId="53" fillId="0" borderId="121" xfId="0" applyNumberFormat="1" applyFont="1" applyBorder="1" applyAlignment="1">
      <alignment horizontal="center"/>
    </xf>
    <xf numFmtId="38" fontId="53" fillId="0" borderId="122" xfId="0" applyNumberFormat="1" applyFont="1" applyBorder="1" applyAlignment="1">
      <alignment horizontal="center"/>
    </xf>
    <xf numFmtId="38" fontId="53" fillId="0" borderId="11" xfId="0" applyNumberFormat="1" applyFont="1" applyBorder="1" applyAlignment="1">
      <alignment horizontal="center"/>
    </xf>
    <xf numFmtId="38" fontId="53" fillId="0" borderId="10" xfId="0" applyNumberFormat="1" applyFont="1" applyBorder="1" applyAlignment="1">
      <alignment horizontal="center"/>
    </xf>
    <xf numFmtId="38" fontId="53" fillId="0" borderId="123" xfId="0" applyNumberFormat="1" applyFont="1" applyBorder="1" applyAlignment="1">
      <alignment horizontal="center"/>
    </xf>
    <xf numFmtId="38" fontId="53" fillId="0" borderId="9" xfId="0" applyNumberFormat="1" applyFont="1" applyBorder="1" applyAlignment="1">
      <alignment horizontal="center"/>
    </xf>
    <xf numFmtId="38" fontId="54" fillId="0" borderId="153" xfId="0" applyNumberFormat="1" applyFont="1" applyBorder="1" applyAlignment="1">
      <alignment horizontal="left"/>
    </xf>
    <xf numFmtId="38" fontId="54" fillId="0" borderId="109" xfId="0" applyNumberFormat="1" applyFont="1" applyBorder="1" applyAlignment="1">
      <alignment horizontal="center"/>
    </xf>
    <xf numFmtId="38" fontId="54" fillId="0" borderId="110" xfId="0" applyNumberFormat="1" applyFont="1" applyBorder="1" applyAlignment="1">
      <alignment horizontal="center"/>
    </xf>
    <xf numFmtId="38" fontId="54" fillId="0" borderId="153" xfId="0" applyNumberFormat="1" applyFont="1" applyBorder="1" applyAlignment="1">
      <alignment horizontal="center"/>
    </xf>
    <xf numFmtId="38" fontId="53" fillId="0" borderId="38" xfId="0" applyNumberFormat="1" applyFont="1" applyBorder="1" applyAlignment="1">
      <alignment horizontal="left"/>
    </xf>
    <xf numFmtId="38" fontId="53" fillId="0" borderId="18" xfId="0" applyNumberFormat="1" applyFont="1" applyBorder="1" applyAlignment="1">
      <alignment horizontal="center"/>
    </xf>
    <xf numFmtId="38" fontId="53" fillId="0" borderId="17" xfId="0" applyNumberFormat="1" applyFont="1" applyBorder="1" applyAlignment="1">
      <alignment horizontal="center"/>
    </xf>
    <xf numFmtId="38" fontId="53" fillId="0" borderId="124" xfId="0" applyNumberFormat="1" applyFont="1" applyBorder="1" applyAlignment="1">
      <alignment horizontal="center"/>
    </xf>
    <xf numFmtId="38" fontId="53" fillId="0" borderId="125" xfId="0" applyNumberFormat="1" applyFont="1" applyBorder="1" applyAlignment="1">
      <alignment horizontal="center"/>
    </xf>
    <xf numFmtId="38" fontId="53" fillId="0" borderId="15" xfId="0" applyNumberFormat="1" applyFont="1" applyBorder="1" applyAlignment="1">
      <alignment horizontal="center"/>
    </xf>
    <xf numFmtId="38" fontId="53" fillId="0" borderId="126" xfId="0" applyNumberFormat="1" applyFont="1" applyBorder="1" applyAlignment="1">
      <alignment horizontal="center"/>
    </xf>
    <xf numFmtId="38" fontId="53" fillId="0" borderId="38" xfId="0" applyNumberFormat="1" applyFont="1" applyBorder="1" applyAlignment="1">
      <alignment horizontal="center"/>
    </xf>
    <xf numFmtId="38" fontId="53" fillId="0" borderId="16" xfId="0" applyNumberFormat="1" applyFont="1" applyBorder="1" applyAlignment="1">
      <alignment horizontal="center"/>
    </xf>
    <xf numFmtId="38" fontId="53" fillId="0" borderId="165" xfId="0" applyNumberFormat="1" applyFont="1" applyBorder="1" applyAlignment="1">
      <alignment horizontal="center"/>
    </xf>
    <xf numFmtId="38" fontId="54" fillId="0" borderId="127" xfId="0" applyNumberFormat="1" applyFont="1" applyBorder="1" applyAlignment="1">
      <alignment horizontal="left" vertical="top" wrapText="1"/>
    </xf>
    <xf numFmtId="38" fontId="54" fillId="0" borderId="128" xfId="0" applyNumberFormat="1" applyFont="1" applyBorder="1" applyAlignment="1">
      <alignment vertical="top"/>
    </xf>
    <xf numFmtId="38" fontId="53" fillId="0" borderId="129" xfId="0" applyNumberFormat="1" applyFont="1" applyBorder="1" applyAlignment="1">
      <alignment horizontal="center"/>
    </xf>
    <xf numFmtId="38" fontId="54" fillId="0" borderId="127" xfId="0" applyNumberFormat="1" applyFont="1" applyBorder="1" applyAlignment="1">
      <alignment horizontal="center"/>
    </xf>
    <xf numFmtId="38" fontId="54" fillId="0" borderId="166" xfId="0" applyNumberFormat="1" applyFont="1" applyBorder="1" applyAlignment="1">
      <alignment horizontal="center"/>
    </xf>
    <xf numFmtId="38" fontId="53" fillId="0" borderId="131" xfId="0" applyNumberFormat="1" applyFont="1" applyBorder="1" applyAlignment="1">
      <alignment horizontal="center"/>
    </xf>
    <xf numFmtId="38" fontId="54" fillId="0" borderId="132" xfId="0" applyNumberFormat="1" applyFont="1" applyBorder="1" applyAlignment="1">
      <alignment horizontal="center"/>
    </xf>
    <xf numFmtId="38" fontId="54" fillId="0" borderId="130" xfId="0" applyNumberFormat="1" applyFont="1" applyBorder="1" applyAlignment="1">
      <alignment horizontal="center"/>
    </xf>
    <xf numFmtId="38" fontId="53" fillId="0" borderId="127" xfId="0" applyNumberFormat="1" applyFont="1" applyBorder="1" applyAlignment="1">
      <alignment horizontal="center"/>
    </xf>
    <xf numFmtId="38" fontId="54" fillId="0" borderId="133" xfId="0" applyNumberFormat="1" applyFont="1" applyBorder="1" applyAlignment="1">
      <alignment horizontal="center"/>
    </xf>
    <xf numFmtId="38" fontId="54" fillId="0" borderId="58" xfId="0" applyNumberFormat="1" applyFont="1" applyBorder="1" applyAlignment="1">
      <alignment horizontal="left" vertical="top" wrapText="1"/>
    </xf>
    <xf numFmtId="38" fontId="54" fillId="0" borderId="59" xfId="0" applyNumberFormat="1" applyFont="1" applyBorder="1" applyAlignment="1">
      <alignment horizontal="left" vertical="top"/>
    </xf>
    <xf numFmtId="38" fontId="54" fillId="0" borderId="58" xfId="0" applyNumberFormat="1" applyFont="1" applyBorder="1" applyAlignment="1">
      <alignment horizontal="center"/>
    </xf>
    <xf numFmtId="38" fontId="54" fillId="0" borderId="167" xfId="0" applyNumberFormat="1" applyFont="1" applyBorder="1" applyAlignment="1">
      <alignment horizontal="center"/>
    </xf>
    <xf numFmtId="38" fontId="54" fillId="0" borderId="59" xfId="0" applyNumberFormat="1" applyFont="1" applyBorder="1" applyAlignment="1">
      <alignment vertical="top"/>
    </xf>
    <xf numFmtId="38" fontId="54" fillId="0" borderId="131" xfId="0" applyNumberFormat="1" applyFont="1" applyBorder="1" applyAlignment="1">
      <alignment horizontal="center"/>
    </xf>
    <xf numFmtId="38" fontId="54" fillId="0" borderId="93" xfId="0" applyNumberFormat="1" applyFont="1" applyBorder="1" applyAlignment="1">
      <alignment horizontal="left" vertical="top" wrapText="1"/>
    </xf>
    <xf numFmtId="38" fontId="54" fillId="0" borderId="94" xfId="0" applyNumberFormat="1" applyFont="1" applyBorder="1" applyAlignment="1">
      <alignment vertical="top"/>
    </xf>
    <xf numFmtId="38" fontId="54" fillId="0" borderId="93" xfId="0" applyNumberFormat="1" applyFont="1" applyBorder="1" applyAlignment="1">
      <alignment horizontal="center"/>
    </xf>
    <xf numFmtId="38" fontId="54" fillId="0" borderId="168" xfId="0" applyNumberFormat="1" applyFont="1" applyBorder="1" applyAlignment="1">
      <alignment horizontal="center"/>
    </xf>
    <xf numFmtId="38" fontId="53" fillId="0" borderId="169" xfId="0" applyNumberFormat="1" applyFont="1" applyBorder="1" applyAlignment="1">
      <alignment horizontal="center"/>
    </xf>
    <xf numFmtId="38" fontId="53" fillId="0" borderId="170" xfId="0" applyNumberFormat="1" applyFont="1" applyBorder="1" applyAlignment="1">
      <alignment horizontal="center"/>
    </xf>
    <xf numFmtId="38" fontId="53" fillId="0" borderId="171" xfId="0" applyNumberFormat="1" applyFont="1" applyBorder="1" applyAlignment="1">
      <alignment horizontal="center"/>
    </xf>
    <xf numFmtId="38" fontId="53" fillId="0" borderId="149" xfId="0" applyNumberFormat="1" applyFont="1" applyBorder="1" applyAlignment="1">
      <alignment horizontal="center"/>
    </xf>
    <xf numFmtId="38" fontId="53" fillId="0" borderId="172" xfId="0" applyNumberFormat="1" applyFont="1" applyBorder="1" applyAlignment="1">
      <alignment horizontal="center"/>
    </xf>
    <xf numFmtId="38" fontId="53" fillId="0" borderId="5" xfId="0" applyNumberFormat="1" applyFont="1" applyBorder="1" applyAlignment="1">
      <alignment horizontal="center"/>
    </xf>
    <xf numFmtId="38" fontId="53" fillId="0" borderId="28" xfId="0" applyNumberFormat="1" applyFont="1" applyBorder="1" applyAlignment="1">
      <alignment horizontal="center"/>
    </xf>
    <xf numFmtId="38" fontId="53" fillId="0" borderId="173" xfId="0" applyNumberFormat="1" applyFont="1" applyBorder="1" applyAlignment="1">
      <alignment horizontal="center"/>
    </xf>
    <xf numFmtId="38" fontId="54" fillId="0" borderId="83" xfId="0" applyNumberFormat="1" applyFont="1" applyBorder="1" applyAlignment="1">
      <alignment horizontal="left" vertical="top" wrapText="1"/>
    </xf>
    <xf numFmtId="38" fontId="53" fillId="0" borderId="86" xfId="0" applyNumberFormat="1" applyFont="1" applyBorder="1" applyAlignment="1">
      <alignment horizontal="center"/>
    </xf>
    <xf numFmtId="38" fontId="53" fillId="0" borderId="128" xfId="0" applyNumberFormat="1" applyFont="1" applyBorder="1" applyAlignment="1">
      <alignment horizontal="center"/>
    </xf>
    <xf numFmtId="38" fontId="53" fillId="0" borderId="132" xfId="0" applyNumberFormat="1" applyFont="1" applyBorder="1" applyAlignment="1">
      <alignment horizontal="center"/>
    </xf>
    <xf numFmtId="38" fontId="53" fillId="0" borderId="92" xfId="0" applyNumberFormat="1" applyFont="1" applyBorder="1" applyAlignment="1">
      <alignment horizontal="center"/>
    </xf>
    <xf numFmtId="38" fontId="54" fillId="0" borderId="135" xfId="0" applyNumberFormat="1" applyFont="1" applyBorder="1" applyAlignment="1">
      <alignment horizontal="center"/>
    </xf>
    <xf numFmtId="38" fontId="53" fillId="0" borderId="134" xfId="0" applyNumberFormat="1" applyFont="1" applyBorder="1" applyAlignment="1">
      <alignment horizontal="center"/>
    </xf>
    <xf numFmtId="38" fontId="54" fillId="0" borderId="136" xfId="0" applyNumberFormat="1" applyFont="1" applyBorder="1" applyAlignment="1">
      <alignment horizontal="center"/>
    </xf>
    <xf numFmtId="38" fontId="53" fillId="0" borderId="137" xfId="0" applyNumberFormat="1" applyFont="1" applyBorder="1" applyAlignment="1">
      <alignment horizontal="center"/>
    </xf>
    <xf numFmtId="38" fontId="54" fillId="0" borderId="138" xfId="0" applyNumberFormat="1" applyFont="1" applyBorder="1" applyAlignment="1">
      <alignment horizontal="center"/>
    </xf>
    <xf numFmtId="38" fontId="53" fillId="0" borderId="139" xfId="0" applyNumberFormat="1" applyFont="1" applyBorder="1" applyAlignment="1">
      <alignment horizontal="center"/>
    </xf>
    <xf numFmtId="38" fontId="54" fillId="0" borderId="140" xfId="0" applyNumberFormat="1" applyFont="1" applyBorder="1" applyAlignment="1">
      <alignment horizontal="center"/>
    </xf>
    <xf numFmtId="38" fontId="54" fillId="0" borderId="141" xfId="0" applyNumberFormat="1" applyFont="1" applyBorder="1" applyAlignment="1">
      <alignment horizontal="center"/>
    </xf>
    <xf numFmtId="38" fontId="53" fillId="0" borderId="96" xfId="0" applyNumberFormat="1" applyFont="1" applyBorder="1" applyAlignment="1">
      <alignment horizontal="center"/>
    </xf>
    <xf numFmtId="38" fontId="53" fillId="0" borderId="97" xfId="0" applyNumberFormat="1" applyFont="1" applyBorder="1" applyAlignment="1">
      <alignment horizontal="center"/>
    </xf>
    <xf numFmtId="38" fontId="53" fillId="0" borderId="156" xfId="0" applyNumberFormat="1" applyFont="1" applyBorder="1" applyAlignment="1">
      <alignment horizontal="left"/>
    </xf>
    <xf numFmtId="38" fontId="53" fillId="0" borderId="20" xfId="0" applyNumberFormat="1" applyFont="1" applyBorder="1" applyAlignment="1">
      <alignment horizontal="center"/>
    </xf>
    <xf numFmtId="38" fontId="53" fillId="0" borderId="19" xfId="0" applyNumberFormat="1" applyFont="1" applyBorder="1" applyAlignment="1">
      <alignment horizontal="center"/>
    </xf>
    <xf numFmtId="38" fontId="53" fillId="0" borderId="143" xfId="0" applyNumberFormat="1" applyFont="1" applyBorder="1" applyAlignment="1">
      <alignment horizontal="center"/>
    </xf>
    <xf numFmtId="38" fontId="53" fillId="0" borderId="142" xfId="0" applyNumberFormat="1" applyFont="1" applyBorder="1" applyAlignment="1">
      <alignment horizontal="center"/>
    </xf>
    <xf numFmtId="38" fontId="53" fillId="0" borderId="152" xfId="0" applyNumberFormat="1" applyFont="1" applyBorder="1" applyAlignment="1">
      <alignment horizontal="center"/>
    </xf>
    <xf numFmtId="38" fontId="53" fillId="0" borderId="156" xfId="0" applyNumberFormat="1" applyFont="1" applyBorder="1" applyAlignment="1">
      <alignment horizontal="center"/>
    </xf>
    <xf numFmtId="38" fontId="53" fillId="0" borderId="154" xfId="0" applyNumberFormat="1" applyFont="1" applyBorder="1" applyAlignment="1">
      <alignment horizontal="center"/>
    </xf>
    <xf numFmtId="38" fontId="53" fillId="0" borderId="144" xfId="0" applyNumberFormat="1" applyFont="1" applyBorder="1" applyAlignment="1">
      <alignment horizontal="center"/>
    </xf>
    <xf numFmtId="38" fontId="53" fillId="0" borderId="146" xfId="0" applyNumberFormat="1" applyFont="1" applyBorder="1" applyAlignment="1">
      <alignment horizontal="center"/>
    </xf>
    <xf numFmtId="38" fontId="101" fillId="0" borderId="58" xfId="0" applyNumberFormat="1" applyFont="1" applyBorder="1" applyAlignment="1">
      <alignment horizontal="left"/>
    </xf>
    <xf numFmtId="38" fontId="101" fillId="0" borderId="59" xfId="0" applyNumberFormat="1" applyFont="1" applyBorder="1" applyAlignment="1">
      <alignment horizontal="left" vertical="top"/>
    </xf>
    <xf numFmtId="38" fontId="101" fillId="0" borderId="65" xfId="0" applyNumberFormat="1" applyFont="1" applyBorder="1" applyAlignment="1">
      <alignment horizontal="center"/>
    </xf>
    <xf numFmtId="38" fontId="53" fillId="0" borderId="88" xfId="0" applyNumberFormat="1" applyFont="1" applyBorder="1" applyAlignment="1">
      <alignment horizontal="center"/>
    </xf>
    <xf numFmtId="38" fontId="101" fillId="0" borderId="58" xfId="0" applyNumberFormat="1" applyFont="1" applyBorder="1" applyAlignment="1">
      <alignment horizontal="center"/>
    </xf>
    <xf numFmtId="38" fontId="101" fillId="0" borderId="63" xfId="0" applyNumberFormat="1" applyFont="1" applyBorder="1" applyAlignment="1">
      <alignment horizontal="center"/>
    </xf>
    <xf numFmtId="38" fontId="53" fillId="0" borderId="90" xfId="0" applyNumberFormat="1" applyFont="1" applyBorder="1" applyAlignment="1">
      <alignment horizontal="center"/>
    </xf>
    <xf numFmtId="38" fontId="101" fillId="0" borderId="87" xfId="0" applyNumberFormat="1" applyFont="1" applyBorder="1" applyAlignment="1">
      <alignment horizontal="center"/>
    </xf>
    <xf numFmtId="38" fontId="101" fillId="0" borderId="88" xfId="0" applyNumberFormat="1" applyFont="1" applyBorder="1" applyAlignment="1">
      <alignment horizontal="center"/>
    </xf>
    <xf numFmtId="38" fontId="101" fillId="0" borderId="108" xfId="0" applyNumberFormat="1" applyFont="1" applyBorder="1" applyAlignment="1">
      <alignment horizontal="center"/>
    </xf>
    <xf numFmtId="38" fontId="53" fillId="0" borderId="167" xfId="0" applyNumberFormat="1" applyFont="1" applyBorder="1" applyAlignment="1">
      <alignment horizontal="center"/>
    </xf>
    <xf numFmtId="38" fontId="53" fillId="0" borderId="65" xfId="0" applyNumberFormat="1" applyFont="1" applyBorder="1" applyAlignment="1">
      <alignment horizontal="center"/>
    </xf>
    <xf numFmtId="38" fontId="101" fillId="0" borderId="64" xfId="0" applyNumberFormat="1" applyFont="1" applyBorder="1" applyAlignment="1">
      <alignment horizontal="center"/>
    </xf>
    <xf numFmtId="38" fontId="101" fillId="0" borderId="62" xfId="0" applyNumberFormat="1" applyFont="1" applyBorder="1" applyAlignment="1">
      <alignment horizontal="center"/>
    </xf>
    <xf numFmtId="38" fontId="101" fillId="0" borderId="66" xfId="0" applyNumberFormat="1" applyFont="1" applyBorder="1" applyAlignment="1">
      <alignment horizontal="center"/>
    </xf>
    <xf numFmtId="38" fontId="101" fillId="0" borderId="140" xfId="0" applyNumberFormat="1" applyFont="1" applyBorder="1" applyAlignment="1">
      <alignment horizontal="center"/>
    </xf>
    <xf numFmtId="38" fontId="101" fillId="0" borderId="139" xfId="0" applyNumberFormat="1" applyFont="1" applyBorder="1" applyAlignment="1">
      <alignment horizontal="center"/>
    </xf>
    <xf numFmtId="38" fontId="101" fillId="0" borderId="137" xfId="0" applyNumberFormat="1" applyFont="1" applyBorder="1" applyAlignment="1">
      <alignment horizontal="center"/>
    </xf>
    <xf numFmtId="38" fontId="101" fillId="0" borderId="93" xfId="0" applyNumberFormat="1" applyFont="1" applyBorder="1" applyAlignment="1">
      <alignment horizontal="left"/>
    </xf>
    <xf numFmtId="38" fontId="101" fillId="0" borderId="94" xfId="0" applyNumberFormat="1" applyFont="1" applyBorder="1" applyAlignment="1">
      <alignment horizontal="left" vertical="top"/>
    </xf>
    <xf numFmtId="38" fontId="53" fillId="0" borderId="168" xfId="0" applyNumberFormat="1" applyFont="1" applyBorder="1" applyAlignment="1">
      <alignment horizontal="center"/>
    </xf>
    <xf numFmtId="38" fontId="53" fillId="0" borderId="98" xfId="0" applyNumberFormat="1" applyFont="1" applyBorder="1" applyAlignment="1">
      <alignment horizontal="center"/>
    </xf>
    <xf numFmtId="38" fontId="53" fillId="0" borderId="100" xfId="0" applyNumberFormat="1" applyFont="1" applyBorder="1" applyAlignment="1">
      <alignment horizontal="center"/>
    </xf>
    <xf numFmtId="38" fontId="101" fillId="0" borderId="97" xfId="0" applyNumberFormat="1" applyFont="1" applyBorder="1" applyAlignment="1">
      <alignment horizontal="center"/>
    </xf>
    <xf numFmtId="38" fontId="101" fillId="0" borderId="98" xfId="0" applyNumberFormat="1" applyFont="1" applyBorder="1" applyAlignment="1">
      <alignment horizontal="center"/>
    </xf>
    <xf numFmtId="38" fontId="101" fillId="0" borderId="101" xfId="0" applyNumberFormat="1" applyFont="1" applyBorder="1" applyAlignment="1">
      <alignment horizontal="center"/>
    </xf>
    <xf numFmtId="38" fontId="102" fillId="0" borderId="101" xfId="0" applyNumberFormat="1" applyFont="1" applyBorder="1" applyAlignment="1">
      <alignment horizontal="center"/>
    </xf>
    <xf numFmtId="38" fontId="101" fillId="0" borderId="83" xfId="0" applyNumberFormat="1" applyFont="1" applyBorder="1" applyAlignment="1">
      <alignment horizontal="left"/>
    </xf>
    <xf numFmtId="38" fontId="101" fillId="0" borderId="84" xfId="0" applyNumberFormat="1" applyFont="1" applyBorder="1" applyAlignment="1">
      <alignment horizontal="left" vertical="top"/>
    </xf>
    <xf numFmtId="38" fontId="101" fillId="0" borderId="90" xfId="0" applyNumberFormat="1" applyFont="1" applyBorder="1" applyAlignment="1">
      <alignment horizontal="center"/>
    </xf>
    <xf numFmtId="38" fontId="54" fillId="0" borderId="115" xfId="0" applyNumberFormat="1" applyFont="1" applyBorder="1" applyAlignment="1">
      <alignment horizontal="center"/>
    </xf>
    <xf numFmtId="38" fontId="54" fillId="0" borderId="116" xfId="0" applyNumberFormat="1" applyFont="1" applyBorder="1" applyAlignment="1">
      <alignment horizontal="center"/>
    </xf>
    <xf numFmtId="38" fontId="54" fillId="0" borderId="174" xfId="0" applyNumberFormat="1" applyFont="1" applyBorder="1" applyAlignment="1">
      <alignment horizontal="center"/>
    </xf>
    <xf numFmtId="38" fontId="101" fillId="0" borderId="83" xfId="0" applyNumberFormat="1" applyFont="1" applyBorder="1" applyAlignment="1">
      <alignment horizontal="center"/>
    </xf>
    <xf numFmtId="38" fontId="101" fillId="0" borderId="89" xfId="0" applyNumberFormat="1" applyFont="1" applyBorder="1" applyAlignment="1">
      <alignment horizontal="center"/>
    </xf>
    <xf numFmtId="38" fontId="101" fillId="0" borderId="127" xfId="0" applyNumberFormat="1" applyFont="1" applyBorder="1" applyAlignment="1">
      <alignment horizontal="left"/>
    </xf>
    <xf numFmtId="38" fontId="101" fillId="0" borderId="128" xfId="0" applyNumberFormat="1" applyFont="1" applyBorder="1" applyAlignment="1">
      <alignment horizontal="left" vertical="top"/>
    </xf>
    <xf numFmtId="38" fontId="101" fillId="0" borderId="133" xfId="0" applyNumberFormat="1" applyFont="1" applyBorder="1" applyAlignment="1">
      <alignment horizontal="center"/>
    </xf>
    <xf numFmtId="38" fontId="54" fillId="0" borderId="175" xfId="0" applyNumberFormat="1" applyFont="1" applyBorder="1" applyAlignment="1">
      <alignment horizontal="center"/>
    </xf>
    <xf numFmtId="38" fontId="54" fillId="0" borderId="176" xfId="0" applyNumberFormat="1" applyFont="1" applyBorder="1" applyAlignment="1">
      <alignment horizontal="center"/>
    </xf>
    <xf numFmtId="38" fontId="101" fillId="0" borderId="127" xfId="0" applyNumberFormat="1" applyFont="1" applyBorder="1" applyAlignment="1">
      <alignment horizontal="center"/>
    </xf>
    <xf numFmtId="38" fontId="101" fillId="0" borderId="131" xfId="0" applyNumberFormat="1" applyFont="1" applyBorder="1" applyAlignment="1">
      <alignment horizontal="center"/>
    </xf>
    <xf numFmtId="38" fontId="101" fillId="0" borderId="100" xfId="0" applyNumberFormat="1" applyFont="1" applyBorder="1" applyAlignment="1">
      <alignment horizontal="center"/>
    </xf>
    <xf numFmtId="38" fontId="54" fillId="0" borderId="177" xfId="0" applyNumberFormat="1" applyFont="1" applyBorder="1" applyAlignment="1">
      <alignment horizontal="center"/>
    </xf>
    <xf numFmtId="38" fontId="54" fillId="0" borderId="178" xfId="0" applyNumberFormat="1" applyFont="1" applyBorder="1" applyAlignment="1">
      <alignment horizontal="center"/>
    </xf>
    <xf numFmtId="38" fontId="101" fillId="0" borderId="93" xfId="0" applyNumberFormat="1" applyFont="1" applyBorder="1" applyAlignment="1">
      <alignment horizontal="center"/>
    </xf>
    <xf numFmtId="38" fontId="101" fillId="0" borderId="99" xfId="0" applyNumberFormat="1" applyFont="1" applyBorder="1" applyAlignment="1">
      <alignment horizontal="center"/>
    </xf>
    <xf numFmtId="38" fontId="53" fillId="0" borderId="111" xfId="0" applyNumberFormat="1" applyFont="1" applyBorder="1" applyAlignment="1">
      <alignment horizontal="center"/>
    </xf>
    <xf numFmtId="38" fontId="53" fillId="0" borderId="112" xfId="0" applyNumberFormat="1" applyFont="1" applyBorder="1" applyAlignment="1">
      <alignment horizontal="center"/>
    </xf>
    <xf numFmtId="38" fontId="53" fillId="0" borderId="113" xfId="0" applyNumberFormat="1" applyFont="1" applyBorder="1" applyAlignment="1">
      <alignment horizontal="center"/>
    </xf>
    <xf numFmtId="43" fontId="53" fillId="0" borderId="112" xfId="1" applyFont="1" applyFill="1" applyBorder="1" applyAlignment="1">
      <alignment horizontal="center"/>
    </xf>
    <xf numFmtId="38" fontId="53" fillId="0" borderId="148" xfId="0" applyNumberFormat="1" applyFont="1" applyBorder="1" applyAlignment="1">
      <alignment horizontal="center"/>
    </xf>
    <xf numFmtId="38" fontId="53" fillId="0" borderId="93" xfId="0" applyNumberFormat="1" applyFont="1" applyBorder="1" applyAlignment="1">
      <alignment horizontal="left" vertical="top" wrapText="1"/>
    </xf>
    <xf numFmtId="38" fontId="53" fillId="0" borderId="101" xfId="0" applyNumberFormat="1" applyFont="1" applyBorder="1" applyAlignment="1">
      <alignment horizontal="center"/>
    </xf>
    <xf numFmtId="38" fontId="53" fillId="0" borderId="12" xfId="0" applyNumberFormat="1" applyFont="1" applyBorder="1" applyAlignment="1">
      <alignment horizontal="center"/>
    </xf>
    <xf numFmtId="172" fontId="53" fillId="0" borderId="0" xfId="0" applyNumberFormat="1" applyFont="1" applyAlignment="1">
      <alignment horizontal="left"/>
    </xf>
    <xf numFmtId="172" fontId="54" fillId="39" borderId="0" xfId="0" applyNumberFormat="1" applyFont="1" applyFill="1" applyAlignment="1">
      <alignment horizontal="left"/>
    </xf>
    <xf numFmtId="172" fontId="53" fillId="31" borderId="0" xfId="0" applyNumberFormat="1" applyFont="1" applyFill="1" applyAlignment="1">
      <alignment horizontal="left"/>
    </xf>
    <xf numFmtId="172" fontId="54" fillId="11" borderId="0" xfId="0" applyNumberFormat="1" applyFont="1" applyFill="1" applyAlignment="1">
      <alignment horizontal="left"/>
    </xf>
    <xf numFmtId="172" fontId="54" fillId="31" borderId="0" xfId="0" applyNumberFormat="1" applyFont="1" applyFill="1" applyAlignment="1">
      <alignment horizontal="left"/>
    </xf>
    <xf numFmtId="38" fontId="53" fillId="31" borderId="0" xfId="0" applyNumberFormat="1" applyFont="1" applyFill="1"/>
    <xf numFmtId="38" fontId="54" fillId="0" borderId="0" xfId="0" applyNumberFormat="1" applyFont="1"/>
    <xf numFmtId="38" fontId="53" fillId="0" borderId="0" xfId="0" applyNumberFormat="1" applyFont="1"/>
    <xf numFmtId="40" fontId="54" fillId="0" borderId="0" xfId="0" applyNumberFormat="1" applyFont="1"/>
    <xf numFmtId="40" fontId="53" fillId="0" borderId="0" xfId="0" applyNumberFormat="1" applyFont="1"/>
    <xf numFmtId="0" fontId="36" fillId="0" borderId="156" xfId="0" quotePrefix="1" applyFont="1" applyBorder="1"/>
    <xf numFmtId="0" fontId="36" fillId="0" borderId="156" xfId="0" applyFont="1" applyBorder="1"/>
    <xf numFmtId="0" fontId="1" fillId="25" borderId="4" xfId="0" applyFont="1" applyFill="1" applyBorder="1"/>
    <xf numFmtId="0" fontId="87" fillId="16" borderId="0" xfId="0" applyFont="1" applyFill="1" applyAlignment="1">
      <alignment horizontal="left" vertical="center"/>
    </xf>
    <xf numFmtId="0" fontId="67" fillId="16" borderId="0" xfId="4" applyFont="1" applyFill="1" applyBorder="1" applyAlignment="1">
      <alignment horizontal="center" vertical="center"/>
    </xf>
    <xf numFmtId="0" fontId="37" fillId="16" borderId="0" xfId="4" applyFont="1" applyFill="1" applyBorder="1" applyAlignment="1">
      <alignment vertical="center"/>
    </xf>
    <xf numFmtId="0" fontId="36" fillId="16" borderId="0" xfId="4" applyFont="1" applyFill="1" applyBorder="1" applyAlignment="1">
      <alignment vertical="center"/>
    </xf>
    <xf numFmtId="0" fontId="43" fillId="0" borderId="0" xfId="0" applyFont="1" applyFill="1" applyAlignment="1">
      <alignment horizontal="left"/>
    </xf>
    <xf numFmtId="0" fontId="16" fillId="25" borderId="4" xfId="0" applyFont="1" applyFill="1" applyBorder="1" applyAlignment="1">
      <alignment horizontal="center"/>
    </xf>
    <xf numFmtId="0" fontId="32" fillId="16" borderId="34" xfId="0" applyFont="1" applyFill="1" applyBorder="1" applyAlignment="1">
      <alignment horizontal="left" vertical="center" indent="2"/>
    </xf>
    <xf numFmtId="0" fontId="32" fillId="16" borderId="0" xfId="0" applyFont="1" applyFill="1" applyBorder="1" applyAlignment="1">
      <alignment horizontal="left" vertical="center" indent="2"/>
    </xf>
    <xf numFmtId="0" fontId="32" fillId="16" borderId="35" xfId="0" applyFont="1" applyFill="1" applyBorder="1" applyAlignment="1">
      <alignment horizontal="left" vertical="center" indent="2"/>
    </xf>
    <xf numFmtId="14" fontId="32" fillId="16" borderId="34" xfId="0" applyNumberFormat="1" applyFont="1" applyFill="1" applyBorder="1" applyAlignment="1">
      <alignment horizontal="left" vertical="center" wrapText="1" indent="2"/>
    </xf>
    <xf numFmtId="14" fontId="32" fillId="16" borderId="0" xfId="0" applyNumberFormat="1" applyFont="1" applyFill="1" applyBorder="1" applyAlignment="1">
      <alignment horizontal="left" vertical="center" wrapText="1" indent="2"/>
    </xf>
    <xf numFmtId="14" fontId="32" fillId="16" borderId="35" xfId="0" applyNumberFormat="1" applyFont="1" applyFill="1" applyBorder="1" applyAlignment="1">
      <alignment horizontal="left" vertical="center" wrapText="1" indent="2"/>
    </xf>
    <xf numFmtId="0" fontId="73" fillId="0" borderId="0" xfId="0" applyFont="1" applyAlignment="1"/>
    <xf numFmtId="0" fontId="74" fillId="0" borderId="0" xfId="0" applyFont="1" applyAlignment="1"/>
    <xf numFmtId="3" fontId="74" fillId="0" borderId="6" xfId="0" applyNumberFormat="1" applyFont="1" applyBorder="1" applyAlignment="1">
      <alignment horizontal="left"/>
    </xf>
  </cellXfs>
  <cellStyles count="37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7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" builtinId="8"/>
    <cellStyle name="Input" xfId="11" builtinId="20" customBuiltin="1"/>
    <cellStyle name="Linked Cell" xfId="14" builtinId="24" customBuiltin="1"/>
    <cellStyle name="Neutral" xfId="2" builtinId="28" customBuiltin="1"/>
    <cellStyle name="Normal" xfId="0" builtinId="0"/>
    <cellStyle name="Output" xfId="12" builtinId="21" customBuiltin="1"/>
    <cellStyle name="Percent" xfId="3" builtinId="5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35</xdr:row>
      <xdr:rowOff>91109</xdr:rowOff>
    </xdr:from>
    <xdr:to>
      <xdr:col>5</xdr:col>
      <xdr:colOff>564421</xdr:colOff>
      <xdr:row>40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35</xdr:row>
      <xdr:rowOff>149087</xdr:rowOff>
    </xdr:from>
    <xdr:to>
      <xdr:col>2</xdr:col>
      <xdr:colOff>74544</xdr:colOff>
      <xdr:row>40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4033" name="Drop Down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02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49</xdr:row>
      <xdr:rowOff>95251</xdr:rowOff>
    </xdr:from>
    <xdr:to>
      <xdr:col>3</xdr:col>
      <xdr:colOff>514350</xdr:colOff>
      <xdr:row>51</xdr:row>
      <xdr:rowOff>66663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295276"/>
          <a:ext cx="1704975" cy="314312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53</xdr:row>
      <xdr:rowOff>86183</xdr:rowOff>
    </xdr:from>
    <xdr:to>
      <xdr:col>5</xdr:col>
      <xdr:colOff>476250</xdr:colOff>
      <xdr:row>56</xdr:row>
      <xdr:rowOff>9983</xdr:rowOff>
    </xdr:to>
    <xdr:pic>
      <xdr:nvPicPr>
        <xdr:cNvPr id="3" name="Picture 2" descr="http://www.seai.ie/SEAI_Logo_large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12287708"/>
          <a:ext cx="15811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</xdr:colOff>
      <xdr:row>2</xdr:row>
      <xdr:rowOff>134471</xdr:rowOff>
    </xdr:from>
    <xdr:to>
      <xdr:col>18</xdr:col>
      <xdr:colOff>114300</xdr:colOff>
      <xdr:row>52</xdr:row>
      <xdr:rowOff>78442</xdr:rowOff>
    </xdr:to>
    <xdr:pic>
      <xdr:nvPicPr>
        <xdr:cNvPr id="2" name="Picture 1" descr="http://boc.ie/clipart/Graphs/i-2015%20ps%20energy%20sankey%202015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4717" y="515471"/>
          <a:ext cx="9791701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cso.ie/en/releasesandpublications/er/ndber/non-domesticbuildingenergyratingsq22017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eai.ie/publications/Public-Sector-Annual-Report-2019.pdf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</sheetPr>
  <dimension ref="A1:N43"/>
  <sheetViews>
    <sheetView showGridLines="0" zoomScale="115" zoomScaleNormal="115" zoomScalePageLayoutView="70" workbookViewId="0">
      <selection activeCell="A11" sqref="A11"/>
    </sheetView>
  </sheetViews>
  <sheetFormatPr defaultColWidth="8.85546875" defaultRowHeight="15"/>
  <cols>
    <col min="1" max="1" width="15.28515625" style="474" bestFit="1" customWidth="1"/>
    <col min="2" max="8" width="14.140625" style="474" customWidth="1"/>
    <col min="9" max="9" width="12.140625" style="474" customWidth="1"/>
    <col min="10" max="12" width="8.140625" style="474" customWidth="1"/>
    <col min="13" max="13" width="9.7109375" style="474" customWidth="1"/>
    <col min="14" max="14" width="8.140625" style="474" customWidth="1"/>
    <col min="15" max="15" width="10" style="474" customWidth="1"/>
    <col min="16" max="16" width="11.42578125" style="474" customWidth="1"/>
    <col min="17" max="17" width="13.42578125" style="474" customWidth="1"/>
    <col min="18" max="31" width="8.85546875" style="474"/>
    <col min="32" max="32" width="21.42578125" style="474" customWidth="1"/>
    <col min="33" max="38" width="8.85546875" style="474"/>
    <col min="39" max="39" width="21.28515625" style="474" customWidth="1"/>
    <col min="40" max="16384" width="8.85546875" style="474"/>
  </cols>
  <sheetData>
    <row r="1" spans="1:6">
      <c r="A1" s="473"/>
      <c r="B1" s="473"/>
      <c r="C1" s="473"/>
      <c r="D1" s="473"/>
      <c r="E1" s="473"/>
      <c r="F1" s="473"/>
    </row>
    <row r="2" spans="1:6">
      <c r="A2" s="473"/>
      <c r="B2" s="473"/>
      <c r="C2" s="473"/>
      <c r="D2" s="473"/>
      <c r="E2" s="473"/>
      <c r="F2" s="473"/>
    </row>
    <row r="3" spans="1:6">
      <c r="A3" s="473"/>
      <c r="B3" s="473"/>
      <c r="C3" s="473"/>
      <c r="D3" s="473"/>
      <c r="E3" s="473"/>
      <c r="F3" s="473"/>
    </row>
    <row r="4" spans="1:6">
      <c r="A4" s="473"/>
      <c r="B4" s="473"/>
      <c r="C4" s="473"/>
      <c r="D4" s="473"/>
      <c r="E4" s="473"/>
      <c r="F4" s="473"/>
    </row>
    <row r="5" spans="1:6">
      <c r="A5" s="473"/>
      <c r="B5" s="473"/>
      <c r="C5" s="473"/>
      <c r="D5" s="473"/>
      <c r="E5" s="473"/>
      <c r="F5" s="473"/>
    </row>
    <row r="6" spans="1:6">
      <c r="A6" s="473"/>
      <c r="B6" s="473"/>
      <c r="C6" s="473"/>
      <c r="D6" s="473"/>
      <c r="E6" s="473"/>
      <c r="F6" s="473"/>
    </row>
    <row r="7" spans="1:6">
      <c r="A7" s="473"/>
      <c r="B7" s="473"/>
      <c r="C7" s="473"/>
      <c r="D7" s="473"/>
      <c r="E7" s="473"/>
      <c r="F7" s="473"/>
    </row>
    <row r="8" spans="1:6">
      <c r="A8" s="473"/>
      <c r="B8" s="473"/>
      <c r="C8" s="473"/>
      <c r="D8" s="473"/>
      <c r="E8" s="473"/>
      <c r="F8" s="473"/>
    </row>
    <row r="9" spans="1:6">
      <c r="A9" s="473"/>
      <c r="B9" s="473"/>
      <c r="C9" s="473"/>
      <c r="D9" s="473"/>
      <c r="E9" s="473"/>
      <c r="F9" s="473"/>
    </row>
    <row r="10" spans="1:6">
      <c r="A10" s="473"/>
      <c r="B10" s="473"/>
      <c r="C10" s="473"/>
      <c r="D10" s="473"/>
      <c r="E10" s="473"/>
      <c r="F10" s="473"/>
    </row>
    <row r="11" spans="1:6">
      <c r="A11" s="473"/>
      <c r="B11" s="473"/>
      <c r="C11" s="473"/>
      <c r="D11" s="473"/>
      <c r="E11" s="473"/>
      <c r="F11" s="473"/>
    </row>
    <row r="12" spans="1:6">
      <c r="A12" s="473"/>
      <c r="B12" s="473"/>
      <c r="C12" s="473"/>
      <c r="D12" s="473"/>
      <c r="E12" s="473"/>
      <c r="F12" s="473"/>
    </row>
    <row r="13" spans="1:6">
      <c r="A13" s="473"/>
      <c r="B13" s="473"/>
      <c r="C13" s="473" t="s">
        <v>230</v>
      </c>
      <c r="D13" s="473"/>
      <c r="E13" s="473"/>
      <c r="F13" s="473"/>
    </row>
    <row r="14" spans="1:6">
      <c r="A14" s="473"/>
      <c r="B14" s="473"/>
      <c r="C14" s="473"/>
      <c r="D14" s="473"/>
      <c r="E14" s="473"/>
      <c r="F14" s="473"/>
    </row>
    <row r="15" spans="1:6">
      <c r="A15" s="473"/>
      <c r="B15" s="473"/>
      <c r="C15" s="473"/>
      <c r="D15" s="473"/>
      <c r="E15" s="473"/>
      <c r="F15" s="473"/>
    </row>
    <row r="16" spans="1:6">
      <c r="A16" s="473"/>
      <c r="B16" s="473"/>
      <c r="C16" s="473"/>
      <c r="D16" s="473"/>
      <c r="E16" s="473"/>
      <c r="F16" s="473"/>
    </row>
    <row r="17" spans="1:14" ht="102.75" customHeight="1">
      <c r="A17" s="814" t="s">
        <v>396</v>
      </c>
      <c r="B17" s="814"/>
      <c r="C17" s="814"/>
      <c r="D17" s="814"/>
      <c r="E17" s="814"/>
      <c r="F17" s="814"/>
      <c r="G17" s="314"/>
      <c r="H17" s="314"/>
      <c r="I17" s="315"/>
      <c r="J17" s="315"/>
      <c r="K17" s="315"/>
      <c r="L17" s="315"/>
      <c r="M17" s="315"/>
      <c r="N17" s="315"/>
    </row>
    <row r="18" spans="1:14" ht="17.25" customHeight="1">
      <c r="A18" s="475"/>
      <c r="B18" s="475"/>
      <c r="C18" s="475"/>
      <c r="D18" s="475"/>
      <c r="E18" s="475"/>
      <c r="F18" s="475"/>
    </row>
    <row r="19" spans="1:14" ht="17.25" customHeight="1">
      <c r="A19" s="475"/>
      <c r="B19" s="475"/>
      <c r="C19" s="475"/>
      <c r="D19" s="475"/>
      <c r="E19" s="475"/>
      <c r="F19" s="475"/>
      <c r="G19" s="316"/>
      <c r="H19" s="316"/>
      <c r="I19" s="317"/>
      <c r="J19" s="317"/>
      <c r="K19" s="317"/>
      <c r="L19" s="317"/>
      <c r="M19" s="317"/>
      <c r="N19" s="317"/>
    </row>
    <row r="20" spans="1:14" ht="17.25" customHeight="1">
      <c r="A20" s="318" t="s">
        <v>397</v>
      </c>
      <c r="B20" s="815" t="s">
        <v>398</v>
      </c>
      <c r="C20" s="815"/>
      <c r="D20" s="815"/>
      <c r="E20" s="815"/>
      <c r="F20" s="815"/>
      <c r="G20" s="319"/>
      <c r="H20" s="319"/>
      <c r="I20" s="320"/>
      <c r="J20" s="320"/>
      <c r="K20" s="320"/>
      <c r="L20" s="320"/>
      <c r="M20" s="320"/>
      <c r="N20" s="320"/>
    </row>
    <row r="21" spans="1:14" ht="17.25" customHeight="1">
      <c r="A21" s="318" t="s">
        <v>399</v>
      </c>
      <c r="B21" s="816" t="s">
        <v>531</v>
      </c>
      <c r="C21" s="816"/>
      <c r="D21" s="816"/>
      <c r="E21" s="816"/>
      <c r="F21" s="816"/>
      <c r="G21" s="319"/>
      <c r="H21" s="319"/>
      <c r="I21" s="320"/>
      <c r="J21" s="320"/>
      <c r="K21" s="320"/>
      <c r="L21" s="320"/>
      <c r="M21" s="320"/>
      <c r="N21" s="320"/>
    </row>
    <row r="22" spans="1:14" ht="17.25" customHeight="1">
      <c r="A22" s="318" t="s">
        <v>400</v>
      </c>
      <c r="B22" s="816" t="s">
        <v>401</v>
      </c>
      <c r="C22" s="816"/>
      <c r="D22" s="816"/>
      <c r="E22" s="816"/>
      <c r="F22" s="816"/>
    </row>
    <row r="23" spans="1:14" ht="17.25" customHeight="1">
      <c r="A23" s="321" t="s">
        <v>402</v>
      </c>
      <c r="B23" s="473"/>
      <c r="C23" s="473"/>
      <c r="D23" s="473"/>
      <c r="E23" s="322"/>
      <c r="F23" s="322"/>
      <c r="G23" s="323"/>
      <c r="H23" s="323"/>
    </row>
    <row r="24" spans="1:14" ht="17.25" customHeight="1">
      <c r="A24" s="817" t="s">
        <v>491</v>
      </c>
      <c r="B24" s="817"/>
      <c r="C24" s="817"/>
      <c r="D24" s="817"/>
      <c r="E24" s="817"/>
      <c r="F24" s="817"/>
      <c r="G24" s="323"/>
      <c r="H24" s="323"/>
    </row>
    <row r="25" spans="1:14" ht="17.25" customHeight="1">
      <c r="A25" s="813" t="s">
        <v>490</v>
      </c>
      <c r="B25" s="813"/>
      <c r="C25" s="813"/>
      <c r="D25" s="813"/>
      <c r="E25" s="813"/>
      <c r="F25" s="813"/>
    </row>
    <row r="26" spans="1:14">
      <c r="A26" s="473"/>
      <c r="B26" s="473"/>
      <c r="C26" s="473"/>
      <c r="D26" s="473"/>
      <c r="E26" s="473"/>
      <c r="F26" s="473"/>
    </row>
    <row r="27" spans="1:14">
      <c r="A27" s="473"/>
      <c r="B27" s="473"/>
      <c r="C27" s="473"/>
      <c r="D27" s="473"/>
      <c r="E27" s="473"/>
      <c r="F27" s="473"/>
    </row>
    <row r="28" spans="1:14">
      <c r="A28" s="473"/>
      <c r="B28" s="473"/>
      <c r="C28" s="473"/>
      <c r="D28" s="473"/>
      <c r="E28" s="473"/>
      <c r="F28" s="473"/>
    </row>
    <row r="29" spans="1:14">
      <c r="A29" s="473"/>
      <c r="B29" s="473"/>
      <c r="C29" s="473"/>
      <c r="D29" s="473"/>
      <c r="E29" s="473"/>
      <c r="F29" s="473"/>
    </row>
    <row r="30" spans="1:14">
      <c r="A30" s="473"/>
      <c r="B30" s="473"/>
      <c r="C30" s="473"/>
      <c r="D30" s="473"/>
      <c r="E30" s="473"/>
      <c r="F30" s="473"/>
    </row>
    <row r="31" spans="1:14">
      <c r="A31" s="473"/>
      <c r="B31" s="473"/>
      <c r="C31" s="473"/>
      <c r="D31" s="473"/>
      <c r="E31" s="473"/>
      <c r="F31" s="473"/>
    </row>
    <row r="32" spans="1:14">
      <c r="A32" s="473"/>
      <c r="B32" s="473"/>
      <c r="C32" s="473"/>
      <c r="D32" s="473"/>
      <c r="E32" s="473"/>
      <c r="F32" s="473"/>
    </row>
    <row r="33" spans="1:6">
      <c r="A33" s="473"/>
      <c r="B33" s="473"/>
      <c r="C33" s="473"/>
      <c r="D33" s="473"/>
      <c r="E33" s="473"/>
      <c r="F33" s="473"/>
    </row>
    <row r="34" spans="1:6">
      <c r="A34" s="473"/>
      <c r="B34" s="473"/>
      <c r="C34" s="473"/>
      <c r="D34" s="473"/>
      <c r="E34" s="473"/>
      <c r="F34" s="473"/>
    </row>
    <row r="35" spans="1:6">
      <c r="A35" s="473"/>
      <c r="B35" s="473"/>
      <c r="C35" s="473"/>
      <c r="D35" s="473"/>
      <c r="E35" s="473"/>
      <c r="F35" s="473"/>
    </row>
    <row r="36" spans="1:6">
      <c r="A36" s="473"/>
      <c r="B36" s="473"/>
      <c r="C36" s="473"/>
      <c r="D36" s="473"/>
      <c r="E36" s="473"/>
      <c r="F36" s="473"/>
    </row>
    <row r="37" spans="1:6">
      <c r="A37" s="473"/>
      <c r="B37" s="473"/>
      <c r="C37" s="473"/>
      <c r="D37" s="473"/>
      <c r="E37" s="473"/>
      <c r="F37" s="473"/>
    </row>
    <row r="38" spans="1:6">
      <c r="A38" s="473"/>
      <c r="B38" s="473"/>
      <c r="C38" s="473"/>
      <c r="D38" s="473"/>
      <c r="E38" s="473"/>
      <c r="F38" s="473"/>
    </row>
    <row r="39" spans="1:6">
      <c r="A39" s="473"/>
      <c r="B39" s="473"/>
      <c r="C39" s="473"/>
      <c r="D39" s="473"/>
      <c r="E39" s="473"/>
      <c r="F39" s="473"/>
    </row>
    <row r="40" spans="1:6">
      <c r="A40" s="473"/>
      <c r="B40" s="473"/>
      <c r="C40" s="473"/>
      <c r="D40" s="473"/>
      <c r="E40" s="473"/>
      <c r="F40" s="473"/>
    </row>
    <row r="41" spans="1:6">
      <c r="A41" s="473"/>
      <c r="B41" s="473"/>
      <c r="C41" s="473"/>
      <c r="D41" s="473"/>
      <c r="E41" s="473"/>
      <c r="F41" s="473"/>
    </row>
    <row r="42" spans="1:6">
      <c r="A42" s="473"/>
      <c r="B42" s="473"/>
      <c r="C42" s="473"/>
      <c r="D42" s="473"/>
      <c r="E42" s="473"/>
      <c r="F42" s="473"/>
    </row>
    <row r="43" spans="1:6">
      <c r="A43" s="473"/>
      <c r="B43" s="473"/>
      <c r="C43" s="473"/>
      <c r="D43" s="473"/>
      <c r="E43" s="473"/>
      <c r="F43" s="473"/>
    </row>
  </sheetData>
  <mergeCells count="6">
    <mergeCell ref="A25:F25"/>
    <mergeCell ref="A17:F17"/>
    <mergeCell ref="B20:F20"/>
    <mergeCell ref="B21:F21"/>
    <mergeCell ref="B22:F22"/>
    <mergeCell ref="A24:F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/>
  </sheetPr>
  <dimension ref="B2:C28"/>
  <sheetViews>
    <sheetView showGridLines="0" zoomScale="80" zoomScaleNormal="80" workbookViewId="0">
      <selection activeCell="A11" sqref="A11"/>
    </sheetView>
  </sheetViews>
  <sheetFormatPr defaultColWidth="9.140625" defaultRowHeight="15"/>
  <cols>
    <col min="1" max="1" width="3.7109375" style="453" customWidth="1"/>
    <col min="2" max="2" width="19.5703125" style="453" customWidth="1"/>
    <col min="3" max="3" width="68.42578125" style="453" bestFit="1" customWidth="1"/>
    <col min="4" max="16384" width="9.140625" style="453"/>
  </cols>
  <sheetData>
    <row r="2" spans="2:3" ht="18.75">
      <c r="B2" s="449" t="s">
        <v>148</v>
      </c>
      <c r="C2" s="450"/>
    </row>
    <row r="3" spans="2:3">
      <c r="B3" s="451" t="s">
        <v>528</v>
      </c>
      <c r="C3" s="452" t="s">
        <v>232</v>
      </c>
    </row>
    <row r="4" spans="2:3">
      <c r="B4" s="454" t="s">
        <v>489</v>
      </c>
      <c r="C4" s="454" t="s">
        <v>529</v>
      </c>
    </row>
    <row r="5" spans="2:3">
      <c r="B5" s="455" t="s">
        <v>253</v>
      </c>
      <c r="C5" s="455" t="s">
        <v>254</v>
      </c>
    </row>
    <row r="6" spans="2:3">
      <c r="B6" s="455" t="s">
        <v>155</v>
      </c>
      <c r="C6" s="455" t="s">
        <v>255</v>
      </c>
    </row>
    <row r="7" spans="2:3">
      <c r="B7" s="455" t="s">
        <v>156</v>
      </c>
      <c r="C7" s="455" t="s">
        <v>157</v>
      </c>
    </row>
    <row r="8" spans="2:3">
      <c r="B8" s="455" t="s">
        <v>158</v>
      </c>
      <c r="C8" s="455" t="s">
        <v>160</v>
      </c>
    </row>
    <row r="9" spans="2:3">
      <c r="B9" s="455" t="s">
        <v>159</v>
      </c>
      <c r="C9" s="455" t="s">
        <v>493</v>
      </c>
    </row>
    <row r="10" spans="2:3">
      <c r="B10" s="455" t="s">
        <v>222</v>
      </c>
      <c r="C10" s="455" t="s">
        <v>223</v>
      </c>
    </row>
    <row r="11" spans="2:3">
      <c r="B11" s="455" t="s">
        <v>228</v>
      </c>
      <c r="C11" s="455" t="s">
        <v>224</v>
      </c>
    </row>
    <row r="12" spans="2:3">
      <c r="B12" s="455" t="s">
        <v>227</v>
      </c>
      <c r="C12" s="455" t="s">
        <v>225</v>
      </c>
    </row>
    <row r="13" spans="2:3">
      <c r="B13" s="455" t="s">
        <v>530</v>
      </c>
      <c r="C13" s="455" t="s">
        <v>230</v>
      </c>
    </row>
    <row r="14" spans="2:3">
      <c r="B14" s="456" t="s">
        <v>226</v>
      </c>
      <c r="C14" s="456" t="s">
        <v>229</v>
      </c>
    </row>
    <row r="15" spans="2:3">
      <c r="B15" s="81"/>
    </row>
    <row r="16" spans="2:3" ht="18.75">
      <c r="B16" s="458" t="s">
        <v>494</v>
      </c>
      <c r="C16" s="459"/>
    </row>
    <row r="17" spans="2:3">
      <c r="B17" s="469"/>
      <c r="C17" s="460" t="s">
        <v>150</v>
      </c>
    </row>
    <row r="18" spans="2:3">
      <c r="B18" s="470"/>
      <c r="C18" s="461" t="s">
        <v>151</v>
      </c>
    </row>
    <row r="19" spans="2:3">
      <c r="B19" s="370"/>
      <c r="C19" s="457"/>
    </row>
    <row r="20" spans="2:3" ht="18.75">
      <c r="B20" s="462" t="s">
        <v>498</v>
      </c>
      <c r="C20" s="463"/>
    </row>
    <row r="21" spans="2:3">
      <c r="B21" s="471"/>
      <c r="C21" s="460" t="s">
        <v>236</v>
      </c>
    </row>
    <row r="22" spans="2:3">
      <c r="B22" s="472"/>
      <c r="C22" s="461" t="s">
        <v>235</v>
      </c>
    </row>
    <row r="24" spans="2:3" ht="18.75">
      <c r="B24" s="462" t="s">
        <v>495</v>
      </c>
      <c r="C24" s="463"/>
    </row>
    <row r="25" spans="2:3">
      <c r="B25" s="466" t="s">
        <v>152</v>
      </c>
      <c r="C25" s="460" t="s">
        <v>496</v>
      </c>
    </row>
    <row r="26" spans="2:3">
      <c r="B26" s="467" t="s">
        <v>153</v>
      </c>
      <c r="C26" s="464" t="s">
        <v>10</v>
      </c>
    </row>
    <row r="27" spans="2:3">
      <c r="B27" s="467" t="s">
        <v>154</v>
      </c>
      <c r="C27" s="464" t="s">
        <v>492</v>
      </c>
    </row>
    <row r="28" spans="2:3">
      <c r="B28" s="468" t="s">
        <v>497</v>
      </c>
      <c r="C28" s="465">
        <v>2012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1A55-CC00-47C7-9BB0-519AAE8073CE}">
  <sheetPr codeName="Sheet16"/>
  <dimension ref="A3:AD37"/>
  <sheetViews>
    <sheetView zoomScaleNormal="100" workbookViewId="0">
      <selection activeCell="F22" sqref="F22"/>
    </sheetView>
  </sheetViews>
  <sheetFormatPr defaultColWidth="9" defaultRowHeight="12.75"/>
  <cols>
    <col min="1" max="1" width="12.140625" style="378" customWidth="1"/>
    <col min="2" max="2" width="11.7109375" style="378" customWidth="1"/>
    <col min="3" max="3" width="3.140625" style="378" bestFit="1" customWidth="1"/>
    <col min="4" max="4" width="8.5703125" style="378" bestFit="1" customWidth="1"/>
    <col min="5" max="5" width="6.42578125" style="378" bestFit="1" customWidth="1"/>
    <col min="6" max="6" width="5" style="378" bestFit="1" customWidth="1"/>
    <col min="7" max="7" width="5.7109375" style="378" bestFit="1" customWidth="1"/>
    <col min="8" max="8" width="5.85546875" style="378" bestFit="1" customWidth="1"/>
    <col min="9" max="9" width="5.42578125" style="378" bestFit="1" customWidth="1"/>
    <col min="10" max="11" width="5.7109375" style="378" bestFit="1" customWidth="1"/>
    <col min="12" max="12" width="6.5703125" style="378" bestFit="1" customWidth="1"/>
    <col min="13" max="13" width="6" style="378" bestFit="1" customWidth="1"/>
    <col min="14" max="14" width="6.7109375" style="378" bestFit="1" customWidth="1"/>
    <col min="15" max="15" width="6.5703125" style="378" bestFit="1" customWidth="1"/>
    <col min="16" max="16" width="7.140625" style="378" bestFit="1" customWidth="1"/>
    <col min="17" max="17" width="5.7109375" style="378" bestFit="1" customWidth="1"/>
    <col min="18" max="18" width="6" style="378" bestFit="1" customWidth="1"/>
    <col min="19" max="19" width="5.85546875" style="378" bestFit="1" customWidth="1"/>
    <col min="20" max="20" width="5.5703125" style="378" bestFit="1" customWidth="1"/>
    <col min="21" max="21" width="5.85546875" style="378" bestFit="1" customWidth="1"/>
    <col min="22" max="22" width="6.7109375" style="378" bestFit="1" customWidth="1"/>
    <col min="23" max="23" width="5" style="378" bestFit="1" customWidth="1"/>
    <col min="24" max="24" width="7.5703125" style="378" customWidth="1"/>
    <col min="25" max="25" width="6.7109375" style="378" bestFit="1" customWidth="1"/>
    <col min="26" max="28" width="6" style="378" bestFit="1" customWidth="1"/>
    <col min="29" max="29" width="5.7109375" style="378" bestFit="1" customWidth="1"/>
    <col min="30" max="30" width="6.7109375" style="378" bestFit="1" customWidth="1"/>
    <col min="31" max="16384" width="9" style="378"/>
  </cols>
  <sheetData>
    <row r="3" spans="1:30" ht="15">
      <c r="C3" s="516" t="str" cm="1">
        <f t="array" ref="C3">INDEX(C5:C7,$A$4)</f>
        <v>IE</v>
      </c>
      <c r="D3" s="516" t="str" cm="1">
        <f t="array" ref="D3">INDEX(D5:D7,$A$4)</f>
        <v>National</v>
      </c>
      <c r="E3" s="516" t="str" cm="1">
        <f t="array" ref="E3">INDEX(E5:E7,$A$4)</f>
        <v>IE-CW</v>
      </c>
      <c r="F3" s="516" t="str" cm="1">
        <f t="array" ref="F3">INDEX(F5:F7,$A$4)</f>
        <v>IE-D</v>
      </c>
      <c r="G3" s="516" t="str" cm="1">
        <f t="array" ref="G3">INDEX(G5:G7,$A$4)</f>
        <v>IE-KE</v>
      </c>
      <c r="H3" s="516" t="str" cm="1">
        <f t="array" ref="H3">INDEX(H5:H7,$A$4)</f>
        <v>IE-KK</v>
      </c>
      <c r="I3" s="516" t="str" cm="1">
        <f t="array" ref="I3">INDEX(I5:I7,$A$4)</f>
        <v>IE-LS</v>
      </c>
      <c r="J3" s="516" t="str" cm="1">
        <f t="array" ref="J3">INDEX(J5:J7,$A$4)</f>
        <v>IE-LD</v>
      </c>
      <c r="K3" s="516" t="str" cm="1">
        <f t="array" ref="K3">INDEX(K5:K7,$A$4)</f>
        <v>IE-LH</v>
      </c>
      <c r="L3" s="516" t="str" cm="1">
        <f t="array" ref="L3">INDEX(L5:L7,$A$4)</f>
        <v>IE-MH</v>
      </c>
      <c r="M3" s="516" t="str" cm="1">
        <f t="array" ref="M3">INDEX(M5:M7,$A$4)</f>
        <v>IE-OY</v>
      </c>
      <c r="N3" s="516" t="str" cm="1">
        <f t="array" ref="N3">INDEX(N5:N7,$A$4)</f>
        <v>IE-WH</v>
      </c>
      <c r="O3" s="516" t="str" cm="1">
        <f t="array" ref="O3">INDEX(O5:O7,$A$4)</f>
        <v>IE-WX</v>
      </c>
      <c r="P3" s="516" t="str" cm="1">
        <f t="array" ref="P3">INDEX(P5:P7,$A$4)</f>
        <v>IE-WW</v>
      </c>
      <c r="Q3" s="516" t="str" cm="1">
        <f t="array" ref="Q3">INDEX(Q5:Q7,$A$4)</f>
        <v>IE-CE</v>
      </c>
      <c r="R3" s="516" t="str" cm="1">
        <f t="array" ref="R3">INDEX(R5:R7,$A$4)</f>
        <v>IE-CO</v>
      </c>
      <c r="S3" s="516" t="str" cm="1">
        <f t="array" ref="S3">INDEX(S5:S7,$A$4)</f>
        <v>IE-KY</v>
      </c>
      <c r="T3" s="516" t="str" cm="1">
        <f t="array" ref="T3">INDEX(T5:T7,$A$4)</f>
        <v>IE-LK</v>
      </c>
      <c r="U3" s="516" t="str" cm="1">
        <f t="array" ref="U3">INDEX(U5:U7,$A$4)</f>
        <v>IE-TA</v>
      </c>
      <c r="V3" s="516" t="str" cm="1">
        <f t="array" ref="V3">INDEX(V5:V7,$A$4)</f>
        <v>IE-WD</v>
      </c>
      <c r="W3" s="516" t="str" cm="1">
        <f t="array" ref="W3">INDEX(W5:W7,$A$4)</f>
        <v>IE-G</v>
      </c>
      <c r="X3" s="516" t="str" cm="1">
        <f t="array" ref="X3">INDEX(X5:X7,$A$4)</f>
        <v>IE-LM</v>
      </c>
      <c r="Y3" s="516" t="str" cm="1">
        <f t="array" ref="Y3">INDEX(Y5:Y7,$A$4)</f>
        <v>IE-MO</v>
      </c>
      <c r="Z3" s="516" t="str" cm="1">
        <f t="array" ref="Z3">INDEX(Z5:Z7,$A$4)</f>
        <v>IE-RN</v>
      </c>
      <c r="AA3" s="516" t="str" cm="1">
        <f t="array" ref="AA3">INDEX(AA5:AA7,$A$4)</f>
        <v>IE-SO</v>
      </c>
      <c r="AB3" s="516" t="str" cm="1">
        <f t="array" ref="AB3">INDEX(AB5:AB7,$A$4)</f>
        <v>IE-CN</v>
      </c>
      <c r="AC3" s="516" t="str" cm="1">
        <f t="array" ref="AC3">INDEX(AC5:AC7,$A$4)</f>
        <v>IE-DL</v>
      </c>
      <c r="AD3" s="516" t="str" cm="1">
        <f t="array" ref="AD3">INDEX(AD5:AD7,$A$4)</f>
        <v>IE-MN</v>
      </c>
    </row>
    <row r="4" spans="1:30">
      <c r="A4" s="378">
        <v>1</v>
      </c>
    </row>
    <row r="5" spans="1:30" ht="15">
      <c r="A5" s="378" t="s">
        <v>564</v>
      </c>
      <c r="C5" s="517" t="s">
        <v>262</v>
      </c>
      <c r="D5" s="517" t="s">
        <v>565</v>
      </c>
      <c r="E5" s="516" t="str">
        <f>A11</f>
        <v>IE-CW</v>
      </c>
      <c r="F5" s="516" t="str">
        <f>A16</f>
        <v>IE-D</v>
      </c>
      <c r="G5" s="516" t="str">
        <f>A19</f>
        <v>IE-KE</v>
      </c>
      <c r="H5" s="516" t="str">
        <f>A20</f>
        <v>IE-KK</v>
      </c>
      <c r="I5" s="516" t="str">
        <f>A21</f>
        <v>IE-LS</v>
      </c>
      <c r="J5" s="516" t="str">
        <f>A24</f>
        <v>IE-LD</v>
      </c>
      <c r="K5" s="516" t="str">
        <f>A25</f>
        <v>IE-LH</v>
      </c>
      <c r="L5" s="516" t="str">
        <f>A27</f>
        <v>IE-MH</v>
      </c>
      <c r="M5" s="516" t="str">
        <f>A29</f>
        <v>IE-OY</v>
      </c>
      <c r="N5" s="516" t="str">
        <f>A34</f>
        <v>IE-WH</v>
      </c>
      <c r="O5" s="516" t="str">
        <f>A35</f>
        <v>IE-WX</v>
      </c>
      <c r="P5" s="516" t="str">
        <f>A36</f>
        <v>IE-WW</v>
      </c>
      <c r="Q5" s="516" t="str">
        <f>A13</f>
        <v>IE-CE</v>
      </c>
      <c r="R5" s="516" t="str">
        <f>A14</f>
        <v>IE-CO</v>
      </c>
      <c r="S5" s="516" t="str">
        <f>A18</f>
        <v>IE-KY</v>
      </c>
      <c r="T5" s="516" t="str">
        <f>A23</f>
        <v>IE-LK</v>
      </c>
      <c r="U5" s="516" t="str">
        <f>A32</f>
        <v>IE-TA</v>
      </c>
      <c r="V5" s="516" t="str">
        <f>A33</f>
        <v>IE-WD</v>
      </c>
      <c r="W5" s="516" t="str">
        <f>A17</f>
        <v>IE-G</v>
      </c>
      <c r="X5" s="516" t="str">
        <f>A22</f>
        <v>IE-LM</v>
      </c>
      <c r="Y5" s="516" t="str">
        <f>A26</f>
        <v>IE-MO</v>
      </c>
      <c r="Z5" s="516" t="str">
        <f>A30</f>
        <v>IE-RN</v>
      </c>
      <c r="AA5" s="516" t="str">
        <f>A31</f>
        <v>IE-SO</v>
      </c>
      <c r="AB5" s="516" t="str">
        <f>A12</f>
        <v>IE-CN</v>
      </c>
      <c r="AC5" s="516" t="str">
        <f>A15</f>
        <v>IE-DL</v>
      </c>
      <c r="AD5" s="516" t="str">
        <f>A28</f>
        <v>IE-MN</v>
      </c>
    </row>
    <row r="6" spans="1:30" ht="15">
      <c r="A6" s="378" t="s">
        <v>566</v>
      </c>
      <c r="C6" s="516" t="str">
        <f>C5</f>
        <v>IE</v>
      </c>
      <c r="D6" s="516" t="str">
        <f>"*"&amp;D5</f>
        <v>*National</v>
      </c>
      <c r="E6" s="516" t="str">
        <f>"*"&amp;E5</f>
        <v>*IE-CW</v>
      </c>
      <c r="F6" s="516" t="str">
        <f t="shared" ref="F6:AD6" si="0">"*"&amp;F5</f>
        <v>*IE-D</v>
      </c>
      <c r="G6" s="516" t="str">
        <f t="shared" si="0"/>
        <v>*IE-KE</v>
      </c>
      <c r="H6" s="516" t="str">
        <f t="shared" si="0"/>
        <v>*IE-KK</v>
      </c>
      <c r="I6" s="516" t="str">
        <f t="shared" si="0"/>
        <v>*IE-LS</v>
      </c>
      <c r="J6" s="516" t="str">
        <f t="shared" si="0"/>
        <v>*IE-LD</v>
      </c>
      <c r="K6" s="516" t="str">
        <f t="shared" si="0"/>
        <v>*IE-LH</v>
      </c>
      <c r="L6" s="516" t="str">
        <f t="shared" si="0"/>
        <v>*IE-MH</v>
      </c>
      <c r="M6" s="516" t="str">
        <f t="shared" si="0"/>
        <v>*IE-OY</v>
      </c>
      <c r="N6" s="516" t="str">
        <f t="shared" si="0"/>
        <v>*IE-WH</v>
      </c>
      <c r="O6" s="516" t="str">
        <f t="shared" si="0"/>
        <v>*IE-WX</v>
      </c>
      <c r="P6" s="516" t="str">
        <f t="shared" si="0"/>
        <v>*IE-WW</v>
      </c>
      <c r="Q6" s="516" t="str">
        <f t="shared" si="0"/>
        <v>*IE-CE</v>
      </c>
      <c r="R6" s="516" t="str">
        <f t="shared" si="0"/>
        <v>*IE-CO</v>
      </c>
      <c r="S6" s="516" t="str">
        <f t="shared" si="0"/>
        <v>*IE-KY</v>
      </c>
      <c r="T6" s="516" t="str">
        <f t="shared" si="0"/>
        <v>*IE-LK</v>
      </c>
      <c r="U6" s="516" t="str">
        <f t="shared" si="0"/>
        <v>*IE-TA</v>
      </c>
      <c r="V6" s="516" t="str">
        <f t="shared" si="0"/>
        <v>*IE-WD</v>
      </c>
      <c r="W6" s="516" t="str">
        <f t="shared" si="0"/>
        <v>*IE-G</v>
      </c>
      <c r="X6" s="516" t="str">
        <f t="shared" si="0"/>
        <v>*IE-LM</v>
      </c>
      <c r="Y6" s="516" t="str">
        <f t="shared" si="0"/>
        <v>*IE-MO</v>
      </c>
      <c r="Z6" s="516" t="str">
        <f t="shared" si="0"/>
        <v>*IE-RN</v>
      </c>
      <c r="AA6" s="516" t="str">
        <f t="shared" si="0"/>
        <v>*IE-SO</v>
      </c>
      <c r="AB6" s="516" t="str">
        <f t="shared" si="0"/>
        <v>*IE-CN</v>
      </c>
      <c r="AC6" s="516" t="str">
        <f t="shared" si="0"/>
        <v>*IE-DL</v>
      </c>
      <c r="AD6" s="516" t="str">
        <f t="shared" si="0"/>
        <v>*IE-MN</v>
      </c>
    </row>
    <row r="7" spans="1:30" ht="15">
      <c r="A7" s="378" t="s">
        <v>567</v>
      </c>
      <c r="C7" s="516" t="str">
        <f>"*"&amp;C5</f>
        <v>*IE</v>
      </c>
      <c r="D7" s="516" t="str">
        <f>D5</f>
        <v>National</v>
      </c>
      <c r="E7" s="516" t="str">
        <f t="shared" ref="E7:AD7" si="1">E5</f>
        <v>IE-CW</v>
      </c>
      <c r="F7" s="516" t="str">
        <f t="shared" si="1"/>
        <v>IE-D</v>
      </c>
      <c r="G7" s="516" t="str">
        <f t="shared" si="1"/>
        <v>IE-KE</v>
      </c>
      <c r="H7" s="516" t="str">
        <f t="shared" si="1"/>
        <v>IE-KK</v>
      </c>
      <c r="I7" s="516" t="str">
        <f t="shared" si="1"/>
        <v>IE-LS</v>
      </c>
      <c r="J7" s="516" t="str">
        <f t="shared" si="1"/>
        <v>IE-LD</v>
      </c>
      <c r="K7" s="516" t="str">
        <f t="shared" si="1"/>
        <v>IE-LH</v>
      </c>
      <c r="L7" s="516" t="str">
        <f t="shared" si="1"/>
        <v>IE-MH</v>
      </c>
      <c r="M7" s="516" t="str">
        <f t="shared" si="1"/>
        <v>IE-OY</v>
      </c>
      <c r="N7" s="516" t="str">
        <f t="shared" si="1"/>
        <v>IE-WH</v>
      </c>
      <c r="O7" s="516" t="str">
        <f t="shared" si="1"/>
        <v>IE-WX</v>
      </c>
      <c r="P7" s="516" t="str">
        <f t="shared" si="1"/>
        <v>IE-WW</v>
      </c>
      <c r="Q7" s="516" t="str">
        <f t="shared" si="1"/>
        <v>IE-CE</v>
      </c>
      <c r="R7" s="516" t="str">
        <f t="shared" si="1"/>
        <v>IE-CO</v>
      </c>
      <c r="S7" s="516" t="str">
        <f t="shared" si="1"/>
        <v>IE-KY</v>
      </c>
      <c r="T7" s="516" t="str">
        <f t="shared" si="1"/>
        <v>IE-LK</v>
      </c>
      <c r="U7" s="516" t="str">
        <f t="shared" si="1"/>
        <v>IE-TA</v>
      </c>
      <c r="V7" s="516" t="str">
        <f t="shared" si="1"/>
        <v>IE-WD</v>
      </c>
      <c r="W7" s="516" t="str">
        <f t="shared" si="1"/>
        <v>IE-G</v>
      </c>
      <c r="X7" s="516" t="str">
        <f t="shared" si="1"/>
        <v>IE-LM</v>
      </c>
      <c r="Y7" s="516" t="str">
        <f t="shared" si="1"/>
        <v>IE-MO</v>
      </c>
      <c r="Z7" s="516" t="str">
        <f t="shared" si="1"/>
        <v>IE-RN</v>
      </c>
      <c r="AA7" s="516" t="str">
        <f t="shared" si="1"/>
        <v>IE-SO</v>
      </c>
      <c r="AB7" s="516" t="str">
        <f t="shared" si="1"/>
        <v>IE-CN</v>
      </c>
      <c r="AC7" s="516" t="str">
        <f t="shared" si="1"/>
        <v>IE-DL</v>
      </c>
      <c r="AD7" s="516" t="str">
        <f t="shared" si="1"/>
        <v>IE-MN</v>
      </c>
    </row>
    <row r="10" spans="1:30" ht="15.75" thickBot="1">
      <c r="A10" s="518" t="s">
        <v>568</v>
      </c>
      <c r="B10" s="518" t="s">
        <v>569</v>
      </c>
    </row>
    <row r="11" spans="1:30">
      <c r="A11" s="519" t="s">
        <v>570</v>
      </c>
      <c r="B11" s="519" t="s">
        <v>448</v>
      </c>
    </row>
    <row r="12" spans="1:30">
      <c r="A12" s="520" t="s">
        <v>571</v>
      </c>
      <c r="B12" s="520" t="s">
        <v>477</v>
      </c>
    </row>
    <row r="13" spans="1:30">
      <c r="A13" s="520" t="s">
        <v>572</v>
      </c>
      <c r="B13" s="520" t="s">
        <v>461</v>
      </c>
    </row>
    <row r="14" spans="1:30">
      <c r="A14" s="520" t="s">
        <v>573</v>
      </c>
      <c r="B14" s="520" t="s">
        <v>574</v>
      </c>
    </row>
    <row r="15" spans="1:30">
      <c r="A15" s="520" t="s">
        <v>575</v>
      </c>
      <c r="B15" s="520" t="s">
        <v>478</v>
      </c>
    </row>
    <row r="16" spans="1:30">
      <c r="A16" s="520" t="s">
        <v>576</v>
      </c>
      <c r="B16" s="520" t="s">
        <v>577</v>
      </c>
    </row>
    <row r="17" spans="1:2">
      <c r="A17" s="520" t="s">
        <v>578</v>
      </c>
      <c r="B17" s="520" t="s">
        <v>579</v>
      </c>
    </row>
    <row r="18" spans="1:2">
      <c r="A18" s="520" t="s">
        <v>580</v>
      </c>
      <c r="B18" s="520" t="s">
        <v>465</v>
      </c>
    </row>
    <row r="19" spans="1:2">
      <c r="A19" s="520" t="s">
        <v>581</v>
      </c>
      <c r="B19" s="520" t="s">
        <v>451</v>
      </c>
    </row>
    <row r="20" spans="1:2">
      <c r="A20" s="520" t="s">
        <v>582</v>
      </c>
      <c r="B20" s="520" t="s">
        <v>452</v>
      </c>
    </row>
    <row r="21" spans="1:2">
      <c r="A21" s="520" t="s">
        <v>583</v>
      </c>
      <c r="B21" s="520" t="s">
        <v>453</v>
      </c>
    </row>
    <row r="22" spans="1:2">
      <c r="A22" s="520" t="s">
        <v>584</v>
      </c>
      <c r="B22" s="520" t="s">
        <v>473</v>
      </c>
    </row>
    <row r="23" spans="1:2">
      <c r="A23" s="520" t="s">
        <v>585</v>
      </c>
      <c r="B23" s="520" t="s">
        <v>586</v>
      </c>
    </row>
    <row r="24" spans="1:2">
      <c r="A24" s="520" t="s">
        <v>587</v>
      </c>
      <c r="B24" s="520" t="s">
        <v>454</v>
      </c>
    </row>
    <row r="25" spans="1:2">
      <c r="A25" s="520" t="s">
        <v>588</v>
      </c>
      <c r="B25" s="520" t="s">
        <v>455</v>
      </c>
    </row>
    <row r="26" spans="1:2">
      <c r="A26" s="520" t="s">
        <v>589</v>
      </c>
      <c r="B26" s="520" t="s">
        <v>474</v>
      </c>
    </row>
    <row r="27" spans="1:2">
      <c r="A27" s="520" t="s">
        <v>590</v>
      </c>
      <c r="B27" s="520" t="s">
        <v>456</v>
      </c>
    </row>
    <row r="28" spans="1:2">
      <c r="A28" s="520" t="s">
        <v>591</v>
      </c>
      <c r="B28" s="520" t="s">
        <v>479</v>
      </c>
    </row>
    <row r="29" spans="1:2">
      <c r="A29" s="520" t="s">
        <v>592</v>
      </c>
      <c r="B29" s="520" t="s">
        <v>457</v>
      </c>
    </row>
    <row r="30" spans="1:2">
      <c r="A30" s="520" t="s">
        <v>593</v>
      </c>
      <c r="B30" s="520" t="s">
        <v>475</v>
      </c>
    </row>
    <row r="31" spans="1:2">
      <c r="A31" s="520" t="s">
        <v>594</v>
      </c>
      <c r="B31" s="520" t="s">
        <v>476</v>
      </c>
    </row>
    <row r="32" spans="1:2">
      <c r="A32" s="520" t="s">
        <v>595</v>
      </c>
      <c r="B32" s="520" t="s">
        <v>468</v>
      </c>
    </row>
    <row r="33" spans="1:2">
      <c r="A33" s="520" t="s">
        <v>596</v>
      </c>
      <c r="B33" s="520" t="s">
        <v>597</v>
      </c>
    </row>
    <row r="34" spans="1:2">
      <c r="A34" s="520" t="s">
        <v>598</v>
      </c>
      <c r="B34" s="520" t="s">
        <v>458</v>
      </c>
    </row>
    <row r="35" spans="1:2">
      <c r="A35" s="520" t="s">
        <v>599</v>
      </c>
      <c r="B35" s="520" t="s">
        <v>459</v>
      </c>
    </row>
    <row r="36" spans="1:2">
      <c r="A36" s="520" t="s">
        <v>600</v>
      </c>
      <c r="B36" s="520" t="s">
        <v>460</v>
      </c>
    </row>
    <row r="37" spans="1:2" ht="15">
      <c r="A37" s="521" t="s">
        <v>601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S81"/>
  <sheetViews>
    <sheetView view="pageBreakPreview" zoomScale="80" zoomScaleNormal="65" zoomScaleSheetLayoutView="80" workbookViewId="0">
      <pane xSplit="2" ySplit="1" topLeftCell="C22" activePane="bottomRight" state="frozen"/>
      <selection activeCell="B21" sqref="B21"/>
      <selection pane="topRight" activeCell="B21" sqref="B21"/>
      <selection pane="bottomLeft" activeCell="B21" sqref="B21"/>
      <selection pane="bottomRight"/>
    </sheetView>
  </sheetViews>
  <sheetFormatPr defaultColWidth="9.140625" defaultRowHeight="12.75"/>
  <cols>
    <col min="1" max="1" width="38.140625" style="244" customWidth="1"/>
    <col min="2" max="2" width="13" style="234" bestFit="1" customWidth="1"/>
    <col min="3" max="4" width="7.5703125" style="245" bestFit="1" customWidth="1"/>
    <col min="5" max="5" width="9.140625" style="245"/>
    <col min="6" max="6" width="6.140625" style="246" customWidth="1"/>
    <col min="7" max="7" width="5.85546875" style="246" bestFit="1" customWidth="1"/>
    <col min="8" max="8" width="6.42578125" style="245" bestFit="1" customWidth="1"/>
    <col min="9" max="9" width="6.140625" style="246" bestFit="1" customWidth="1"/>
    <col min="10" max="10" width="6" style="246" bestFit="1" customWidth="1"/>
    <col min="11" max="11" width="6.85546875" style="246" bestFit="1" customWidth="1"/>
    <col min="12" max="12" width="8.7109375" style="242" bestFit="1" customWidth="1"/>
    <col min="13" max="13" width="8.140625" style="241" bestFit="1" customWidth="1"/>
    <col min="14" max="14" width="8.140625" style="241" customWidth="1"/>
    <col min="15" max="15" width="5.28515625" style="241" customWidth="1"/>
    <col min="16" max="16" width="7.42578125" style="241" customWidth="1"/>
    <col min="17" max="17" width="7.42578125" style="241" bestFit="1" customWidth="1"/>
    <col min="18" max="18" width="8.140625" style="241" bestFit="1" customWidth="1"/>
    <col min="19" max="19" width="7.28515625" style="241" bestFit="1" customWidth="1"/>
    <col min="20" max="20" width="7.42578125" style="241" bestFit="1" customWidth="1"/>
    <col min="21" max="21" width="8.42578125" style="241" bestFit="1" customWidth="1"/>
    <col min="22" max="22" width="6.85546875" style="241" bestFit="1" customWidth="1"/>
    <col min="23" max="25" width="5.42578125" style="241" customWidth="1"/>
    <col min="26" max="26" width="5.42578125" style="246" customWidth="1"/>
    <col min="27" max="27" width="8.140625" style="243" bestFit="1" customWidth="1"/>
    <col min="28" max="28" width="6.7109375" style="242" bestFit="1" customWidth="1"/>
    <col min="29" max="30" width="5.5703125" style="241" customWidth="1"/>
    <col min="31" max="31" width="8.7109375" style="241" bestFit="1" customWidth="1"/>
    <col min="32" max="32" width="8.7109375" style="241" customWidth="1"/>
    <col min="33" max="33" width="5.5703125" style="241" customWidth="1"/>
    <col min="34" max="34" width="5.85546875" style="241" bestFit="1" customWidth="1"/>
    <col min="35" max="37" width="7" style="241" customWidth="1"/>
    <col min="38" max="40" width="5.5703125" style="241" customWidth="1"/>
    <col min="41" max="41" width="8.7109375" style="243" bestFit="1" customWidth="1"/>
    <col min="42" max="42" width="4.42578125" style="247" bestFit="1" customWidth="1"/>
    <col min="43" max="43" width="9.28515625" style="241" bestFit="1" customWidth="1"/>
    <col min="44" max="44" width="9.140625" style="234"/>
    <col min="45" max="45" width="9.140625" style="235"/>
    <col min="46" max="16384" width="9.140625" style="234"/>
  </cols>
  <sheetData>
    <row r="1" spans="1:45" s="228" customFormat="1" ht="105.75" customHeight="1" thickBot="1">
      <c r="A1" s="532" t="s">
        <v>608</v>
      </c>
      <c r="B1" s="533" t="s">
        <v>609</v>
      </c>
      <c r="C1" s="534" t="s">
        <v>263</v>
      </c>
      <c r="D1" s="535" t="s">
        <v>264</v>
      </c>
      <c r="E1" s="536" t="s">
        <v>265</v>
      </c>
      <c r="F1" s="537" t="s">
        <v>266</v>
      </c>
      <c r="G1" s="537" t="s">
        <v>267</v>
      </c>
      <c r="H1" s="538" t="s">
        <v>268</v>
      </c>
      <c r="I1" s="535" t="s">
        <v>269</v>
      </c>
      <c r="J1" s="536" t="s">
        <v>270</v>
      </c>
      <c r="K1" s="536" t="s">
        <v>271</v>
      </c>
      <c r="L1" s="538" t="s">
        <v>272</v>
      </c>
      <c r="M1" s="535" t="s">
        <v>273</v>
      </c>
      <c r="N1" s="535" t="s">
        <v>610</v>
      </c>
      <c r="O1" s="536" t="s">
        <v>274</v>
      </c>
      <c r="P1" s="536" t="s">
        <v>275</v>
      </c>
      <c r="Q1" s="536" t="s">
        <v>276</v>
      </c>
      <c r="R1" s="536" t="s">
        <v>277</v>
      </c>
      <c r="S1" s="536" t="s">
        <v>278</v>
      </c>
      <c r="T1" s="536" t="s">
        <v>279</v>
      </c>
      <c r="U1" s="536" t="s">
        <v>280</v>
      </c>
      <c r="V1" s="536" t="s">
        <v>281</v>
      </c>
      <c r="W1" s="537" t="s">
        <v>282</v>
      </c>
      <c r="X1" s="537" t="s">
        <v>283</v>
      </c>
      <c r="Y1" s="537" t="s">
        <v>284</v>
      </c>
      <c r="Z1" s="536" t="s">
        <v>285</v>
      </c>
      <c r="AA1" s="538" t="s">
        <v>286</v>
      </c>
      <c r="AB1" s="539" t="s">
        <v>287</v>
      </c>
      <c r="AC1" s="540" t="s">
        <v>288</v>
      </c>
      <c r="AD1" s="536" t="s">
        <v>289</v>
      </c>
      <c r="AE1" s="536" t="s">
        <v>611</v>
      </c>
      <c r="AF1" s="536" t="s">
        <v>612</v>
      </c>
      <c r="AG1" s="536" t="s">
        <v>290</v>
      </c>
      <c r="AH1" s="536" t="s">
        <v>291</v>
      </c>
      <c r="AI1" s="536" t="s">
        <v>613</v>
      </c>
      <c r="AJ1" s="536" t="s">
        <v>614</v>
      </c>
      <c r="AK1" s="536" t="s">
        <v>615</v>
      </c>
      <c r="AL1" s="536" t="s">
        <v>616</v>
      </c>
      <c r="AM1" s="537" t="s">
        <v>617</v>
      </c>
      <c r="AN1" s="538" t="s">
        <v>292</v>
      </c>
      <c r="AO1" s="538" t="s">
        <v>293</v>
      </c>
      <c r="AP1" s="539" t="s">
        <v>294</v>
      </c>
      <c r="AQ1" s="541" t="s">
        <v>295</v>
      </c>
      <c r="AS1" s="229"/>
    </row>
    <row r="2" spans="1:45" s="230" customFormat="1" ht="12.75" customHeight="1">
      <c r="A2" s="542" t="s">
        <v>296</v>
      </c>
      <c r="B2" s="543"/>
      <c r="C2" s="544">
        <f>SUM(D2:G2)</f>
        <v>0</v>
      </c>
      <c r="D2" s="545">
        <v>0</v>
      </c>
      <c r="E2" s="546"/>
      <c r="F2" s="547"/>
      <c r="G2" s="547"/>
      <c r="H2" s="548">
        <f>SUM(I2:K2)</f>
        <v>815.92434898628403</v>
      </c>
      <c r="I2" s="549">
        <v>688.22034898628408</v>
      </c>
      <c r="J2" s="550">
        <v>127.70399999999999</v>
      </c>
      <c r="K2" s="550"/>
      <c r="L2" s="548">
        <f>SUM(M2:Z2)</f>
        <v>0</v>
      </c>
      <c r="M2" s="549"/>
      <c r="N2" s="551"/>
      <c r="O2" s="552"/>
      <c r="P2" s="552"/>
      <c r="Q2" s="552"/>
      <c r="R2" s="552"/>
      <c r="S2" s="552"/>
      <c r="T2" s="552"/>
      <c r="U2" s="552"/>
      <c r="V2" s="552"/>
      <c r="W2" s="547"/>
      <c r="X2" s="547"/>
      <c r="Y2" s="547"/>
      <c r="Z2" s="550"/>
      <c r="AA2" s="548">
        <v>2751.9191872187112</v>
      </c>
      <c r="AB2" s="553">
        <f>SUM(AC2:AM2)</f>
        <v>1331.2863828445347</v>
      </c>
      <c r="AC2" s="554">
        <v>59.691708987970003</v>
      </c>
      <c r="AD2" s="550">
        <v>743.01992281532614</v>
      </c>
      <c r="AE2" s="550">
        <v>249.68174480509879</v>
      </c>
      <c r="AF2" s="550">
        <v>139.99992739520798</v>
      </c>
      <c r="AG2" s="550">
        <v>33.531818868055431</v>
      </c>
      <c r="AH2" s="550">
        <v>16.813132576534866</v>
      </c>
      <c r="AI2" s="550">
        <v>27.095124147648001</v>
      </c>
      <c r="AJ2" s="550">
        <v>2.6691993220799999</v>
      </c>
      <c r="AK2" s="549">
        <v>1.4323955643044282</v>
      </c>
      <c r="AL2" s="549">
        <v>13.54608560366562</v>
      </c>
      <c r="AM2" s="547">
        <v>43.805322758643676</v>
      </c>
      <c r="AN2" s="555">
        <v>145.43710297949829</v>
      </c>
      <c r="AO2" s="555"/>
      <c r="AP2" s="553"/>
      <c r="AQ2" s="556">
        <f>C2+H2+L2+AA2+AB2+AN2+AO2+AP2</f>
        <v>5044.5670220290285</v>
      </c>
      <c r="AS2" s="235"/>
    </row>
    <row r="3" spans="1:45" s="230" customFormat="1" ht="12.75" customHeight="1">
      <c r="A3" s="557" t="s">
        <v>136</v>
      </c>
      <c r="B3" s="558"/>
      <c r="C3" s="559">
        <f>SUM(D3:G3)</f>
        <v>935.78934491090115</v>
      </c>
      <c r="D3" s="560">
        <v>802.24865041659757</v>
      </c>
      <c r="E3" s="561">
        <v>125.38500136039437</v>
      </c>
      <c r="F3" s="562"/>
      <c r="G3" s="562">
        <v>8.1556931339092724</v>
      </c>
      <c r="H3" s="563">
        <f>SUM(I3:K3)</f>
        <v>0</v>
      </c>
      <c r="I3" s="564"/>
      <c r="J3" s="565"/>
      <c r="K3" s="565"/>
      <c r="L3" s="563">
        <f>SUM(M3:Z3)</f>
        <v>9146.774069288922</v>
      </c>
      <c r="M3" s="564">
        <v>3053.4742963851995</v>
      </c>
      <c r="N3" s="564">
        <v>16.633377499200002</v>
      </c>
      <c r="O3" s="565">
        <v>0</v>
      </c>
      <c r="P3" s="565">
        <v>564.2282843555555</v>
      </c>
      <c r="Q3" s="565">
        <v>369.55541863968</v>
      </c>
      <c r="R3" s="565">
        <v>1543.1782335883197</v>
      </c>
      <c r="S3" s="565">
        <v>82.827948630790956</v>
      </c>
      <c r="T3" s="565">
        <v>157.5463640726893</v>
      </c>
      <c r="U3" s="565">
        <v>2941.4703035056637</v>
      </c>
      <c r="V3" s="565">
        <v>164.48328641762765</v>
      </c>
      <c r="W3" s="562">
        <v>7.5616539426795564</v>
      </c>
      <c r="X3" s="562">
        <v>200.83222211696253</v>
      </c>
      <c r="Y3" s="562">
        <v>1.2281470084248403</v>
      </c>
      <c r="Z3" s="565">
        <v>43.754533126130625</v>
      </c>
      <c r="AA3" s="563">
        <v>1728.338063506957</v>
      </c>
      <c r="AB3" s="566">
        <f>SUM(AC3:AM3)</f>
        <v>150.18873559012798</v>
      </c>
      <c r="AC3" s="567"/>
      <c r="AD3" s="565"/>
      <c r="AE3" s="565">
        <v>23.169037781663999</v>
      </c>
      <c r="AF3" s="565"/>
      <c r="AG3" s="565"/>
      <c r="AH3" s="565"/>
      <c r="AI3" s="565">
        <v>104.16969909062398</v>
      </c>
      <c r="AJ3" s="565">
        <v>22.849998717839998</v>
      </c>
      <c r="AK3" s="564"/>
      <c r="AL3" s="564"/>
      <c r="AM3" s="562"/>
      <c r="AN3" s="568"/>
      <c r="AO3" s="568">
        <v>139.45061680000001</v>
      </c>
      <c r="AP3" s="566"/>
      <c r="AQ3" s="569">
        <f t="shared" ref="AQ3:AQ20" si="0">C3+H3+L3+AA3+AB3+AN3+AO3+AP3</f>
        <v>12100.540830096908</v>
      </c>
      <c r="AS3" s="235"/>
    </row>
    <row r="4" spans="1:45" s="230" customFormat="1" ht="12.75" customHeight="1">
      <c r="A4" s="557" t="s">
        <v>137</v>
      </c>
      <c r="B4" s="558"/>
      <c r="C4" s="559">
        <f>SUM(D4:G4)</f>
        <v>15.186580890896002</v>
      </c>
      <c r="D4" s="560">
        <v>0</v>
      </c>
      <c r="E4" s="570">
        <v>14.097722162000002</v>
      </c>
      <c r="F4" s="562"/>
      <c r="G4" s="562">
        <v>1.0888587288959999</v>
      </c>
      <c r="H4" s="563">
        <f>SUM(I4:K4)</f>
        <v>7.0330680000000001</v>
      </c>
      <c r="I4" s="564"/>
      <c r="J4" s="565"/>
      <c r="K4" s="565">
        <v>7.0330680000000001</v>
      </c>
      <c r="L4" s="563">
        <f>SUM(M4:Z4)</f>
        <v>1717.0624747879344</v>
      </c>
      <c r="M4" s="564">
        <v>0</v>
      </c>
      <c r="N4" s="564">
        <v>0</v>
      </c>
      <c r="O4" s="565"/>
      <c r="P4" s="565">
        <v>364.52221864444448</v>
      </c>
      <c r="Q4" s="565">
        <v>21.672508399360005</v>
      </c>
      <c r="R4" s="565">
        <v>156.29379915984001</v>
      </c>
      <c r="S4" s="565">
        <v>986.60611760112999</v>
      </c>
      <c r="T4" s="565">
        <v>35.289733288720633</v>
      </c>
      <c r="U4" s="565">
        <v>102.14625414775992</v>
      </c>
      <c r="V4" s="565">
        <v>2.9088437938490893E-3</v>
      </c>
      <c r="W4" s="562">
        <v>36.297317128453038</v>
      </c>
      <c r="X4" s="562">
        <v>5.4694689952000006</v>
      </c>
      <c r="Y4" s="562">
        <v>1.8500297569930473E-2</v>
      </c>
      <c r="Z4" s="565">
        <v>8.7436482816626366</v>
      </c>
      <c r="AA4" s="563">
        <v>0</v>
      </c>
      <c r="AB4" s="566">
        <f>SUM(AC4:AM4)</f>
        <v>9.4476585178560004</v>
      </c>
      <c r="AC4" s="567"/>
      <c r="AD4" s="565"/>
      <c r="AE4" s="565">
        <v>0.41264639999999991</v>
      </c>
      <c r="AF4" s="565"/>
      <c r="AG4" s="565"/>
      <c r="AH4" s="565"/>
      <c r="AI4" s="565">
        <v>9.0350121178560006</v>
      </c>
      <c r="AJ4" s="565">
        <v>0</v>
      </c>
      <c r="AK4" s="564"/>
      <c r="AL4" s="564"/>
      <c r="AM4" s="562"/>
      <c r="AN4" s="568"/>
      <c r="AO4" s="568">
        <v>141.83539077999998</v>
      </c>
      <c r="AP4" s="566"/>
      <c r="AQ4" s="569">
        <f t="shared" si="0"/>
        <v>1890.5651729766864</v>
      </c>
      <c r="AS4" s="235"/>
    </row>
    <row r="5" spans="1:45" s="230" customFormat="1" ht="12.75" customHeight="1">
      <c r="A5" s="557" t="s">
        <v>297</v>
      </c>
      <c r="B5" s="558"/>
      <c r="C5" s="559">
        <f>SUM(D5:G5)</f>
        <v>0</v>
      </c>
      <c r="D5" s="560"/>
      <c r="E5" s="570"/>
      <c r="F5" s="562"/>
      <c r="G5" s="562"/>
      <c r="H5" s="563">
        <f>SUM(I5:K5)</f>
        <v>0</v>
      </c>
      <c r="I5" s="564"/>
      <c r="J5" s="565"/>
      <c r="K5" s="565"/>
      <c r="L5" s="563">
        <f>SUM(M5:Z5)</f>
        <v>162.14899063248015</v>
      </c>
      <c r="M5" s="564"/>
      <c r="N5" s="564"/>
      <c r="O5" s="565"/>
      <c r="P5" s="565"/>
      <c r="Q5" s="565"/>
      <c r="R5" s="565"/>
      <c r="S5" s="565">
        <v>15.730078096892656</v>
      </c>
      <c r="T5" s="565"/>
      <c r="U5" s="565">
        <v>146.41891253558748</v>
      </c>
      <c r="V5" s="565"/>
      <c r="W5" s="562"/>
      <c r="X5" s="562"/>
      <c r="Y5" s="562"/>
      <c r="Z5" s="565"/>
      <c r="AA5" s="563"/>
      <c r="AB5" s="566">
        <f>SUM(AC5:AM5)</f>
        <v>0</v>
      </c>
      <c r="AC5" s="567"/>
      <c r="AD5" s="565"/>
      <c r="AE5" s="565"/>
      <c r="AF5" s="565"/>
      <c r="AG5" s="565"/>
      <c r="AH5" s="565"/>
      <c r="AI5" s="565"/>
      <c r="AJ5" s="565"/>
      <c r="AK5" s="564"/>
      <c r="AL5" s="564"/>
      <c r="AM5" s="562"/>
      <c r="AN5" s="568"/>
      <c r="AO5" s="568"/>
      <c r="AP5" s="566"/>
      <c r="AQ5" s="569">
        <f t="shared" si="0"/>
        <v>162.14899063248015</v>
      </c>
      <c r="AS5" s="235"/>
    </row>
    <row r="6" spans="1:45" s="230" customFormat="1" ht="12.75" customHeight="1" thickBot="1">
      <c r="A6" s="571" t="s">
        <v>298</v>
      </c>
      <c r="B6" s="572"/>
      <c r="C6" s="559">
        <f>SUM(D6:G6)</f>
        <v>-105.50045932171129</v>
      </c>
      <c r="D6" s="573">
        <v>-106.11399866466098</v>
      </c>
      <c r="E6" s="562">
        <v>-0.8079766727235479</v>
      </c>
      <c r="F6" s="574"/>
      <c r="G6" s="574">
        <v>1.4215160156732278</v>
      </c>
      <c r="H6" s="575">
        <f>SUM(I6:K6)</f>
        <v>-122.93905189963694</v>
      </c>
      <c r="I6" s="576">
        <v>-136.53826589963694</v>
      </c>
      <c r="J6" s="576">
        <v>0</v>
      </c>
      <c r="K6" s="576">
        <v>13.599214000000003</v>
      </c>
      <c r="L6" s="575">
        <f>SUM(M6:Z6)</f>
        <v>151.33981188504902</v>
      </c>
      <c r="M6" s="564">
        <v>38.730964773999993</v>
      </c>
      <c r="N6" s="564">
        <v>-8.8751519999999999</v>
      </c>
      <c r="O6" s="565"/>
      <c r="P6" s="565">
        <v>-9.6980083333333713</v>
      </c>
      <c r="Q6" s="565">
        <v>12.883201938880001</v>
      </c>
      <c r="R6" s="565">
        <v>82.12024884504001</v>
      </c>
      <c r="S6" s="565">
        <v>23.637599999999999</v>
      </c>
      <c r="T6" s="565">
        <v>1.4659197380156652</v>
      </c>
      <c r="U6" s="565">
        <v>8.3874136006762399</v>
      </c>
      <c r="V6" s="565">
        <v>3.2040911090633046</v>
      </c>
      <c r="W6" s="574">
        <v>-0.51646778729281662</v>
      </c>
      <c r="X6" s="574">
        <v>0</v>
      </c>
      <c r="Y6" s="574">
        <v>0</v>
      </c>
      <c r="Z6" s="576">
        <v>0</v>
      </c>
      <c r="AA6" s="575">
        <v>0</v>
      </c>
      <c r="AB6" s="577">
        <f>SUM(AC6:AM6)</f>
        <v>4.4601014379600006</v>
      </c>
      <c r="AC6" s="578"/>
      <c r="AD6" s="579"/>
      <c r="AE6" s="579">
        <v>0.26707427819999968</v>
      </c>
      <c r="AF6" s="579"/>
      <c r="AG6" s="579"/>
      <c r="AH6" s="579"/>
      <c r="AI6" s="579">
        <v>1.7828522013120007</v>
      </c>
      <c r="AJ6" s="579">
        <v>2.4101749584479997</v>
      </c>
      <c r="AK6" s="576"/>
      <c r="AL6" s="576"/>
      <c r="AM6" s="574"/>
      <c r="AN6" s="580"/>
      <c r="AO6" s="580"/>
      <c r="AP6" s="577"/>
      <c r="AQ6" s="581">
        <f t="shared" si="0"/>
        <v>-72.639597898339204</v>
      </c>
      <c r="AS6" s="235"/>
    </row>
    <row r="7" spans="1:45" s="231" customFormat="1" ht="12.75" customHeight="1">
      <c r="A7" s="582" t="s">
        <v>299</v>
      </c>
      <c r="B7" s="583"/>
      <c r="C7" s="584">
        <f t="shared" ref="C7:AP7" si="1">C2+C3-C4-C5+C6</f>
        <v>815.10230469829378</v>
      </c>
      <c r="D7" s="585">
        <f t="shared" si="1"/>
        <v>696.13465175193664</v>
      </c>
      <c r="E7" s="586">
        <f t="shared" si="1"/>
        <v>110.47930252567083</v>
      </c>
      <c r="F7" s="586">
        <f t="shared" si="1"/>
        <v>0</v>
      </c>
      <c r="G7" s="586">
        <f t="shared" si="1"/>
        <v>8.4883504206865013</v>
      </c>
      <c r="H7" s="587">
        <f t="shared" si="1"/>
        <v>685.95222908664709</v>
      </c>
      <c r="I7" s="585">
        <f t="shared" si="1"/>
        <v>551.68208308664714</v>
      </c>
      <c r="J7" s="586">
        <f t="shared" si="1"/>
        <v>127.70399999999999</v>
      </c>
      <c r="K7" s="586">
        <f t="shared" si="1"/>
        <v>6.5661460000000034</v>
      </c>
      <c r="L7" s="587">
        <f t="shared" si="1"/>
        <v>7418.9024157535559</v>
      </c>
      <c r="M7" s="585">
        <f t="shared" si="1"/>
        <v>3092.2052611591994</v>
      </c>
      <c r="N7" s="585">
        <f t="shared" si="1"/>
        <v>7.7582254992000017</v>
      </c>
      <c r="O7" s="586">
        <f t="shared" si="1"/>
        <v>0</v>
      </c>
      <c r="P7" s="586">
        <f t="shared" si="1"/>
        <v>190.00805737777765</v>
      </c>
      <c r="Q7" s="586">
        <f t="shared" si="1"/>
        <v>360.76611217919998</v>
      </c>
      <c r="R7" s="586">
        <f t="shared" si="1"/>
        <v>1469.0046832735197</v>
      </c>
      <c r="S7" s="586">
        <f t="shared" si="1"/>
        <v>-895.87064706723163</v>
      </c>
      <c r="T7" s="586">
        <f t="shared" si="1"/>
        <v>123.72255052198433</v>
      </c>
      <c r="U7" s="586">
        <f t="shared" si="1"/>
        <v>2701.2925504229925</v>
      </c>
      <c r="V7" s="586">
        <f t="shared" si="1"/>
        <v>167.68446868289712</v>
      </c>
      <c r="W7" s="586">
        <f t="shared" si="1"/>
        <v>-29.252130973066301</v>
      </c>
      <c r="X7" s="586">
        <f t="shared" si="1"/>
        <v>195.36275312176252</v>
      </c>
      <c r="Y7" s="586">
        <f t="shared" si="1"/>
        <v>1.2096467108549098</v>
      </c>
      <c r="Z7" s="586">
        <f t="shared" si="1"/>
        <v>35.010884844467988</v>
      </c>
      <c r="AA7" s="587">
        <f t="shared" si="1"/>
        <v>4480.2572507256682</v>
      </c>
      <c r="AB7" s="587">
        <f t="shared" si="1"/>
        <v>1476.4875613547667</v>
      </c>
      <c r="AC7" s="585">
        <f t="shared" si="1"/>
        <v>59.691708987970003</v>
      </c>
      <c r="AD7" s="586">
        <f t="shared" si="1"/>
        <v>743.01992281532614</v>
      </c>
      <c r="AE7" s="586">
        <f t="shared" si="1"/>
        <v>272.70521046496276</v>
      </c>
      <c r="AF7" s="586">
        <f t="shared" si="1"/>
        <v>139.99992739520798</v>
      </c>
      <c r="AG7" s="586">
        <f t="shared" si="1"/>
        <v>33.531818868055431</v>
      </c>
      <c r="AH7" s="586">
        <f t="shared" si="1"/>
        <v>16.813132576534866</v>
      </c>
      <c r="AI7" s="586">
        <f t="shared" si="1"/>
        <v>124.01266332172798</v>
      </c>
      <c r="AJ7" s="586">
        <f t="shared" si="1"/>
        <v>27.929372998367999</v>
      </c>
      <c r="AK7" s="588">
        <f t="shared" si="1"/>
        <v>1.4323955643044282</v>
      </c>
      <c r="AL7" s="588">
        <f t="shared" si="1"/>
        <v>13.54608560366562</v>
      </c>
      <c r="AM7" s="585">
        <f t="shared" si="1"/>
        <v>43.805322758643676</v>
      </c>
      <c r="AN7" s="587">
        <f t="shared" si="1"/>
        <v>145.43710297949829</v>
      </c>
      <c r="AO7" s="587">
        <f t="shared" si="1"/>
        <v>-2.3847739799999772</v>
      </c>
      <c r="AP7" s="589">
        <f t="shared" si="1"/>
        <v>0</v>
      </c>
      <c r="AQ7" s="590">
        <f t="shared" si="0"/>
        <v>15019.754090618429</v>
      </c>
      <c r="AR7" s="230"/>
      <c r="AS7" s="236"/>
    </row>
    <row r="8" spans="1:45" s="231" customFormat="1" ht="12.75" customHeight="1" thickBot="1">
      <c r="A8" s="591" t="s">
        <v>300</v>
      </c>
      <c r="B8" s="592"/>
      <c r="C8" s="593">
        <f t="shared" ref="C8:AP8" si="2">C7-C27</f>
        <v>815.10230469829378</v>
      </c>
      <c r="D8" s="594">
        <f t="shared" si="2"/>
        <v>696.13465175193664</v>
      </c>
      <c r="E8" s="595">
        <f t="shared" si="2"/>
        <v>110.47930252567083</v>
      </c>
      <c r="F8" s="596">
        <f t="shared" si="2"/>
        <v>0</v>
      </c>
      <c r="G8" s="596">
        <f t="shared" si="2"/>
        <v>8.4883504206865013</v>
      </c>
      <c r="H8" s="597">
        <f t="shared" si="2"/>
        <v>685.95222908664709</v>
      </c>
      <c r="I8" s="594">
        <f t="shared" si="2"/>
        <v>551.68208308664714</v>
      </c>
      <c r="J8" s="595">
        <f t="shared" si="2"/>
        <v>127.70399999999999</v>
      </c>
      <c r="K8" s="595">
        <f t="shared" si="2"/>
        <v>6.5661460000000034</v>
      </c>
      <c r="L8" s="597">
        <f t="shared" si="2"/>
        <v>7187.3191310764705</v>
      </c>
      <c r="M8" s="594">
        <f t="shared" si="2"/>
        <v>3092.2052611591994</v>
      </c>
      <c r="N8" s="594">
        <f t="shared" si="2"/>
        <v>7.7582254992000017</v>
      </c>
      <c r="O8" s="595">
        <f t="shared" si="2"/>
        <v>0</v>
      </c>
      <c r="P8" s="595">
        <f t="shared" si="2"/>
        <v>190.00805737777765</v>
      </c>
      <c r="Q8" s="595">
        <f t="shared" si="2"/>
        <v>360.76611217919998</v>
      </c>
      <c r="R8" s="595">
        <f t="shared" si="2"/>
        <v>1469.0046832735197</v>
      </c>
      <c r="S8" s="595">
        <f t="shared" si="2"/>
        <v>-895.87064706723163</v>
      </c>
      <c r="T8" s="595">
        <f t="shared" si="2"/>
        <v>123.72255052198433</v>
      </c>
      <c r="U8" s="595">
        <f t="shared" si="2"/>
        <v>2701.2925504229925</v>
      </c>
      <c r="V8" s="595">
        <f t="shared" si="2"/>
        <v>167.68446868289712</v>
      </c>
      <c r="W8" s="596">
        <f t="shared" si="2"/>
        <v>-29.252130973066301</v>
      </c>
      <c r="X8" s="596">
        <f t="shared" si="2"/>
        <v>0</v>
      </c>
      <c r="Y8" s="596">
        <f t="shared" si="2"/>
        <v>0</v>
      </c>
      <c r="Z8" s="595">
        <f t="shared" si="2"/>
        <v>0</v>
      </c>
      <c r="AA8" s="597">
        <f t="shared" si="2"/>
        <v>4480.2572507256682</v>
      </c>
      <c r="AB8" s="598">
        <f t="shared" si="2"/>
        <v>1476.4875613547667</v>
      </c>
      <c r="AC8" s="594">
        <f t="shared" si="2"/>
        <v>59.691708987970003</v>
      </c>
      <c r="AD8" s="595">
        <f t="shared" si="2"/>
        <v>743.01992281532614</v>
      </c>
      <c r="AE8" s="595">
        <f t="shared" si="2"/>
        <v>272.70521046496276</v>
      </c>
      <c r="AF8" s="595">
        <f t="shared" si="2"/>
        <v>139.99992739520798</v>
      </c>
      <c r="AG8" s="595">
        <f t="shared" si="2"/>
        <v>33.531818868055431</v>
      </c>
      <c r="AH8" s="595">
        <f t="shared" si="2"/>
        <v>16.813132576534866</v>
      </c>
      <c r="AI8" s="595">
        <f t="shared" si="2"/>
        <v>124.01266332172798</v>
      </c>
      <c r="AJ8" s="595">
        <f t="shared" si="2"/>
        <v>27.929372998367999</v>
      </c>
      <c r="AK8" s="599">
        <f t="shared" si="2"/>
        <v>1.4323955643044282</v>
      </c>
      <c r="AL8" s="599">
        <f t="shared" si="2"/>
        <v>13.54608560366562</v>
      </c>
      <c r="AM8" s="594">
        <f t="shared" si="2"/>
        <v>43.805322758643676</v>
      </c>
      <c r="AN8" s="597">
        <f t="shared" si="2"/>
        <v>145.43710297949829</v>
      </c>
      <c r="AO8" s="597">
        <f t="shared" si="2"/>
        <v>-2.3847739799999772</v>
      </c>
      <c r="AP8" s="594">
        <f t="shared" si="2"/>
        <v>0</v>
      </c>
      <c r="AQ8" s="600">
        <f t="shared" si="0"/>
        <v>14788.170805941343</v>
      </c>
      <c r="AR8" s="230"/>
      <c r="AS8" s="236"/>
    </row>
    <row r="9" spans="1:45" s="231" customFormat="1" ht="12.75" customHeight="1">
      <c r="A9" s="582" t="s">
        <v>301</v>
      </c>
      <c r="B9" s="583"/>
      <c r="C9" s="584">
        <f t="shared" ref="C9:AP9" si="3">SUM(C10:C14)</f>
        <v>488.64939432989598</v>
      </c>
      <c r="D9" s="588">
        <f t="shared" si="3"/>
        <v>488.64939432989598</v>
      </c>
      <c r="E9" s="586">
        <f t="shared" si="3"/>
        <v>0</v>
      </c>
      <c r="F9" s="601">
        <f t="shared" si="3"/>
        <v>0</v>
      </c>
      <c r="G9" s="601">
        <f t="shared" si="3"/>
        <v>0</v>
      </c>
      <c r="H9" s="587">
        <f t="shared" si="3"/>
        <v>541.02658367795425</v>
      </c>
      <c r="I9" s="588">
        <f t="shared" si="3"/>
        <v>541.02658367795425</v>
      </c>
      <c r="J9" s="586">
        <f t="shared" si="3"/>
        <v>0</v>
      </c>
      <c r="K9" s="586">
        <f t="shared" si="3"/>
        <v>0</v>
      </c>
      <c r="L9" s="587">
        <f t="shared" si="3"/>
        <v>3165.7216476484605</v>
      </c>
      <c r="M9" s="586">
        <f t="shared" si="3"/>
        <v>3092.2052611591994</v>
      </c>
      <c r="N9" s="586">
        <f t="shared" ref="N9" si="4">SUM(N10:N14)</f>
        <v>38.786602361842682</v>
      </c>
      <c r="O9" s="586">
        <f t="shared" si="3"/>
        <v>0</v>
      </c>
      <c r="P9" s="586">
        <f t="shared" si="3"/>
        <v>0</v>
      </c>
      <c r="Q9" s="586">
        <f t="shared" si="3"/>
        <v>0</v>
      </c>
      <c r="R9" s="586">
        <f t="shared" si="3"/>
        <v>0</v>
      </c>
      <c r="S9" s="586">
        <f t="shared" si="3"/>
        <v>25.868327226603597</v>
      </c>
      <c r="T9" s="586">
        <f t="shared" si="3"/>
        <v>0.63499472294399995</v>
      </c>
      <c r="U9" s="586">
        <f t="shared" si="3"/>
        <v>8.2264621778709284</v>
      </c>
      <c r="V9" s="586">
        <f t="shared" si="3"/>
        <v>0</v>
      </c>
      <c r="W9" s="601">
        <f t="shared" si="3"/>
        <v>0</v>
      </c>
      <c r="X9" s="601">
        <f t="shared" si="3"/>
        <v>0</v>
      </c>
      <c r="Y9" s="601">
        <f t="shared" si="3"/>
        <v>0</v>
      </c>
      <c r="Z9" s="586">
        <f t="shared" si="3"/>
        <v>0</v>
      </c>
      <c r="AA9" s="587">
        <f t="shared" si="3"/>
        <v>2501.2994242635782</v>
      </c>
      <c r="AB9" s="585">
        <f t="shared" si="3"/>
        <v>215.90352917717644</v>
      </c>
      <c r="AC9" s="602">
        <f t="shared" si="3"/>
        <v>0</v>
      </c>
      <c r="AD9" s="586">
        <f t="shared" si="3"/>
        <v>0</v>
      </c>
      <c r="AE9" s="586">
        <f t="shared" si="3"/>
        <v>76.028615684916531</v>
      </c>
      <c r="AF9" s="586">
        <f t="shared" ref="AF9" si="5">SUM(AF10:AF14)</f>
        <v>99.30702317107577</v>
      </c>
      <c r="AG9" s="586">
        <f t="shared" si="3"/>
        <v>33.531818868055431</v>
      </c>
      <c r="AH9" s="586">
        <f t="shared" si="3"/>
        <v>7.0360714531287174</v>
      </c>
      <c r="AI9" s="586">
        <f t="shared" si="3"/>
        <v>0</v>
      </c>
      <c r="AJ9" s="586">
        <f t="shared" ref="AJ9" si="6">SUM(AJ10:AJ14)</f>
        <v>0</v>
      </c>
      <c r="AK9" s="588">
        <f t="shared" si="3"/>
        <v>0</v>
      </c>
      <c r="AL9" s="588">
        <f t="shared" ref="AL9" si="7">SUM(AL10:AL14)</f>
        <v>0</v>
      </c>
      <c r="AM9" s="601">
        <f t="shared" si="3"/>
        <v>0</v>
      </c>
      <c r="AN9" s="587">
        <f t="shared" si="3"/>
        <v>90.714163374524205</v>
      </c>
      <c r="AO9" s="587">
        <f t="shared" si="3"/>
        <v>54.38453208</v>
      </c>
      <c r="AP9" s="585">
        <f t="shared" si="3"/>
        <v>0</v>
      </c>
      <c r="AQ9" s="603">
        <f t="shared" si="0"/>
        <v>7057.699274551589</v>
      </c>
      <c r="AR9" s="230"/>
      <c r="AS9" s="236"/>
    </row>
    <row r="10" spans="1:45" s="230" customFormat="1" ht="12.75" customHeight="1">
      <c r="A10" s="604" t="s">
        <v>302</v>
      </c>
      <c r="B10" s="605"/>
      <c r="C10" s="606">
        <f>SUM(D10:G10)</f>
        <v>488.64939432989598</v>
      </c>
      <c r="D10" s="607">
        <v>488.64939432989598</v>
      </c>
      <c r="E10" s="608"/>
      <c r="F10" s="609"/>
      <c r="G10" s="609"/>
      <c r="H10" s="610">
        <f>SUM(I10:K10)</f>
        <v>467.10845991760607</v>
      </c>
      <c r="I10" s="607">
        <v>467.10845991760607</v>
      </c>
      <c r="J10" s="608">
        <v>0</v>
      </c>
      <c r="K10" s="608"/>
      <c r="L10" s="610">
        <f>SUM(M10:Z10)</f>
        <v>34.094789404474525</v>
      </c>
      <c r="M10" s="608"/>
      <c r="N10" s="608"/>
      <c r="O10" s="608"/>
      <c r="P10" s="608"/>
      <c r="Q10" s="608"/>
      <c r="R10" s="608"/>
      <c r="S10" s="608">
        <v>25.868327226603597</v>
      </c>
      <c r="T10" s="608"/>
      <c r="U10" s="608">
        <v>8.2264621778709284</v>
      </c>
      <c r="V10" s="608"/>
      <c r="W10" s="609"/>
      <c r="X10" s="609"/>
      <c r="Y10" s="609"/>
      <c r="Z10" s="608"/>
      <c r="AA10" s="610">
        <v>2187.6033883210698</v>
      </c>
      <c r="AB10" s="611">
        <f>SUM(AC10:AM10)</f>
        <v>205.30590173319058</v>
      </c>
      <c r="AC10" s="612"/>
      <c r="AD10" s="608"/>
      <c r="AE10" s="608">
        <v>72.467059694059387</v>
      </c>
      <c r="AF10" s="608">
        <v>99.30702317107577</v>
      </c>
      <c r="AG10" s="608">
        <v>33.531818868055431</v>
      </c>
      <c r="AH10" s="608"/>
      <c r="AI10" s="608"/>
      <c r="AJ10" s="608"/>
      <c r="AK10" s="607"/>
      <c r="AL10" s="607"/>
      <c r="AM10" s="609"/>
      <c r="AN10" s="613">
        <v>90.714163374524205</v>
      </c>
      <c r="AO10" s="610"/>
      <c r="AP10" s="611"/>
      <c r="AQ10" s="614">
        <f t="shared" si="0"/>
        <v>3473.4760970807611</v>
      </c>
      <c r="AS10" s="235"/>
    </row>
    <row r="11" spans="1:45" s="230" customFormat="1" ht="12.75" customHeight="1">
      <c r="A11" s="557" t="s">
        <v>303</v>
      </c>
      <c r="B11" s="558"/>
      <c r="C11" s="559">
        <f>SUM(D11:G11)</f>
        <v>0</v>
      </c>
      <c r="D11" s="564">
        <v>0</v>
      </c>
      <c r="E11" s="565"/>
      <c r="F11" s="562"/>
      <c r="G11" s="562"/>
      <c r="H11" s="563">
        <f>SUM(I11:K11)</f>
        <v>5.8425469182429177</v>
      </c>
      <c r="I11" s="564">
        <v>5.8425469182429177</v>
      </c>
      <c r="J11" s="565"/>
      <c r="K11" s="565"/>
      <c r="L11" s="563">
        <f>SUM(M11:Z11)</f>
        <v>0.63499472294399995</v>
      </c>
      <c r="M11" s="565"/>
      <c r="N11" s="615"/>
      <c r="O11" s="615">
        <v>0</v>
      </c>
      <c r="P11" s="565"/>
      <c r="Q11" s="565"/>
      <c r="R11" s="565"/>
      <c r="S11" s="565">
        <v>0</v>
      </c>
      <c r="T11" s="565">
        <v>0.63499472294399995</v>
      </c>
      <c r="U11" s="565">
        <v>0</v>
      </c>
      <c r="V11" s="565"/>
      <c r="W11" s="562"/>
      <c r="X11" s="562"/>
      <c r="Y11" s="562"/>
      <c r="Z11" s="565"/>
      <c r="AA11" s="563">
        <v>272.96145103491432</v>
      </c>
      <c r="AB11" s="566">
        <f>SUM(AC11:AM11)</f>
        <v>10.597627443985861</v>
      </c>
      <c r="AC11" s="567"/>
      <c r="AD11" s="565"/>
      <c r="AE11" s="565">
        <v>3.5615559908571428</v>
      </c>
      <c r="AF11" s="565"/>
      <c r="AG11" s="565"/>
      <c r="AH11" s="565">
        <v>7.0360714531287174</v>
      </c>
      <c r="AI11" s="565"/>
      <c r="AJ11" s="565"/>
      <c r="AK11" s="564"/>
      <c r="AL11" s="564"/>
      <c r="AM11" s="562"/>
      <c r="AN11" s="568"/>
      <c r="AO11" s="568"/>
      <c r="AP11" s="566"/>
      <c r="AQ11" s="569">
        <f t="shared" si="0"/>
        <v>290.03662012008709</v>
      </c>
      <c r="AS11" s="235"/>
    </row>
    <row r="12" spans="1:45" s="230" customFormat="1" ht="12.75" customHeight="1">
      <c r="A12" s="557" t="s">
        <v>304</v>
      </c>
      <c r="B12" s="558"/>
      <c r="C12" s="559"/>
      <c r="D12" s="564"/>
      <c r="E12" s="565"/>
      <c r="F12" s="562"/>
      <c r="G12" s="562"/>
      <c r="H12" s="563"/>
      <c r="I12" s="564"/>
      <c r="J12" s="565"/>
      <c r="K12" s="565"/>
      <c r="L12" s="563"/>
      <c r="M12" s="565"/>
      <c r="N12" s="615"/>
      <c r="O12" s="615"/>
      <c r="P12" s="565"/>
      <c r="Q12" s="565"/>
      <c r="R12" s="565"/>
      <c r="S12" s="565"/>
      <c r="T12" s="565"/>
      <c r="U12" s="565"/>
      <c r="V12" s="565"/>
      <c r="W12" s="562"/>
      <c r="X12" s="562"/>
      <c r="Y12" s="562"/>
      <c r="Z12" s="565"/>
      <c r="AA12" s="563"/>
      <c r="AB12" s="566"/>
      <c r="AC12" s="567"/>
      <c r="AD12" s="565"/>
      <c r="AE12" s="565"/>
      <c r="AF12" s="565"/>
      <c r="AG12" s="565"/>
      <c r="AH12" s="565"/>
      <c r="AI12" s="565"/>
      <c r="AJ12" s="565"/>
      <c r="AK12" s="564"/>
      <c r="AL12" s="564"/>
      <c r="AM12" s="562"/>
      <c r="AN12" s="568"/>
      <c r="AO12" s="568">
        <v>42.942060079999997</v>
      </c>
      <c r="AP12" s="566"/>
      <c r="AQ12" s="569">
        <f t="shared" si="0"/>
        <v>42.942060079999997</v>
      </c>
      <c r="AS12" s="235"/>
    </row>
    <row r="13" spans="1:45" s="230" customFormat="1" ht="12.75" customHeight="1">
      <c r="A13" s="557" t="s">
        <v>305</v>
      </c>
      <c r="B13" s="558"/>
      <c r="C13" s="559">
        <f>SUM(D13:G13)</f>
        <v>0</v>
      </c>
      <c r="D13" s="564"/>
      <c r="E13" s="562"/>
      <c r="F13" s="562"/>
      <c r="G13" s="562"/>
      <c r="H13" s="563">
        <f>SUM(I13:K13)</f>
        <v>68.075576842105264</v>
      </c>
      <c r="I13" s="564">
        <v>68.075576842105264</v>
      </c>
      <c r="J13" s="565"/>
      <c r="K13" s="565"/>
      <c r="L13" s="563">
        <f>SUM(M13:Z13)</f>
        <v>0</v>
      </c>
      <c r="M13" s="565"/>
      <c r="N13" s="565"/>
      <c r="O13" s="565"/>
      <c r="P13" s="565"/>
      <c r="Q13" s="565"/>
      <c r="R13" s="565"/>
      <c r="S13" s="565"/>
      <c r="T13" s="565"/>
      <c r="U13" s="565"/>
      <c r="V13" s="565"/>
      <c r="W13" s="562"/>
      <c r="X13" s="562"/>
      <c r="Y13" s="562"/>
      <c r="Z13" s="565"/>
      <c r="AA13" s="563"/>
      <c r="AB13" s="566">
        <f>SUM(AC13:AM13)</f>
        <v>0</v>
      </c>
      <c r="AC13" s="567"/>
      <c r="AD13" s="565"/>
      <c r="AE13" s="565"/>
      <c r="AF13" s="565"/>
      <c r="AG13" s="565"/>
      <c r="AH13" s="565"/>
      <c r="AI13" s="565"/>
      <c r="AJ13" s="565"/>
      <c r="AK13" s="564"/>
      <c r="AL13" s="564"/>
      <c r="AM13" s="562"/>
      <c r="AN13" s="568"/>
      <c r="AO13" s="568"/>
      <c r="AP13" s="566"/>
      <c r="AQ13" s="569">
        <f t="shared" si="0"/>
        <v>68.075576842105264</v>
      </c>
      <c r="AS13" s="235"/>
    </row>
    <row r="14" spans="1:45" s="230" customFormat="1" ht="12.75" customHeight="1">
      <c r="A14" s="616" t="s">
        <v>306</v>
      </c>
      <c r="B14" s="617"/>
      <c r="C14" s="618">
        <f>SUM(D14:G14)</f>
        <v>0</v>
      </c>
      <c r="D14" s="619"/>
      <c r="E14" s="620"/>
      <c r="F14" s="621"/>
      <c r="G14" s="621"/>
      <c r="H14" s="622">
        <f>SUM(I14:K14)</f>
        <v>0</v>
      </c>
      <c r="I14" s="619"/>
      <c r="J14" s="620"/>
      <c r="K14" s="620"/>
      <c r="L14" s="622">
        <f>SUM(M14:Z14)</f>
        <v>3130.991863521042</v>
      </c>
      <c r="M14" s="620">
        <v>3092.2052611591994</v>
      </c>
      <c r="N14" s="620">
        <v>38.786602361842682</v>
      </c>
      <c r="O14" s="620"/>
      <c r="P14" s="620"/>
      <c r="Q14" s="620"/>
      <c r="R14" s="620"/>
      <c r="S14" s="620"/>
      <c r="T14" s="620"/>
      <c r="U14" s="620"/>
      <c r="V14" s="620"/>
      <c r="W14" s="621"/>
      <c r="X14" s="621"/>
      <c r="Y14" s="621"/>
      <c r="Z14" s="620"/>
      <c r="AA14" s="622">
        <v>40.734584907594211</v>
      </c>
      <c r="AB14" s="623">
        <f>SUM(AC14:AM14)</f>
        <v>0</v>
      </c>
      <c r="AC14" s="624"/>
      <c r="AD14" s="620"/>
      <c r="AE14" s="620"/>
      <c r="AF14" s="620"/>
      <c r="AG14" s="620"/>
      <c r="AH14" s="620"/>
      <c r="AI14" s="620"/>
      <c r="AJ14" s="620"/>
      <c r="AK14" s="619"/>
      <c r="AL14" s="619"/>
      <c r="AM14" s="621"/>
      <c r="AN14" s="625"/>
      <c r="AO14" s="625">
        <v>11.442471999999999</v>
      </c>
      <c r="AP14" s="623"/>
      <c r="AQ14" s="626">
        <f t="shared" si="0"/>
        <v>3183.1689204286363</v>
      </c>
      <c r="AS14" s="235"/>
    </row>
    <row r="15" spans="1:45" s="231" customFormat="1" ht="12.75" customHeight="1">
      <c r="A15" s="627" t="s">
        <v>307</v>
      </c>
      <c r="B15" s="628"/>
      <c r="C15" s="629">
        <f t="shared" ref="C15:AP15" si="8">SUM(C16:C20)</f>
        <v>0</v>
      </c>
      <c r="D15" s="630">
        <f t="shared" si="8"/>
        <v>0</v>
      </c>
      <c r="E15" s="631">
        <f t="shared" si="8"/>
        <v>0</v>
      </c>
      <c r="F15" s="632">
        <f t="shared" si="8"/>
        <v>0</v>
      </c>
      <c r="G15" s="632">
        <f t="shared" si="8"/>
        <v>0</v>
      </c>
      <c r="H15" s="633">
        <f t="shared" si="8"/>
        <v>64.671797999999995</v>
      </c>
      <c r="I15" s="630">
        <f t="shared" si="8"/>
        <v>0</v>
      </c>
      <c r="J15" s="631">
        <f t="shared" si="8"/>
        <v>0</v>
      </c>
      <c r="K15" s="631">
        <f t="shared" si="8"/>
        <v>64.671797999999995</v>
      </c>
      <c r="L15" s="633">
        <f t="shared" si="8"/>
        <v>3166.7858692089685</v>
      </c>
      <c r="M15" s="631">
        <f t="shared" si="8"/>
        <v>0</v>
      </c>
      <c r="N15" s="631">
        <f t="shared" si="8"/>
        <v>0</v>
      </c>
      <c r="O15" s="631">
        <f t="shared" si="8"/>
        <v>90.017983923640699</v>
      </c>
      <c r="P15" s="631">
        <f t="shared" si="8"/>
        <v>640.53679657777786</v>
      </c>
      <c r="Q15" s="631">
        <f t="shared" si="8"/>
        <v>226.77459106847999</v>
      </c>
      <c r="R15" s="631">
        <f t="shared" si="8"/>
        <v>0</v>
      </c>
      <c r="S15" s="631">
        <f t="shared" si="8"/>
        <v>960.95017928079096</v>
      </c>
      <c r="T15" s="631">
        <f t="shared" si="8"/>
        <v>64.797462901984332</v>
      </c>
      <c r="U15" s="631">
        <f t="shared" si="8"/>
        <v>1146.9502117491124</v>
      </c>
      <c r="V15" s="631">
        <f t="shared" si="8"/>
        <v>0</v>
      </c>
      <c r="W15" s="632">
        <f t="shared" si="8"/>
        <v>36.758643707182323</v>
      </c>
      <c r="X15" s="632">
        <f t="shared" si="8"/>
        <v>0</v>
      </c>
      <c r="Y15" s="632">
        <f t="shared" si="8"/>
        <v>0</v>
      </c>
      <c r="Z15" s="631">
        <f t="shared" si="8"/>
        <v>0</v>
      </c>
      <c r="AA15" s="633">
        <f t="shared" si="8"/>
        <v>0</v>
      </c>
      <c r="AB15" s="634">
        <f t="shared" si="8"/>
        <v>0</v>
      </c>
      <c r="AC15" s="635">
        <f t="shared" si="8"/>
        <v>0</v>
      </c>
      <c r="AD15" s="631">
        <f t="shared" si="8"/>
        <v>0</v>
      </c>
      <c r="AE15" s="631">
        <f t="shared" si="8"/>
        <v>0</v>
      </c>
      <c r="AF15" s="631">
        <f t="shared" si="8"/>
        <v>0</v>
      </c>
      <c r="AG15" s="636">
        <f t="shared" si="8"/>
        <v>0</v>
      </c>
      <c r="AH15" s="636">
        <f t="shared" si="8"/>
        <v>0</v>
      </c>
      <c r="AI15" s="636">
        <f t="shared" si="8"/>
        <v>0</v>
      </c>
      <c r="AJ15" s="636">
        <f t="shared" si="8"/>
        <v>0</v>
      </c>
      <c r="AK15" s="630">
        <f t="shared" si="8"/>
        <v>0</v>
      </c>
      <c r="AL15" s="630">
        <f t="shared" si="8"/>
        <v>0</v>
      </c>
      <c r="AM15" s="632">
        <f t="shared" si="8"/>
        <v>0</v>
      </c>
      <c r="AN15" s="633">
        <f t="shared" si="8"/>
        <v>0</v>
      </c>
      <c r="AO15" s="633">
        <f t="shared" si="8"/>
        <v>1873.361490524092</v>
      </c>
      <c r="AP15" s="634">
        <f t="shared" si="8"/>
        <v>0</v>
      </c>
      <c r="AQ15" s="637">
        <f t="shared" si="0"/>
        <v>5104.8191577330599</v>
      </c>
      <c r="AR15" s="230"/>
      <c r="AS15" s="236"/>
    </row>
    <row r="16" spans="1:45" s="232" customFormat="1" ht="12.75" customHeight="1">
      <c r="A16" s="604" t="s">
        <v>302</v>
      </c>
      <c r="B16" s="605"/>
      <c r="C16" s="606">
        <f>SUM(D16:G16)</f>
        <v>0</v>
      </c>
      <c r="D16" s="607"/>
      <c r="E16" s="608"/>
      <c r="F16" s="609"/>
      <c r="G16" s="609"/>
      <c r="H16" s="610">
        <f>SUM(I16:K16)</f>
        <v>0</v>
      </c>
      <c r="I16" s="607"/>
      <c r="J16" s="608"/>
      <c r="K16" s="608"/>
      <c r="L16" s="610">
        <f>SUM(M16:Z16)</f>
        <v>0</v>
      </c>
      <c r="M16" s="608"/>
      <c r="N16" s="608"/>
      <c r="O16" s="608"/>
      <c r="P16" s="608"/>
      <c r="Q16" s="608"/>
      <c r="R16" s="608"/>
      <c r="S16" s="608"/>
      <c r="T16" s="608"/>
      <c r="U16" s="608"/>
      <c r="V16" s="608"/>
      <c r="W16" s="609"/>
      <c r="X16" s="609"/>
      <c r="Y16" s="609"/>
      <c r="Z16" s="608"/>
      <c r="AA16" s="610"/>
      <c r="AB16" s="611">
        <f>SUM(AC16:AL16)</f>
        <v>0</v>
      </c>
      <c r="AC16" s="612"/>
      <c r="AD16" s="608"/>
      <c r="AE16" s="608"/>
      <c r="AF16" s="608"/>
      <c r="AG16" s="615"/>
      <c r="AH16" s="615"/>
      <c r="AI16" s="615"/>
      <c r="AJ16" s="615"/>
      <c r="AK16" s="607"/>
      <c r="AL16" s="607"/>
      <c r="AM16" s="609"/>
      <c r="AN16" s="613"/>
      <c r="AO16" s="613">
        <v>1667.7865923774164</v>
      </c>
      <c r="AP16" s="611"/>
      <c r="AQ16" s="638">
        <f>C16+H16+L16+AA16+AO16+AP16</f>
        <v>1667.7865923774164</v>
      </c>
      <c r="AR16" s="230"/>
      <c r="AS16" s="248"/>
    </row>
    <row r="17" spans="1:45" s="232" customFormat="1" ht="12.75" customHeight="1">
      <c r="A17" s="557" t="s">
        <v>303</v>
      </c>
      <c r="B17" s="558"/>
      <c r="C17" s="559">
        <f>SUM(D17:G17)</f>
        <v>0</v>
      </c>
      <c r="D17" s="564"/>
      <c r="E17" s="565"/>
      <c r="F17" s="562"/>
      <c r="G17" s="562"/>
      <c r="H17" s="563">
        <f>SUM(I17:K17)</f>
        <v>0</v>
      </c>
      <c r="I17" s="564"/>
      <c r="J17" s="565"/>
      <c r="K17" s="565"/>
      <c r="L17" s="563">
        <f>SUM(M17:Z17)</f>
        <v>0</v>
      </c>
      <c r="M17" s="565"/>
      <c r="N17" s="565"/>
      <c r="O17" s="565"/>
      <c r="P17" s="565"/>
      <c r="Q17" s="565"/>
      <c r="R17" s="565"/>
      <c r="S17" s="565"/>
      <c r="T17" s="565"/>
      <c r="U17" s="565"/>
      <c r="V17" s="565"/>
      <c r="W17" s="562"/>
      <c r="X17" s="562"/>
      <c r="Y17" s="562"/>
      <c r="Z17" s="565"/>
      <c r="AA17" s="563"/>
      <c r="AB17" s="566">
        <f>SUM(AC17:AL17)</f>
        <v>0</v>
      </c>
      <c r="AC17" s="567"/>
      <c r="AD17" s="565"/>
      <c r="AE17" s="565"/>
      <c r="AF17" s="565"/>
      <c r="AG17" s="565"/>
      <c r="AH17" s="565"/>
      <c r="AI17" s="565"/>
      <c r="AJ17" s="565"/>
      <c r="AK17" s="564"/>
      <c r="AL17" s="564"/>
      <c r="AM17" s="562"/>
      <c r="AN17" s="568"/>
      <c r="AO17" s="639">
        <v>185.14395873624346</v>
      </c>
      <c r="AP17" s="566"/>
      <c r="AQ17" s="569">
        <f>C17+H17+L17+AA17+AO17+AP17</f>
        <v>185.14395873624346</v>
      </c>
      <c r="AR17" s="230"/>
      <c r="AS17" s="248"/>
    </row>
    <row r="18" spans="1:45" s="232" customFormat="1" ht="12.75" customHeight="1">
      <c r="A18" s="557" t="s">
        <v>308</v>
      </c>
      <c r="B18" s="558"/>
      <c r="C18" s="559"/>
      <c r="D18" s="564"/>
      <c r="E18" s="565"/>
      <c r="F18" s="562"/>
      <c r="G18" s="562"/>
      <c r="H18" s="563"/>
      <c r="I18" s="564"/>
      <c r="J18" s="565"/>
      <c r="K18" s="565"/>
      <c r="L18" s="563"/>
      <c r="M18" s="565"/>
      <c r="N18" s="565"/>
      <c r="O18" s="565"/>
      <c r="P18" s="565"/>
      <c r="Q18" s="565"/>
      <c r="R18" s="565"/>
      <c r="S18" s="565"/>
      <c r="T18" s="565"/>
      <c r="U18" s="565"/>
      <c r="V18" s="565"/>
      <c r="W18" s="562"/>
      <c r="X18" s="562"/>
      <c r="Y18" s="562"/>
      <c r="Z18" s="565"/>
      <c r="AA18" s="563"/>
      <c r="AB18" s="566"/>
      <c r="AC18" s="567"/>
      <c r="AD18" s="565"/>
      <c r="AE18" s="565"/>
      <c r="AF18" s="565"/>
      <c r="AG18" s="565"/>
      <c r="AH18" s="565"/>
      <c r="AI18" s="565"/>
      <c r="AJ18" s="565"/>
      <c r="AK18" s="564"/>
      <c r="AL18" s="564"/>
      <c r="AM18" s="562"/>
      <c r="AN18" s="568"/>
      <c r="AO18" s="568">
        <v>20.430939410432</v>
      </c>
      <c r="AP18" s="566"/>
      <c r="AQ18" s="569">
        <f t="shared" si="0"/>
        <v>20.430939410432</v>
      </c>
      <c r="AR18" s="230"/>
      <c r="AS18" s="248"/>
    </row>
    <row r="19" spans="1:45" s="232" customFormat="1" ht="12.75" customHeight="1">
      <c r="A19" s="557" t="s">
        <v>305</v>
      </c>
      <c r="B19" s="558"/>
      <c r="C19" s="559"/>
      <c r="D19" s="234"/>
      <c r="E19" s="565"/>
      <c r="F19" s="562"/>
      <c r="G19" s="562"/>
      <c r="H19" s="563">
        <f>SUM(I19:K19)</f>
        <v>64.671797999999995</v>
      </c>
      <c r="I19" s="564"/>
      <c r="J19" s="565"/>
      <c r="K19" s="565">
        <v>64.671797999999995</v>
      </c>
      <c r="L19" s="563">
        <f>SUM(M19:Z19)</f>
        <v>0</v>
      </c>
      <c r="M19" s="565"/>
      <c r="N19" s="565"/>
      <c r="O19" s="565"/>
      <c r="P19" s="565"/>
      <c r="Q19" s="565"/>
      <c r="R19" s="565"/>
      <c r="S19" s="565"/>
      <c r="T19" s="565"/>
      <c r="U19" s="565"/>
      <c r="V19" s="565"/>
      <c r="W19" s="562"/>
      <c r="X19" s="562"/>
      <c r="Y19" s="562"/>
      <c r="Z19" s="565"/>
      <c r="AA19" s="563"/>
      <c r="AB19" s="566">
        <f>SUM(AC19:AL19)</f>
        <v>0</v>
      </c>
      <c r="AC19" s="567"/>
      <c r="AD19" s="565"/>
      <c r="AE19" s="565"/>
      <c r="AF19" s="565"/>
      <c r="AG19" s="565"/>
      <c r="AH19" s="565"/>
      <c r="AI19" s="565"/>
      <c r="AJ19" s="565"/>
      <c r="AK19" s="564"/>
      <c r="AL19" s="564"/>
      <c r="AM19" s="562"/>
      <c r="AN19" s="568"/>
      <c r="AO19" s="568"/>
      <c r="AP19" s="566"/>
      <c r="AQ19" s="569">
        <f t="shared" si="0"/>
        <v>64.671797999999995</v>
      </c>
      <c r="AR19" s="230"/>
      <c r="AS19" s="248"/>
    </row>
    <row r="20" spans="1:45" s="232" customFormat="1" ht="12.75" customHeight="1">
      <c r="A20" s="616" t="s">
        <v>309</v>
      </c>
      <c r="B20" s="617"/>
      <c r="C20" s="618"/>
      <c r="D20" s="619"/>
      <c r="E20" s="620"/>
      <c r="F20" s="621"/>
      <c r="G20" s="621"/>
      <c r="H20" s="622">
        <f>SUM(I20:K20)</f>
        <v>0</v>
      </c>
      <c r="I20" s="619"/>
      <c r="J20" s="620"/>
      <c r="K20" s="620"/>
      <c r="L20" s="622">
        <f>SUM(M20:Z20)</f>
        <v>3166.7858692089685</v>
      </c>
      <c r="M20" s="620"/>
      <c r="N20" s="620"/>
      <c r="O20" s="620">
        <v>90.017983923640699</v>
      </c>
      <c r="P20" s="620">
        <v>640.53679657777786</v>
      </c>
      <c r="Q20" s="620">
        <v>226.77459106847999</v>
      </c>
      <c r="R20" s="620">
        <v>0</v>
      </c>
      <c r="S20" s="620">
        <v>960.95017928079096</v>
      </c>
      <c r="T20" s="620">
        <v>64.797462901984332</v>
      </c>
      <c r="U20" s="620">
        <v>1146.9502117491124</v>
      </c>
      <c r="V20" s="620"/>
      <c r="W20" s="621">
        <v>36.758643707182323</v>
      </c>
      <c r="X20" s="621"/>
      <c r="Y20" s="621"/>
      <c r="Z20" s="620"/>
      <c r="AA20" s="622"/>
      <c r="AB20" s="623">
        <f>SUM(AC20:AL20)</f>
        <v>0</v>
      </c>
      <c r="AC20" s="624"/>
      <c r="AD20" s="620"/>
      <c r="AE20" s="620"/>
      <c r="AF20" s="620"/>
      <c r="AG20" s="620"/>
      <c r="AH20" s="620"/>
      <c r="AI20" s="620"/>
      <c r="AJ20" s="620"/>
      <c r="AK20" s="619"/>
      <c r="AL20" s="619"/>
      <c r="AM20" s="621"/>
      <c r="AN20" s="625"/>
      <c r="AO20" s="625"/>
      <c r="AP20" s="623"/>
      <c r="AQ20" s="626">
        <f t="shared" si="0"/>
        <v>3166.7858692089685</v>
      </c>
      <c r="AR20" s="230"/>
      <c r="AS20" s="248"/>
    </row>
    <row r="21" spans="1:45" s="232" customFormat="1" ht="12.75" customHeight="1">
      <c r="A21" s="640" t="s">
        <v>310</v>
      </c>
      <c r="B21" s="641"/>
      <c r="C21" s="642">
        <f>SUM(C22:C24)</f>
        <v>22.240061570656763</v>
      </c>
      <c r="D21" s="643">
        <f>SUM(D22:D24)</f>
        <v>-17.141361188350004</v>
      </c>
      <c r="E21" s="644">
        <f>SUM(E22:E24)</f>
        <v>39.381422759006767</v>
      </c>
      <c r="F21" s="645">
        <f>SUM(F22:F24)</f>
        <v>0</v>
      </c>
      <c r="G21" s="645">
        <f>SUM(G22:G24)</f>
        <v>0</v>
      </c>
      <c r="H21" s="646">
        <f>SUM(I21:K21)</f>
        <v>0</v>
      </c>
      <c r="I21" s="643">
        <f>SUM(I22:I24)</f>
        <v>0</v>
      </c>
      <c r="J21" s="644">
        <f>SUM(J22:J24)</f>
        <v>0</v>
      </c>
      <c r="K21" s="644">
        <f>SUM(K22:K24)</f>
        <v>0</v>
      </c>
      <c r="L21" s="646">
        <f>SUM(M21:Z21)</f>
        <v>-24.953759699422424</v>
      </c>
      <c r="M21" s="644">
        <f t="shared" ref="M21:AQ21" si="9">SUM(M22:M24)</f>
        <v>0</v>
      </c>
      <c r="N21" s="644">
        <f t="shared" si="9"/>
        <v>30.880435114089789</v>
      </c>
      <c r="O21" s="644">
        <f t="shared" si="9"/>
        <v>0</v>
      </c>
      <c r="P21" s="644">
        <f t="shared" si="9"/>
        <v>-31.080771455555681</v>
      </c>
      <c r="Q21" s="644">
        <f t="shared" si="9"/>
        <v>374.46366644960005</v>
      </c>
      <c r="R21" s="644">
        <f t="shared" si="9"/>
        <v>-373.64776418279996</v>
      </c>
      <c r="S21" s="644">
        <f t="shared" si="9"/>
        <v>0</v>
      </c>
      <c r="T21" s="644">
        <f t="shared" si="9"/>
        <v>0</v>
      </c>
      <c r="U21" s="644">
        <f t="shared" si="9"/>
        <v>-3.3292640540998377</v>
      </c>
      <c r="V21" s="644">
        <f t="shared" si="9"/>
        <v>-22.240061570656767</v>
      </c>
      <c r="W21" s="645">
        <f t="shared" si="9"/>
        <v>0</v>
      </c>
      <c r="X21" s="645">
        <f t="shared" si="9"/>
        <v>0</v>
      </c>
      <c r="Y21" s="645">
        <f t="shared" si="9"/>
        <v>0</v>
      </c>
      <c r="Z21" s="644">
        <f t="shared" si="9"/>
        <v>0</v>
      </c>
      <c r="AA21" s="646">
        <f t="shared" si="9"/>
        <v>0</v>
      </c>
      <c r="AB21" s="647">
        <f t="shared" si="9"/>
        <v>-804.14402736760053</v>
      </c>
      <c r="AC21" s="648">
        <f t="shared" si="9"/>
        <v>-59.691708987970003</v>
      </c>
      <c r="AD21" s="644">
        <f t="shared" si="9"/>
        <v>-743.01992281532614</v>
      </c>
      <c r="AE21" s="644">
        <f t="shared" si="9"/>
        <v>0</v>
      </c>
      <c r="AF21" s="644">
        <f t="shared" si="9"/>
        <v>0</v>
      </c>
      <c r="AG21" s="649">
        <f t="shared" si="9"/>
        <v>0</v>
      </c>
      <c r="AH21" s="649">
        <f t="shared" si="9"/>
        <v>0</v>
      </c>
      <c r="AI21" s="649">
        <f t="shared" si="9"/>
        <v>0</v>
      </c>
      <c r="AJ21" s="649">
        <f t="shared" si="9"/>
        <v>0</v>
      </c>
      <c r="AK21" s="643">
        <f t="shared" si="9"/>
        <v>-1.4323955643044282</v>
      </c>
      <c r="AL21" s="649">
        <f t="shared" si="9"/>
        <v>0</v>
      </c>
      <c r="AM21" s="645">
        <f t="shared" si="9"/>
        <v>0</v>
      </c>
      <c r="AN21" s="650">
        <f t="shared" si="9"/>
        <v>0</v>
      </c>
      <c r="AO21" s="646">
        <f t="shared" si="9"/>
        <v>804.14402736760053</v>
      </c>
      <c r="AP21" s="647">
        <f t="shared" si="9"/>
        <v>0</v>
      </c>
      <c r="AQ21" s="651">
        <f t="shared" si="9"/>
        <v>-2.7136981287656603</v>
      </c>
      <c r="AR21" s="230"/>
      <c r="AS21" s="248"/>
    </row>
    <row r="22" spans="1:45" s="232" customFormat="1" ht="12.75" customHeight="1">
      <c r="A22" s="604" t="s">
        <v>1</v>
      </c>
      <c r="B22" s="605"/>
      <c r="C22" s="652"/>
      <c r="D22" s="653"/>
      <c r="E22" s="654"/>
      <c r="F22" s="609"/>
      <c r="G22" s="609"/>
      <c r="H22" s="610"/>
      <c r="I22" s="655"/>
      <c r="J22" s="608"/>
      <c r="K22" s="608"/>
      <c r="L22" s="610"/>
      <c r="M22" s="608"/>
      <c r="N22" s="608"/>
      <c r="O22" s="608"/>
      <c r="P22" s="608"/>
      <c r="Q22" s="608"/>
      <c r="R22" s="608"/>
      <c r="S22" s="608"/>
      <c r="T22" s="608"/>
      <c r="U22" s="608"/>
      <c r="V22" s="608"/>
      <c r="W22" s="609"/>
      <c r="X22" s="609"/>
      <c r="Y22" s="609"/>
      <c r="Z22" s="608"/>
      <c r="AA22" s="610"/>
      <c r="AB22" s="611">
        <f>SUM(AC22:AM22)</f>
        <v>-804.14402736760053</v>
      </c>
      <c r="AC22" s="612">
        <f>-AC2</f>
        <v>-59.691708987970003</v>
      </c>
      <c r="AD22" s="608">
        <f>-AD2</f>
        <v>-743.01992281532614</v>
      </c>
      <c r="AE22" s="608"/>
      <c r="AF22" s="608"/>
      <c r="AG22" s="615"/>
      <c r="AH22" s="615"/>
      <c r="AI22" s="615"/>
      <c r="AJ22" s="615"/>
      <c r="AK22" s="607">
        <v>-1.4323955643044282</v>
      </c>
      <c r="AL22" s="615"/>
      <c r="AM22" s="609"/>
      <c r="AN22" s="613"/>
      <c r="AO22" s="610">
        <f>-(C22+H22+L22+AA22+AB22)</f>
        <v>804.14402736760053</v>
      </c>
      <c r="AP22" s="611"/>
      <c r="AQ22" s="638">
        <f>C22+H22+L22+AA22+AB22+AN22+AO22+AP22</f>
        <v>0</v>
      </c>
      <c r="AR22" s="230"/>
      <c r="AS22" s="248"/>
    </row>
    <row r="23" spans="1:45" s="232" customFormat="1" ht="12.75" customHeight="1">
      <c r="A23" s="656" t="s">
        <v>311</v>
      </c>
      <c r="B23" s="628"/>
      <c r="C23" s="657"/>
      <c r="D23" s="658"/>
      <c r="E23" s="631"/>
      <c r="F23" s="659"/>
      <c r="G23" s="659"/>
      <c r="H23" s="633"/>
      <c r="I23" s="660"/>
      <c r="J23" s="661"/>
      <c r="K23" s="661"/>
      <c r="L23" s="633"/>
      <c r="M23" s="661"/>
      <c r="N23" s="661"/>
      <c r="O23" s="661"/>
      <c r="P23" s="661"/>
      <c r="Q23" s="661"/>
      <c r="R23" s="661"/>
      <c r="S23" s="661"/>
      <c r="T23" s="661"/>
      <c r="U23" s="661"/>
      <c r="V23" s="661"/>
      <c r="W23" s="659"/>
      <c r="X23" s="659"/>
      <c r="Y23" s="659"/>
      <c r="Z23" s="661"/>
      <c r="AA23" s="633"/>
      <c r="AB23" s="634"/>
      <c r="AC23" s="662"/>
      <c r="AD23" s="661"/>
      <c r="AE23" s="661"/>
      <c r="AF23" s="661"/>
      <c r="AG23" s="661"/>
      <c r="AH23" s="661"/>
      <c r="AI23" s="661"/>
      <c r="AJ23" s="661"/>
      <c r="AK23" s="663"/>
      <c r="AL23" s="663"/>
      <c r="AM23" s="659"/>
      <c r="AN23" s="664"/>
      <c r="AO23" s="633"/>
      <c r="AP23" s="634"/>
      <c r="AQ23" s="665">
        <f>C23+H23+L23+AA23+AB23+AN23+AO23+AP23</f>
        <v>0</v>
      </c>
      <c r="AR23" s="230"/>
      <c r="AS23" s="248"/>
    </row>
    <row r="24" spans="1:45" s="232" customFormat="1" ht="12.75" customHeight="1" thickBot="1">
      <c r="A24" s="571" t="s">
        <v>312</v>
      </c>
      <c r="B24" s="572"/>
      <c r="C24" s="666">
        <f>SUM(D24:G24)</f>
        <v>22.240061570656763</v>
      </c>
      <c r="D24" s="667">
        <v>-17.141361188350004</v>
      </c>
      <c r="E24" s="579">
        <f>-D24-V24</f>
        <v>39.381422759006767</v>
      </c>
      <c r="F24" s="574"/>
      <c r="G24" s="574"/>
      <c r="H24" s="575"/>
      <c r="I24" s="668"/>
      <c r="J24" s="579"/>
      <c r="K24" s="579"/>
      <c r="L24" s="575">
        <f>SUM(N24:Z24)</f>
        <v>-24.953759699422424</v>
      </c>
      <c r="M24" s="579"/>
      <c r="N24" s="579">
        <v>30.880435114089789</v>
      </c>
      <c r="O24" s="579"/>
      <c r="P24" s="579">
        <v>-31.080771455555681</v>
      </c>
      <c r="Q24" s="579">
        <v>374.46366644960005</v>
      </c>
      <c r="R24" s="579">
        <v>-373.64776418279996</v>
      </c>
      <c r="S24" s="579">
        <v>0</v>
      </c>
      <c r="T24" s="579"/>
      <c r="U24" s="579">
        <v>-3.3292640540998377</v>
      </c>
      <c r="V24" s="574">
        <v>-22.240061570656767</v>
      </c>
      <c r="W24" s="574">
        <v>0</v>
      </c>
      <c r="X24" s="574"/>
      <c r="Y24" s="574"/>
      <c r="Z24" s="579"/>
      <c r="AA24" s="575"/>
      <c r="AB24" s="575">
        <f>SUM(AC24:AM24)</f>
        <v>0</v>
      </c>
      <c r="AC24" s="578"/>
      <c r="AD24" s="579"/>
      <c r="AE24" s="579"/>
      <c r="AF24" s="579"/>
      <c r="AG24" s="579"/>
      <c r="AH24" s="579"/>
      <c r="AI24" s="579"/>
      <c r="AJ24" s="579"/>
      <c r="AK24" s="576"/>
      <c r="AL24" s="576"/>
      <c r="AM24" s="574"/>
      <c r="AN24" s="580"/>
      <c r="AO24" s="575"/>
      <c r="AP24" s="577"/>
      <c r="AQ24" s="581">
        <f>C24+H24+L24+AA24+AB24+AN24+AO24+AP24</f>
        <v>-2.7136981287656603</v>
      </c>
      <c r="AR24" s="230"/>
      <c r="AS24" s="248"/>
    </row>
    <row r="25" spans="1:45" s="232" customFormat="1" ht="12.75" customHeight="1" thickBot="1">
      <c r="A25" s="627" t="s">
        <v>313</v>
      </c>
      <c r="B25" s="628"/>
      <c r="C25" s="629">
        <f>SUM(D25:G25)</f>
        <v>0</v>
      </c>
      <c r="D25" s="630"/>
      <c r="E25" s="631"/>
      <c r="F25" s="659"/>
      <c r="G25" s="659"/>
      <c r="H25" s="633">
        <f>SUM(I25:K25)</f>
        <v>10.28324833984202</v>
      </c>
      <c r="I25" s="659">
        <v>10.28324833984202</v>
      </c>
      <c r="J25" s="661"/>
      <c r="K25" s="661"/>
      <c r="L25" s="633">
        <f>SUM(O25:Z25)</f>
        <v>98.284657617035819</v>
      </c>
      <c r="M25" s="661"/>
      <c r="N25" s="661"/>
      <c r="O25" s="661">
        <v>95.274692021714102</v>
      </c>
      <c r="P25" s="661"/>
      <c r="Q25" s="661"/>
      <c r="R25" s="661"/>
      <c r="S25" s="661">
        <v>0</v>
      </c>
      <c r="T25" s="661">
        <v>4.1693256233877908E-3</v>
      </c>
      <c r="U25" s="661">
        <v>3.0057962696983291</v>
      </c>
      <c r="V25" s="661"/>
      <c r="W25" s="659"/>
      <c r="X25" s="659"/>
      <c r="Y25" s="659"/>
      <c r="Z25" s="661"/>
      <c r="AA25" s="633">
        <v>57.528599543766255</v>
      </c>
      <c r="AB25" s="634">
        <f>SUM(AC25:AI25)</f>
        <v>0</v>
      </c>
      <c r="AC25" s="635"/>
      <c r="AD25" s="661"/>
      <c r="AE25" s="661"/>
      <c r="AF25" s="661"/>
      <c r="AG25" s="661"/>
      <c r="AH25" s="661"/>
      <c r="AI25" s="661"/>
      <c r="AJ25" s="661"/>
      <c r="AK25" s="663"/>
      <c r="AL25" s="663"/>
      <c r="AM25" s="659"/>
      <c r="AN25" s="664"/>
      <c r="AO25" s="633">
        <v>259.46681438260055</v>
      </c>
      <c r="AP25" s="634"/>
      <c r="AQ25" s="665">
        <f>C25+H25+L25+AA25+AB25+AN25+AO25+AP25</f>
        <v>425.56331988324462</v>
      </c>
      <c r="AR25" s="230"/>
      <c r="AS25" s="248"/>
    </row>
    <row r="26" spans="1:45" s="231" customFormat="1" ht="12.75" customHeight="1" thickBot="1">
      <c r="A26" s="669" t="s">
        <v>314</v>
      </c>
      <c r="B26" s="670"/>
      <c r="C26" s="671">
        <f t="shared" ref="C26:AP26" si="10">C7-C9+C15+C21-C25</f>
        <v>348.69297193905459</v>
      </c>
      <c r="D26" s="672">
        <f t="shared" si="10"/>
        <v>190.34389623369066</v>
      </c>
      <c r="E26" s="673">
        <f t="shared" si="10"/>
        <v>149.86072528467759</v>
      </c>
      <c r="F26" s="673">
        <f t="shared" si="10"/>
        <v>0</v>
      </c>
      <c r="G26" s="673">
        <f t="shared" si="10"/>
        <v>8.4883504206865013</v>
      </c>
      <c r="H26" s="674">
        <f t="shared" si="10"/>
        <v>199.31419506885081</v>
      </c>
      <c r="I26" s="672">
        <f t="shared" si="10"/>
        <v>0.37225106885087023</v>
      </c>
      <c r="J26" s="673">
        <f t="shared" si="10"/>
        <v>127.70399999999999</v>
      </c>
      <c r="K26" s="673">
        <f t="shared" si="10"/>
        <v>71.237943999999999</v>
      </c>
      <c r="L26" s="674">
        <f t="shared" si="10"/>
        <v>7296.7282199976062</v>
      </c>
      <c r="M26" s="673">
        <f t="shared" si="10"/>
        <v>0</v>
      </c>
      <c r="N26" s="673">
        <f t="shared" si="10"/>
        <v>-0.14794174855289199</v>
      </c>
      <c r="O26" s="673">
        <f t="shared" si="10"/>
        <v>-5.2567080980734033</v>
      </c>
      <c r="P26" s="673">
        <f t="shared" si="10"/>
        <v>799.46408249999979</v>
      </c>
      <c r="Q26" s="673">
        <f t="shared" si="10"/>
        <v>962.00436969728003</v>
      </c>
      <c r="R26" s="673">
        <f t="shared" si="10"/>
        <v>1095.3569190907197</v>
      </c>
      <c r="S26" s="673">
        <f t="shared" si="10"/>
        <v>39.21120498695575</v>
      </c>
      <c r="T26" s="673">
        <f t="shared" si="10"/>
        <v>187.88084937540125</v>
      </c>
      <c r="U26" s="673">
        <f t="shared" si="10"/>
        <v>3833.6812396704358</v>
      </c>
      <c r="V26" s="673">
        <f t="shared" si="10"/>
        <v>145.44440711224036</v>
      </c>
      <c r="W26" s="673">
        <f t="shared" si="10"/>
        <v>7.506512734116022</v>
      </c>
      <c r="X26" s="673">
        <f t="shared" si="10"/>
        <v>195.36275312176252</v>
      </c>
      <c r="Y26" s="673">
        <f t="shared" si="10"/>
        <v>1.2096467108549098</v>
      </c>
      <c r="Z26" s="673">
        <f t="shared" si="10"/>
        <v>35.010884844467988</v>
      </c>
      <c r="AA26" s="674">
        <f t="shared" si="10"/>
        <v>1921.4292269183238</v>
      </c>
      <c r="AB26" s="675">
        <f t="shared" si="10"/>
        <v>456.44000480998989</v>
      </c>
      <c r="AC26" s="602">
        <f t="shared" si="10"/>
        <v>0</v>
      </c>
      <c r="AD26" s="586">
        <f t="shared" si="10"/>
        <v>0</v>
      </c>
      <c r="AE26" s="586">
        <f t="shared" si="10"/>
        <v>196.67659478004623</v>
      </c>
      <c r="AF26" s="586">
        <f t="shared" si="10"/>
        <v>40.692904224132207</v>
      </c>
      <c r="AG26" s="586">
        <f t="shared" si="10"/>
        <v>0</v>
      </c>
      <c r="AH26" s="586">
        <f t="shared" si="10"/>
        <v>9.7770611234061491</v>
      </c>
      <c r="AI26" s="586">
        <f t="shared" si="10"/>
        <v>124.01266332172798</v>
      </c>
      <c r="AJ26" s="586">
        <f t="shared" si="10"/>
        <v>27.929372998367999</v>
      </c>
      <c r="AK26" s="588">
        <f t="shared" si="10"/>
        <v>0</v>
      </c>
      <c r="AL26" s="588">
        <f t="shared" si="10"/>
        <v>13.54608560366562</v>
      </c>
      <c r="AM26" s="676">
        <f t="shared" si="10"/>
        <v>43.805322758643676</v>
      </c>
      <c r="AN26" s="674">
        <f t="shared" si="10"/>
        <v>54.722939604974087</v>
      </c>
      <c r="AO26" s="674">
        <f t="shared" si="10"/>
        <v>2361.2693974490917</v>
      </c>
      <c r="AP26" s="675">
        <f t="shared" si="10"/>
        <v>0</v>
      </c>
      <c r="AQ26" s="677">
        <f>C26+H26+L26+AA26+AB26+AN26+AO26+AP26</f>
        <v>12638.596955787891</v>
      </c>
      <c r="AR26" s="230"/>
      <c r="AS26" s="236"/>
    </row>
    <row r="27" spans="1:45" s="231" customFormat="1" ht="12.75" customHeight="1">
      <c r="A27" s="582" t="s">
        <v>315</v>
      </c>
      <c r="B27" s="583"/>
      <c r="C27" s="584">
        <f t="shared" ref="C27:V27" si="11">C28</f>
        <v>0</v>
      </c>
      <c r="D27" s="588">
        <f t="shared" si="11"/>
        <v>0</v>
      </c>
      <c r="E27" s="586">
        <f t="shared" si="11"/>
        <v>0</v>
      </c>
      <c r="F27" s="601">
        <f t="shared" si="11"/>
        <v>0</v>
      </c>
      <c r="G27" s="601">
        <f t="shared" si="11"/>
        <v>0</v>
      </c>
      <c r="H27" s="587">
        <f t="shared" si="11"/>
        <v>0</v>
      </c>
      <c r="I27" s="588">
        <f t="shared" si="11"/>
        <v>0</v>
      </c>
      <c r="J27" s="586">
        <f t="shared" si="11"/>
        <v>0</v>
      </c>
      <c r="K27" s="586">
        <f t="shared" si="11"/>
        <v>0</v>
      </c>
      <c r="L27" s="587">
        <f t="shared" si="11"/>
        <v>231.58328467708543</v>
      </c>
      <c r="M27" s="586">
        <f t="shared" si="11"/>
        <v>0</v>
      </c>
      <c r="N27" s="586">
        <f t="shared" si="11"/>
        <v>0</v>
      </c>
      <c r="O27" s="586">
        <f t="shared" si="11"/>
        <v>0</v>
      </c>
      <c r="P27" s="586">
        <f t="shared" si="11"/>
        <v>0</v>
      </c>
      <c r="Q27" s="586">
        <f t="shared" si="11"/>
        <v>0</v>
      </c>
      <c r="R27" s="586">
        <f t="shared" si="11"/>
        <v>0</v>
      </c>
      <c r="S27" s="586">
        <f t="shared" si="11"/>
        <v>0</v>
      </c>
      <c r="T27" s="586">
        <f t="shared" si="11"/>
        <v>0</v>
      </c>
      <c r="U27" s="586">
        <f t="shared" si="11"/>
        <v>0</v>
      </c>
      <c r="V27" s="586">
        <f t="shared" si="11"/>
        <v>0</v>
      </c>
      <c r="W27" s="601"/>
      <c r="X27" s="601">
        <f t="shared" ref="X27:AQ27" si="12">X28</f>
        <v>195.36275312176252</v>
      </c>
      <c r="Y27" s="601">
        <f t="shared" si="12"/>
        <v>1.2096467108549098</v>
      </c>
      <c r="Z27" s="586">
        <f t="shared" si="12"/>
        <v>35.010884844467988</v>
      </c>
      <c r="AA27" s="587">
        <f t="shared" si="12"/>
        <v>0</v>
      </c>
      <c r="AB27" s="585">
        <f t="shared" si="12"/>
        <v>0</v>
      </c>
      <c r="AC27" s="602">
        <f t="shared" si="12"/>
        <v>0</v>
      </c>
      <c r="AD27" s="586">
        <f t="shared" si="12"/>
        <v>0</v>
      </c>
      <c r="AE27" s="586">
        <f t="shared" si="12"/>
        <v>0</v>
      </c>
      <c r="AF27" s="586">
        <f t="shared" si="12"/>
        <v>0</v>
      </c>
      <c r="AG27" s="586">
        <f t="shared" si="12"/>
        <v>0</v>
      </c>
      <c r="AH27" s="586">
        <f t="shared" si="12"/>
        <v>0</v>
      </c>
      <c r="AI27" s="586">
        <f t="shared" si="12"/>
        <v>0</v>
      </c>
      <c r="AJ27" s="586">
        <f t="shared" si="12"/>
        <v>0</v>
      </c>
      <c r="AK27" s="588">
        <f t="shared" si="12"/>
        <v>0</v>
      </c>
      <c r="AL27" s="588">
        <f t="shared" si="12"/>
        <v>0</v>
      </c>
      <c r="AM27" s="601">
        <f t="shared" si="12"/>
        <v>0</v>
      </c>
      <c r="AN27" s="587">
        <f t="shared" si="12"/>
        <v>0</v>
      </c>
      <c r="AO27" s="587">
        <f t="shared" si="12"/>
        <v>0</v>
      </c>
      <c r="AP27" s="585">
        <f t="shared" si="12"/>
        <v>0</v>
      </c>
      <c r="AQ27" s="590">
        <f t="shared" si="12"/>
        <v>231.58328467708543</v>
      </c>
      <c r="AR27" s="230"/>
      <c r="AS27" s="236"/>
    </row>
    <row r="28" spans="1:45" s="230" customFormat="1" ht="12.75" customHeight="1" thickBot="1">
      <c r="A28" s="678" t="s">
        <v>316</v>
      </c>
      <c r="B28" s="679"/>
      <c r="C28" s="680">
        <f>SUM(D28:G28)</f>
        <v>0</v>
      </c>
      <c r="D28" s="643"/>
      <c r="E28" s="644"/>
      <c r="F28" s="645"/>
      <c r="G28" s="645"/>
      <c r="H28" s="650">
        <f>SUM(I28:K28)</f>
        <v>0</v>
      </c>
      <c r="I28" s="643"/>
      <c r="J28" s="644"/>
      <c r="K28" s="644"/>
      <c r="L28" s="650">
        <f>SUM(M28:Z28)</f>
        <v>231.58328467708543</v>
      </c>
      <c r="M28" s="644"/>
      <c r="N28" s="644"/>
      <c r="O28" s="644"/>
      <c r="P28" s="644"/>
      <c r="Q28" s="644"/>
      <c r="R28" s="644"/>
      <c r="S28" s="644"/>
      <c r="T28" s="644"/>
      <c r="U28" s="644"/>
      <c r="V28" s="644"/>
      <c r="W28" s="645"/>
      <c r="X28" s="645">
        <f>X26</f>
        <v>195.36275312176252</v>
      </c>
      <c r="Y28" s="645">
        <f>Y26</f>
        <v>1.2096467108549098</v>
      </c>
      <c r="Z28" s="644">
        <f>Z26</f>
        <v>35.010884844467988</v>
      </c>
      <c r="AA28" s="650">
        <v>0</v>
      </c>
      <c r="AB28" s="681">
        <f>SUM(AC28:AI28)</f>
        <v>0</v>
      </c>
      <c r="AC28" s="648"/>
      <c r="AD28" s="644"/>
      <c r="AE28" s="644"/>
      <c r="AF28" s="644"/>
      <c r="AG28" s="644"/>
      <c r="AH28" s="644"/>
      <c r="AI28" s="644"/>
      <c r="AJ28" s="644"/>
      <c r="AK28" s="643"/>
      <c r="AL28" s="643"/>
      <c r="AM28" s="645"/>
      <c r="AN28" s="650"/>
      <c r="AO28" s="650"/>
      <c r="AP28" s="681"/>
      <c r="AQ28" s="651">
        <f t="shared" ref="AQ28:AQ72" si="13">C28+H28+L28+AA28+AB28+AN28+AO28+AP28</f>
        <v>231.58328467708543</v>
      </c>
      <c r="AS28" s="235"/>
    </row>
    <row r="29" spans="1:45" s="231" customFormat="1" ht="12.75" customHeight="1" thickBot="1">
      <c r="A29" s="582" t="s">
        <v>317</v>
      </c>
      <c r="B29" s="583"/>
      <c r="C29" s="584">
        <f t="shared" ref="C29:AQ29" si="14">C30+C45+C56+C58+C65+C70+C71</f>
        <v>351.41289633822032</v>
      </c>
      <c r="D29" s="588">
        <f t="shared" si="14"/>
        <v>190.16205136582681</v>
      </c>
      <c r="E29" s="586">
        <f t="shared" si="14"/>
        <v>153.30941368399715</v>
      </c>
      <c r="F29" s="601">
        <f t="shared" si="14"/>
        <v>0</v>
      </c>
      <c r="G29" s="601">
        <f t="shared" si="14"/>
        <v>7.795884678396293</v>
      </c>
      <c r="H29" s="587">
        <f t="shared" si="14"/>
        <v>197.36847005356</v>
      </c>
      <c r="I29" s="588">
        <f t="shared" si="14"/>
        <v>0.82966372355999995</v>
      </c>
      <c r="J29" s="588">
        <f t="shared" si="14"/>
        <v>127.70399999999999</v>
      </c>
      <c r="K29" s="588">
        <f t="shared" si="14"/>
        <v>68.834806329999992</v>
      </c>
      <c r="L29" s="587">
        <f t="shared" si="14"/>
        <v>7065.3194555859664</v>
      </c>
      <c r="M29" s="586">
        <f t="shared" si="14"/>
        <v>0</v>
      </c>
      <c r="N29" s="586">
        <f t="shared" si="14"/>
        <v>0</v>
      </c>
      <c r="O29" s="586">
        <f t="shared" si="14"/>
        <v>0</v>
      </c>
      <c r="P29" s="586">
        <f t="shared" si="14"/>
        <v>821.48002832197096</v>
      </c>
      <c r="Q29" s="586">
        <f t="shared" si="14"/>
        <v>946.63395628255989</v>
      </c>
      <c r="R29" s="586">
        <f t="shared" si="14"/>
        <v>1102.0673096951998</v>
      </c>
      <c r="S29" s="586">
        <f t="shared" si="14"/>
        <v>31.039400915077643</v>
      </c>
      <c r="T29" s="586">
        <f t="shared" si="14"/>
        <v>181.32381570558749</v>
      </c>
      <c r="U29" s="586">
        <f t="shared" si="14"/>
        <v>3838.1558666328419</v>
      </c>
      <c r="V29" s="586">
        <f t="shared" si="14"/>
        <v>144.61907803272823</v>
      </c>
      <c r="W29" s="601">
        <f t="shared" si="14"/>
        <v>0</v>
      </c>
      <c r="X29" s="601">
        <f t="shared" si="14"/>
        <v>0</v>
      </c>
      <c r="Y29" s="601">
        <f t="shared" si="14"/>
        <v>0</v>
      </c>
      <c r="Z29" s="588">
        <f t="shared" si="14"/>
        <v>0</v>
      </c>
      <c r="AA29" s="674">
        <f t="shared" si="14"/>
        <v>1961.7039372255224</v>
      </c>
      <c r="AB29" s="585">
        <f t="shared" si="14"/>
        <v>464.57031831216926</v>
      </c>
      <c r="AC29" s="602">
        <f t="shared" si="14"/>
        <v>0</v>
      </c>
      <c r="AD29" s="586">
        <f t="shared" si="14"/>
        <v>0</v>
      </c>
      <c r="AE29" s="586">
        <f t="shared" si="14"/>
        <v>202.50934255862566</v>
      </c>
      <c r="AF29" s="586">
        <f t="shared" si="14"/>
        <v>40.692904224132199</v>
      </c>
      <c r="AG29" s="586">
        <f t="shared" si="14"/>
        <v>0</v>
      </c>
      <c r="AH29" s="586">
        <f t="shared" si="14"/>
        <v>9.7770611234061491</v>
      </c>
      <c r="AI29" s="586">
        <f t="shared" si="14"/>
        <v>126.968349188928</v>
      </c>
      <c r="AJ29" s="586">
        <f t="shared" si="14"/>
        <v>27.271252854767997</v>
      </c>
      <c r="AK29" s="585">
        <f t="shared" si="14"/>
        <v>0</v>
      </c>
      <c r="AL29" s="585">
        <f t="shared" si="14"/>
        <v>13.546085603665619</v>
      </c>
      <c r="AM29" s="585">
        <f t="shared" si="14"/>
        <v>43.805322758643683</v>
      </c>
      <c r="AN29" s="585">
        <f t="shared" si="14"/>
        <v>54.722939604974094</v>
      </c>
      <c r="AO29" s="587">
        <f t="shared" si="14"/>
        <v>2397.4208343089181</v>
      </c>
      <c r="AP29" s="585">
        <f t="shared" si="14"/>
        <v>0</v>
      </c>
      <c r="AQ29" s="677">
        <f t="shared" si="14"/>
        <v>12492.518851429331</v>
      </c>
      <c r="AR29" s="230"/>
      <c r="AS29" s="236"/>
    </row>
    <row r="30" spans="1:45" s="233" customFormat="1" ht="12.75" customHeight="1">
      <c r="A30" s="682" t="s">
        <v>318</v>
      </c>
      <c r="B30" s="683"/>
      <c r="C30" s="684">
        <f>SUM(C31:C44)</f>
        <v>105.57009591000003</v>
      </c>
      <c r="D30" s="685">
        <v>105.4245493</v>
      </c>
      <c r="E30" s="685">
        <v>0</v>
      </c>
      <c r="F30" s="686"/>
      <c r="G30" s="686"/>
      <c r="H30" s="687">
        <f>SUM(H31:H44)</f>
        <v>0.82966372355999995</v>
      </c>
      <c r="I30" s="688">
        <f t="shared" ref="I30:K30" si="15">SUM(I31:I44)</f>
        <v>0.82966372355999995</v>
      </c>
      <c r="J30" s="685">
        <f t="shared" si="15"/>
        <v>0</v>
      </c>
      <c r="K30" s="685">
        <f t="shared" si="15"/>
        <v>0</v>
      </c>
      <c r="L30" s="687">
        <f>SUM(L31:L44)</f>
        <v>374.2907898235643</v>
      </c>
      <c r="M30" s="685">
        <f>SUM(M31:M44)</f>
        <v>0</v>
      </c>
      <c r="N30" s="685">
        <f>SUM(N31:N44)</f>
        <v>0</v>
      </c>
      <c r="O30" s="685">
        <f>SUM(O31:O44)</f>
        <v>0</v>
      </c>
      <c r="P30" s="685">
        <f>SUM(P31:P44)</f>
        <v>0</v>
      </c>
      <c r="Q30" s="685">
        <v>9.5497368091127406</v>
      </c>
      <c r="R30" s="685">
        <f>SUM(R31:R44)</f>
        <v>0</v>
      </c>
      <c r="S30" s="685">
        <v>30.396553446461994</v>
      </c>
      <c r="T30" s="685">
        <v>55.909311724159259</v>
      </c>
      <c r="U30" s="685">
        <v>137.32678867057862</v>
      </c>
      <c r="V30" s="685">
        <v>141.10839917325163</v>
      </c>
      <c r="W30" s="685">
        <f>SUM(W31:W44)</f>
        <v>0</v>
      </c>
      <c r="X30" s="685">
        <f>SUM(X31:X44)</f>
        <v>0</v>
      </c>
      <c r="Y30" s="685">
        <f>SUM(Y31:Y44)</f>
        <v>0</v>
      </c>
      <c r="Z30" s="685">
        <f>SUM(Z31:Z44)</f>
        <v>0</v>
      </c>
      <c r="AA30" s="687">
        <v>937.35749564856553</v>
      </c>
      <c r="AB30" s="689">
        <f t="shared" ref="AB30:AN30" si="16">SUM(AB31:AB44)</f>
        <v>196.85576511692614</v>
      </c>
      <c r="AC30" s="690">
        <f t="shared" si="16"/>
        <v>0</v>
      </c>
      <c r="AD30" s="685">
        <f t="shared" si="16"/>
        <v>0</v>
      </c>
      <c r="AE30" s="685">
        <f t="shared" si="16"/>
        <v>153.9273551380638</v>
      </c>
      <c r="AF30" s="685">
        <f t="shared" si="16"/>
        <v>40.692904224132199</v>
      </c>
      <c r="AG30" s="685">
        <f t="shared" si="16"/>
        <v>0</v>
      </c>
      <c r="AH30" s="685">
        <f t="shared" si="16"/>
        <v>2.2355057547301662</v>
      </c>
      <c r="AI30" s="685">
        <f t="shared" si="16"/>
        <v>0</v>
      </c>
      <c r="AJ30" s="685">
        <f t="shared" si="16"/>
        <v>0</v>
      </c>
      <c r="AK30" s="685">
        <f t="shared" si="16"/>
        <v>0</v>
      </c>
      <c r="AL30" s="685">
        <f t="shared" si="16"/>
        <v>0</v>
      </c>
      <c r="AM30" s="691">
        <f t="shared" si="16"/>
        <v>0</v>
      </c>
      <c r="AN30" s="688">
        <f t="shared" si="16"/>
        <v>54.722939604974094</v>
      </c>
      <c r="AO30" s="687">
        <v>621.72214114590861</v>
      </c>
      <c r="AP30" s="689">
        <f>SUM(AP31:AP44)</f>
        <v>0</v>
      </c>
      <c r="AQ30" s="603">
        <f t="shared" ref="AQ30" si="17">C30+H30+L30+AA30+AB30+AN30+AO30+AP30</f>
        <v>2291.3488909734988</v>
      </c>
      <c r="AR30" s="230"/>
      <c r="AS30" s="249"/>
    </row>
    <row r="31" spans="1:45" ht="12.75" customHeight="1">
      <c r="A31" s="692" t="s">
        <v>319</v>
      </c>
      <c r="B31" s="693" t="s">
        <v>320</v>
      </c>
      <c r="C31" s="694">
        <f t="shared" ref="C31:C43" si="18">SUM(D31:G31)</f>
        <v>0</v>
      </c>
      <c r="D31" s="612">
        <v>0</v>
      </c>
      <c r="E31" s="695"/>
      <c r="F31" s="695"/>
      <c r="G31" s="696"/>
      <c r="H31" s="697">
        <f t="shared" ref="H31:H43" si="19">SUM(I31:K31)</f>
        <v>0</v>
      </c>
      <c r="I31" s="698"/>
      <c r="J31" s="615"/>
      <c r="K31" s="615"/>
      <c r="L31" s="697">
        <f t="shared" ref="L31:L43" si="20">SUM(M31:Z31)</f>
        <v>22.334930091304539</v>
      </c>
      <c r="M31" s="615"/>
      <c r="N31" s="615"/>
      <c r="O31" s="615"/>
      <c r="P31" s="699"/>
      <c r="Q31" s="655">
        <v>0.34591578903338577</v>
      </c>
      <c r="R31" s="695"/>
      <c r="S31" s="655">
        <v>0</v>
      </c>
      <c r="T31" s="655">
        <v>1.3603740574248424</v>
      </c>
      <c r="U31" s="655">
        <v>20.628640244846309</v>
      </c>
      <c r="V31" s="655">
        <v>0</v>
      </c>
      <c r="W31" s="695"/>
      <c r="X31" s="698"/>
      <c r="Y31" s="699"/>
      <c r="Z31" s="615"/>
      <c r="AA31" s="613">
        <v>8.7861347374034651</v>
      </c>
      <c r="AB31" s="700">
        <f t="shared" ref="AB31:AB43" si="21">SUM(AC31:AM31)</f>
        <v>0</v>
      </c>
      <c r="AC31" s="701"/>
      <c r="AD31" s="615"/>
      <c r="AE31" s="615"/>
      <c r="AF31" s="615"/>
      <c r="AG31" s="615"/>
      <c r="AH31" s="615"/>
      <c r="AI31" s="615"/>
      <c r="AJ31" s="615"/>
      <c r="AK31" s="607"/>
      <c r="AL31" s="609"/>
      <c r="AM31" s="615"/>
      <c r="AN31" s="613"/>
      <c r="AO31" s="613">
        <v>18.350912208427118</v>
      </c>
      <c r="AP31" s="700"/>
      <c r="AQ31" s="614">
        <f t="shared" si="13"/>
        <v>49.471977037135119</v>
      </c>
    </row>
    <row r="32" spans="1:45" ht="12.75" customHeight="1">
      <c r="A32" s="702" t="s">
        <v>321</v>
      </c>
      <c r="B32" s="703" t="s">
        <v>322</v>
      </c>
      <c r="C32" s="559">
        <f t="shared" si="18"/>
        <v>18.505815952000003</v>
      </c>
      <c r="D32" s="567">
        <v>18.505815952000003</v>
      </c>
      <c r="E32" s="704"/>
      <c r="F32" s="704"/>
      <c r="G32" s="705"/>
      <c r="H32" s="563">
        <f t="shared" si="19"/>
        <v>0.82966372355999995</v>
      </c>
      <c r="I32" s="564">
        <v>0.82966372355999995</v>
      </c>
      <c r="J32" s="565"/>
      <c r="K32" s="565"/>
      <c r="L32" s="563">
        <f t="shared" si="20"/>
        <v>71.784094369696632</v>
      </c>
      <c r="M32" s="565"/>
      <c r="N32" s="565"/>
      <c r="O32" s="565"/>
      <c r="P32" s="699"/>
      <c r="Q32" s="704">
        <v>2.0660606672266768</v>
      </c>
      <c r="R32" s="704"/>
      <c r="S32" s="704">
        <v>22.968462416696998</v>
      </c>
      <c r="T32" s="704">
        <v>30.662877604409012</v>
      </c>
      <c r="U32" s="704">
        <v>16.086693681363943</v>
      </c>
      <c r="V32" s="704">
        <v>0</v>
      </c>
      <c r="W32" s="704"/>
      <c r="X32" s="564"/>
      <c r="Y32" s="562"/>
      <c r="Z32" s="565"/>
      <c r="AA32" s="568">
        <v>265.46537885977392</v>
      </c>
      <c r="AB32" s="566">
        <f t="shared" si="21"/>
        <v>26.063524749810167</v>
      </c>
      <c r="AC32" s="567"/>
      <c r="AD32" s="565"/>
      <c r="AE32" s="565">
        <v>23.828018995080001</v>
      </c>
      <c r="AF32" s="565"/>
      <c r="AG32" s="615"/>
      <c r="AH32" s="615">
        <v>2.2355057547301662</v>
      </c>
      <c r="AI32" s="615"/>
      <c r="AJ32" s="615"/>
      <c r="AK32" s="564"/>
      <c r="AL32" s="562"/>
      <c r="AM32" s="565"/>
      <c r="AN32" s="568"/>
      <c r="AO32" s="568">
        <v>148.76072128018708</v>
      </c>
      <c r="AP32" s="566"/>
      <c r="AQ32" s="569">
        <f t="shared" si="13"/>
        <v>531.4091989350278</v>
      </c>
    </row>
    <row r="33" spans="1:45" ht="12.75" customHeight="1">
      <c r="A33" s="702" t="s">
        <v>323</v>
      </c>
      <c r="B33" s="706" t="s">
        <v>324</v>
      </c>
      <c r="C33" s="559">
        <f t="shared" si="18"/>
        <v>0</v>
      </c>
      <c r="D33" s="567">
        <v>0</v>
      </c>
      <c r="E33" s="704"/>
      <c r="F33" s="704"/>
      <c r="G33" s="705"/>
      <c r="H33" s="563">
        <f t="shared" si="19"/>
        <v>0</v>
      </c>
      <c r="I33" s="564"/>
      <c r="J33" s="565"/>
      <c r="K33" s="565"/>
      <c r="L33" s="563">
        <f t="shared" si="20"/>
        <v>3.9848369673637745</v>
      </c>
      <c r="M33" s="565"/>
      <c r="N33" s="565"/>
      <c r="O33" s="565"/>
      <c r="P33" s="699"/>
      <c r="Q33" s="704">
        <v>6.1845550160514413E-2</v>
      </c>
      <c r="R33" s="704"/>
      <c r="S33" s="704">
        <v>0</v>
      </c>
      <c r="T33" s="704">
        <v>3.2282811958991577</v>
      </c>
      <c r="U33" s="704">
        <v>0.69471022130410232</v>
      </c>
      <c r="V33" s="704">
        <v>0</v>
      </c>
      <c r="W33" s="704"/>
      <c r="X33" s="564"/>
      <c r="Y33" s="562"/>
      <c r="Z33" s="565"/>
      <c r="AA33" s="568">
        <v>19.827078866680154</v>
      </c>
      <c r="AB33" s="566">
        <f t="shared" si="21"/>
        <v>0</v>
      </c>
      <c r="AC33" s="567"/>
      <c r="AD33" s="565"/>
      <c r="AE33" s="565"/>
      <c r="AF33" s="565"/>
      <c r="AG33" s="615"/>
      <c r="AH33" s="615"/>
      <c r="AI33" s="615"/>
      <c r="AJ33" s="615"/>
      <c r="AK33" s="564"/>
      <c r="AL33" s="562"/>
      <c r="AM33" s="565"/>
      <c r="AN33" s="568"/>
      <c r="AO33" s="568">
        <v>4.8844128009868593</v>
      </c>
      <c r="AP33" s="566"/>
      <c r="AQ33" s="569">
        <f t="shared" si="13"/>
        <v>28.696328635030788</v>
      </c>
    </row>
    <row r="34" spans="1:45" ht="12.75" customHeight="1">
      <c r="A34" s="702" t="s">
        <v>325</v>
      </c>
      <c r="B34" s="706" t="s">
        <v>326</v>
      </c>
      <c r="C34" s="559">
        <f t="shared" si="18"/>
        <v>0</v>
      </c>
      <c r="D34" s="567">
        <v>0</v>
      </c>
      <c r="E34" s="704"/>
      <c r="F34" s="704"/>
      <c r="G34" s="705"/>
      <c r="H34" s="563">
        <f t="shared" si="19"/>
        <v>0</v>
      </c>
      <c r="I34" s="564"/>
      <c r="J34" s="565"/>
      <c r="K34" s="565"/>
      <c r="L34" s="563">
        <f t="shared" si="20"/>
        <v>2.6182891559382289</v>
      </c>
      <c r="M34" s="565"/>
      <c r="N34" s="565"/>
      <c r="O34" s="565"/>
      <c r="P34" s="699"/>
      <c r="Q34" s="704">
        <v>8.9099521417690272E-2</v>
      </c>
      <c r="R34" s="704"/>
      <c r="S34" s="704">
        <v>0</v>
      </c>
      <c r="T34" s="704">
        <v>0.28505282634285456</v>
      </c>
      <c r="U34" s="704">
        <v>2.244136808177684</v>
      </c>
      <c r="V34" s="704">
        <v>0</v>
      </c>
      <c r="W34" s="704"/>
      <c r="X34" s="564"/>
      <c r="Y34" s="562"/>
      <c r="Z34" s="565"/>
      <c r="AA34" s="568">
        <v>3.0214445851101197</v>
      </c>
      <c r="AB34" s="566">
        <f t="shared" si="21"/>
        <v>127.87356205415999</v>
      </c>
      <c r="AC34" s="567"/>
      <c r="AD34" s="565"/>
      <c r="AE34" s="565">
        <v>127.87356205415999</v>
      </c>
      <c r="AF34" s="565"/>
      <c r="AG34" s="615"/>
      <c r="AH34" s="615"/>
      <c r="AI34" s="615"/>
      <c r="AJ34" s="615"/>
      <c r="AK34" s="564"/>
      <c r="AL34" s="562"/>
      <c r="AM34" s="565"/>
      <c r="AN34" s="568"/>
      <c r="AO34" s="568">
        <v>26.251691103783244</v>
      </c>
      <c r="AP34" s="566"/>
      <c r="AQ34" s="569">
        <f t="shared" si="13"/>
        <v>159.76498689899159</v>
      </c>
    </row>
    <row r="35" spans="1:45" ht="12.75" customHeight="1">
      <c r="A35" s="702" t="s">
        <v>327</v>
      </c>
      <c r="B35" s="706" t="s">
        <v>328</v>
      </c>
      <c r="C35" s="559">
        <f t="shared" si="18"/>
        <v>0</v>
      </c>
      <c r="D35" s="567">
        <v>0</v>
      </c>
      <c r="E35" s="704"/>
      <c r="F35" s="704"/>
      <c r="G35" s="705"/>
      <c r="H35" s="563">
        <f t="shared" si="19"/>
        <v>0</v>
      </c>
      <c r="I35" s="564"/>
      <c r="J35" s="565"/>
      <c r="K35" s="565"/>
      <c r="L35" s="563">
        <f t="shared" si="20"/>
        <v>0.83838358845358163</v>
      </c>
      <c r="M35" s="565"/>
      <c r="N35" s="565"/>
      <c r="O35" s="565"/>
      <c r="P35" s="699"/>
      <c r="Q35" s="704">
        <v>0.19497071745518102</v>
      </c>
      <c r="R35" s="704"/>
      <c r="S35" s="704">
        <v>0</v>
      </c>
      <c r="T35" s="704">
        <v>5.0985058370266664E-2</v>
      </c>
      <c r="U35" s="704">
        <v>0.59242781262813393</v>
      </c>
      <c r="V35" s="704">
        <v>0</v>
      </c>
      <c r="W35" s="704"/>
      <c r="X35" s="564"/>
      <c r="Y35" s="562"/>
      <c r="Z35" s="565"/>
      <c r="AA35" s="568">
        <v>4.5940947412447954</v>
      </c>
      <c r="AB35" s="566">
        <f t="shared" si="21"/>
        <v>0</v>
      </c>
      <c r="AC35" s="567"/>
      <c r="AD35" s="565"/>
      <c r="AE35" s="565"/>
      <c r="AF35" s="565"/>
      <c r="AG35" s="615"/>
      <c r="AH35" s="615"/>
      <c r="AI35" s="615"/>
      <c r="AJ35" s="615"/>
      <c r="AK35" s="564"/>
      <c r="AL35" s="562"/>
      <c r="AM35" s="565"/>
      <c r="AN35" s="568"/>
      <c r="AO35" s="568">
        <v>10.638816275668107</v>
      </c>
      <c r="AP35" s="566"/>
      <c r="AQ35" s="569">
        <f t="shared" si="13"/>
        <v>16.071294605366482</v>
      </c>
    </row>
    <row r="36" spans="1:45" ht="12.75" customHeight="1">
      <c r="A36" s="702" t="s">
        <v>329</v>
      </c>
      <c r="B36" s="706" t="s">
        <v>330</v>
      </c>
      <c r="C36" s="559">
        <f t="shared" si="18"/>
        <v>0</v>
      </c>
      <c r="D36" s="701">
        <v>0</v>
      </c>
      <c r="E36" s="704"/>
      <c r="F36" s="704"/>
      <c r="G36" s="705"/>
      <c r="H36" s="563">
        <f t="shared" si="19"/>
        <v>0</v>
      </c>
      <c r="I36" s="564"/>
      <c r="J36" s="565"/>
      <c r="K36" s="565"/>
      <c r="L36" s="563">
        <f t="shared" si="20"/>
        <v>20.491702651385793</v>
      </c>
      <c r="M36" s="565"/>
      <c r="N36" s="565"/>
      <c r="O36" s="565"/>
      <c r="P36" s="699"/>
      <c r="Q36" s="695">
        <v>0.29140784651903406</v>
      </c>
      <c r="R36" s="704"/>
      <c r="S36" s="695">
        <v>2.7458233928999998</v>
      </c>
      <c r="T36" s="695">
        <v>2.7311768767890574</v>
      </c>
      <c r="U36" s="695">
        <v>4.9055048279840703</v>
      </c>
      <c r="V36" s="695">
        <v>9.8177897071936346</v>
      </c>
      <c r="W36" s="704"/>
      <c r="X36" s="564"/>
      <c r="Y36" s="562"/>
      <c r="Z36" s="565"/>
      <c r="AA36" s="707">
        <v>128.0014006524043</v>
      </c>
      <c r="AB36" s="566">
        <f t="shared" si="21"/>
        <v>0</v>
      </c>
      <c r="AC36" s="567"/>
      <c r="AD36" s="565"/>
      <c r="AE36" s="565">
        <v>0</v>
      </c>
      <c r="AF36" s="565"/>
      <c r="AG36" s="615"/>
      <c r="AH36" s="615"/>
      <c r="AI36" s="615"/>
      <c r="AJ36" s="615"/>
      <c r="AK36" s="698"/>
      <c r="AL36" s="699"/>
      <c r="AM36" s="565"/>
      <c r="AN36" s="707"/>
      <c r="AO36" s="707">
        <v>104.62854472087723</v>
      </c>
      <c r="AP36" s="566"/>
      <c r="AQ36" s="569">
        <f t="shared" si="13"/>
        <v>253.12164802466731</v>
      </c>
    </row>
    <row r="37" spans="1:45" ht="12.75" customHeight="1">
      <c r="A37" s="702" t="s">
        <v>331</v>
      </c>
      <c r="B37" s="706" t="s">
        <v>332</v>
      </c>
      <c r="C37" s="559">
        <f t="shared" si="18"/>
        <v>0</v>
      </c>
      <c r="D37" s="567">
        <v>0</v>
      </c>
      <c r="E37" s="704"/>
      <c r="F37" s="704"/>
      <c r="G37" s="705"/>
      <c r="H37" s="563">
        <f t="shared" si="19"/>
        <v>0</v>
      </c>
      <c r="I37" s="564"/>
      <c r="J37" s="565"/>
      <c r="K37" s="565"/>
      <c r="L37" s="563">
        <f t="shared" si="20"/>
        <v>4.5221622064203446</v>
      </c>
      <c r="M37" s="565"/>
      <c r="N37" s="565"/>
      <c r="O37" s="565"/>
      <c r="P37" s="699"/>
      <c r="Q37" s="704">
        <v>1.8396430598593692</v>
      </c>
      <c r="R37" s="704"/>
      <c r="S37" s="704">
        <v>0</v>
      </c>
      <c r="T37" s="704">
        <v>1.2363876654789667</v>
      </c>
      <c r="U37" s="704">
        <v>1.446131481082009</v>
      </c>
      <c r="V37" s="704">
        <v>0</v>
      </c>
      <c r="W37" s="704"/>
      <c r="X37" s="564"/>
      <c r="Y37" s="562"/>
      <c r="Z37" s="565"/>
      <c r="AA37" s="568">
        <v>2.284026640331299</v>
      </c>
      <c r="AB37" s="566">
        <f t="shared" si="21"/>
        <v>0</v>
      </c>
      <c r="AC37" s="567"/>
      <c r="AD37" s="565"/>
      <c r="AE37" s="565"/>
      <c r="AF37" s="565"/>
      <c r="AG37" s="615"/>
      <c r="AH37" s="615"/>
      <c r="AI37" s="615"/>
      <c r="AJ37" s="615"/>
      <c r="AK37" s="564"/>
      <c r="AL37" s="562"/>
      <c r="AM37" s="565"/>
      <c r="AN37" s="568"/>
      <c r="AO37" s="568">
        <v>20.435816256672165</v>
      </c>
      <c r="AP37" s="566"/>
      <c r="AQ37" s="569">
        <f t="shared" si="13"/>
        <v>27.242005103423807</v>
      </c>
    </row>
    <row r="38" spans="1:45" ht="12.75" customHeight="1">
      <c r="A38" s="702" t="s">
        <v>333</v>
      </c>
      <c r="B38" s="706" t="s">
        <v>334</v>
      </c>
      <c r="C38" s="559">
        <f t="shared" si="18"/>
        <v>86.919212076000022</v>
      </c>
      <c r="D38" s="567">
        <v>86.919212076000022</v>
      </c>
      <c r="E38" s="704"/>
      <c r="F38" s="704"/>
      <c r="G38" s="705"/>
      <c r="H38" s="563">
        <f t="shared" si="19"/>
        <v>0</v>
      </c>
      <c r="I38" s="564"/>
      <c r="J38" s="565"/>
      <c r="K38" s="565"/>
      <c r="L38" s="563">
        <f t="shared" si="20"/>
        <v>165.25524621751634</v>
      </c>
      <c r="M38" s="565"/>
      <c r="N38" s="565"/>
      <c r="O38" s="565"/>
      <c r="P38" s="699"/>
      <c r="Q38" s="704">
        <v>1.7086143518921777</v>
      </c>
      <c r="R38" s="704"/>
      <c r="S38" s="704">
        <v>0</v>
      </c>
      <c r="T38" s="704">
        <v>2.4472828017727997</v>
      </c>
      <c r="U38" s="704">
        <v>29.80873959779337</v>
      </c>
      <c r="V38" s="704">
        <v>131.29060946605799</v>
      </c>
      <c r="W38" s="704"/>
      <c r="X38" s="564"/>
      <c r="Y38" s="562"/>
      <c r="Z38" s="565"/>
      <c r="AA38" s="568">
        <v>20.60514689627021</v>
      </c>
      <c r="AB38" s="566">
        <f t="shared" si="21"/>
        <v>42.918678312955997</v>
      </c>
      <c r="AC38" s="567"/>
      <c r="AD38" s="565"/>
      <c r="AE38" s="565">
        <v>2.2257740888237998</v>
      </c>
      <c r="AF38" s="565">
        <v>40.692904224132199</v>
      </c>
      <c r="AG38" s="615"/>
      <c r="AH38" s="615"/>
      <c r="AI38" s="615"/>
      <c r="AJ38" s="615"/>
      <c r="AK38" s="564"/>
      <c r="AL38" s="562"/>
      <c r="AM38" s="565"/>
      <c r="AN38" s="568">
        <v>54.722939604974094</v>
      </c>
      <c r="AO38" s="568">
        <v>54.010284601158837</v>
      </c>
      <c r="AP38" s="566"/>
      <c r="AQ38" s="569">
        <f t="shared" si="13"/>
        <v>424.43150770887547</v>
      </c>
    </row>
    <row r="39" spans="1:45" ht="12.75" customHeight="1">
      <c r="A39" s="702" t="s">
        <v>335</v>
      </c>
      <c r="B39" s="706" t="s">
        <v>336</v>
      </c>
      <c r="C39" s="559">
        <f t="shared" si="18"/>
        <v>0.14506788200000253</v>
      </c>
      <c r="D39" s="567">
        <v>0.14506788200000253</v>
      </c>
      <c r="E39" s="704"/>
      <c r="F39" s="704"/>
      <c r="G39" s="705"/>
      <c r="H39" s="563">
        <f t="shared" si="19"/>
        <v>0</v>
      </c>
      <c r="I39" s="564"/>
      <c r="J39" s="565"/>
      <c r="K39" s="565"/>
      <c r="L39" s="563">
        <f t="shared" si="20"/>
        <v>8.534515108025424</v>
      </c>
      <c r="M39" s="565"/>
      <c r="N39" s="565"/>
      <c r="O39" s="565"/>
      <c r="P39" s="699"/>
      <c r="Q39" s="704">
        <v>0.75262889856354831</v>
      </c>
      <c r="R39" s="704"/>
      <c r="S39" s="704">
        <v>1.0397614907400001</v>
      </c>
      <c r="T39" s="704">
        <v>3.4113639055014784</v>
      </c>
      <c r="U39" s="704">
        <v>3.3307608132203974</v>
      </c>
      <c r="V39" s="704">
        <v>0</v>
      </c>
      <c r="W39" s="704"/>
      <c r="X39" s="564"/>
      <c r="Y39" s="562"/>
      <c r="Z39" s="565"/>
      <c r="AA39" s="568">
        <v>408.68833080126041</v>
      </c>
      <c r="AB39" s="566">
        <f t="shared" si="21"/>
        <v>0</v>
      </c>
      <c r="AC39" s="567"/>
      <c r="AD39" s="565"/>
      <c r="AE39" s="565"/>
      <c r="AF39" s="565"/>
      <c r="AG39" s="615"/>
      <c r="AH39" s="615"/>
      <c r="AI39" s="615"/>
      <c r="AJ39" s="615"/>
      <c r="AK39" s="564"/>
      <c r="AL39" s="562"/>
      <c r="AM39" s="565"/>
      <c r="AN39" s="568"/>
      <c r="AO39" s="568">
        <v>49.329922605876547</v>
      </c>
      <c r="AP39" s="566"/>
      <c r="AQ39" s="569">
        <f t="shared" si="13"/>
        <v>466.6978363971624</v>
      </c>
    </row>
    <row r="40" spans="1:45" ht="12.75" customHeight="1">
      <c r="A40" s="702" t="s">
        <v>337</v>
      </c>
      <c r="B40" s="706" t="s">
        <v>338</v>
      </c>
      <c r="C40" s="559">
        <f t="shared" si="18"/>
        <v>0</v>
      </c>
      <c r="D40" s="567">
        <v>0</v>
      </c>
      <c r="E40" s="704"/>
      <c r="F40" s="704"/>
      <c r="G40" s="705"/>
      <c r="H40" s="563">
        <f t="shared" si="19"/>
        <v>0</v>
      </c>
      <c r="I40" s="564"/>
      <c r="J40" s="565"/>
      <c r="K40" s="565"/>
      <c r="L40" s="563">
        <f t="shared" si="20"/>
        <v>4.4175991624811015</v>
      </c>
      <c r="M40" s="565"/>
      <c r="N40" s="565"/>
      <c r="O40" s="565"/>
      <c r="P40" s="699"/>
      <c r="Q40" s="704">
        <v>0.21069416241124406</v>
      </c>
      <c r="R40" s="704"/>
      <c r="S40" s="704">
        <v>0</v>
      </c>
      <c r="T40" s="704">
        <v>2.0741648746085759</v>
      </c>
      <c r="U40" s="704">
        <v>2.1327401254612819</v>
      </c>
      <c r="V40" s="704">
        <v>0</v>
      </c>
      <c r="W40" s="704"/>
      <c r="X40" s="564"/>
      <c r="Y40" s="562"/>
      <c r="Z40" s="565"/>
      <c r="AA40" s="568">
        <v>7.9737681987539286</v>
      </c>
      <c r="AB40" s="566">
        <f t="shared" si="21"/>
        <v>0</v>
      </c>
      <c r="AC40" s="567"/>
      <c r="AD40" s="565"/>
      <c r="AE40" s="565"/>
      <c r="AF40" s="565"/>
      <c r="AG40" s="615"/>
      <c r="AH40" s="615"/>
      <c r="AI40" s="615"/>
      <c r="AJ40" s="615"/>
      <c r="AK40" s="564"/>
      <c r="AL40" s="562"/>
      <c r="AM40" s="565"/>
      <c r="AN40" s="568"/>
      <c r="AO40" s="568">
        <v>18.411529811795422</v>
      </c>
      <c r="AP40" s="566"/>
      <c r="AQ40" s="569">
        <f t="shared" si="13"/>
        <v>30.802897173030452</v>
      </c>
    </row>
    <row r="41" spans="1:45" ht="12.75" customHeight="1">
      <c r="A41" s="702" t="s">
        <v>339</v>
      </c>
      <c r="B41" s="706" t="s">
        <v>340</v>
      </c>
      <c r="C41" s="559">
        <f t="shared" si="18"/>
        <v>0</v>
      </c>
      <c r="D41" s="701">
        <v>0</v>
      </c>
      <c r="E41" s="704"/>
      <c r="F41" s="704"/>
      <c r="G41" s="705"/>
      <c r="H41" s="563">
        <f t="shared" si="19"/>
        <v>0</v>
      </c>
      <c r="I41" s="564"/>
      <c r="J41" s="565"/>
      <c r="K41" s="565"/>
      <c r="L41" s="563">
        <f t="shared" si="20"/>
        <v>3.5291908924471116</v>
      </c>
      <c r="M41" s="565"/>
      <c r="N41" s="565"/>
      <c r="O41" s="565"/>
      <c r="P41" s="699"/>
      <c r="Q41" s="695">
        <v>0.4496905257434014</v>
      </c>
      <c r="R41" s="704"/>
      <c r="S41" s="695">
        <v>0</v>
      </c>
      <c r="T41" s="695">
        <v>2.0880698905277391</v>
      </c>
      <c r="U41" s="695">
        <v>0.99143047617597102</v>
      </c>
      <c r="V41" s="695">
        <v>0</v>
      </c>
      <c r="W41" s="704"/>
      <c r="X41" s="564"/>
      <c r="Y41" s="562"/>
      <c r="Z41" s="565"/>
      <c r="AA41" s="707">
        <v>18.389717274057872</v>
      </c>
      <c r="AB41" s="566">
        <f t="shared" si="21"/>
        <v>0</v>
      </c>
      <c r="AC41" s="567"/>
      <c r="AD41" s="565"/>
      <c r="AE41" s="565"/>
      <c r="AF41" s="565"/>
      <c r="AG41" s="615"/>
      <c r="AH41" s="615"/>
      <c r="AI41" s="615"/>
      <c r="AJ41" s="615"/>
      <c r="AK41" s="698"/>
      <c r="AL41" s="699"/>
      <c r="AM41" s="565"/>
      <c r="AN41" s="707"/>
      <c r="AO41" s="707">
        <v>80.043410825191572</v>
      </c>
      <c r="AP41" s="566"/>
      <c r="AQ41" s="569">
        <f t="shared" si="13"/>
        <v>101.96231899169655</v>
      </c>
    </row>
    <row r="42" spans="1:45" ht="12.75" customHeight="1">
      <c r="A42" s="702" t="s">
        <v>341</v>
      </c>
      <c r="B42" s="706" t="s">
        <v>342</v>
      </c>
      <c r="C42" s="559">
        <f t="shared" si="18"/>
        <v>0</v>
      </c>
      <c r="D42" s="567">
        <v>0</v>
      </c>
      <c r="E42" s="704"/>
      <c r="F42" s="704"/>
      <c r="G42" s="705"/>
      <c r="H42" s="563">
        <f t="shared" si="19"/>
        <v>0</v>
      </c>
      <c r="I42" s="564"/>
      <c r="J42" s="565"/>
      <c r="K42" s="565"/>
      <c r="L42" s="563">
        <f t="shared" si="20"/>
        <v>1.41139605019423</v>
      </c>
      <c r="M42" s="565"/>
      <c r="N42" s="565"/>
      <c r="O42" s="565"/>
      <c r="P42" s="699"/>
      <c r="Q42" s="704">
        <v>5.2411483186876627E-2</v>
      </c>
      <c r="R42" s="704"/>
      <c r="S42" s="704">
        <v>0</v>
      </c>
      <c r="T42" s="704">
        <v>0.92352480729778486</v>
      </c>
      <c r="U42" s="704">
        <v>0.43545975970956852</v>
      </c>
      <c r="V42" s="704">
        <v>0</v>
      </c>
      <c r="W42" s="704"/>
      <c r="X42" s="564"/>
      <c r="Y42" s="562"/>
      <c r="Z42" s="565"/>
      <c r="AA42" s="568">
        <v>0.27057712702478681</v>
      </c>
      <c r="AB42" s="566">
        <f t="shared" si="21"/>
        <v>0</v>
      </c>
      <c r="AC42" s="567"/>
      <c r="AD42" s="565"/>
      <c r="AE42" s="565"/>
      <c r="AF42" s="565"/>
      <c r="AG42" s="615"/>
      <c r="AH42" s="615"/>
      <c r="AI42" s="615"/>
      <c r="AJ42" s="615"/>
      <c r="AK42" s="663"/>
      <c r="AL42" s="659"/>
      <c r="AM42" s="565"/>
      <c r="AN42" s="664"/>
      <c r="AO42" s="568">
        <v>2.2633417821038564</v>
      </c>
      <c r="AP42" s="566"/>
      <c r="AQ42" s="569">
        <f t="shared" si="13"/>
        <v>3.9453149593228733</v>
      </c>
    </row>
    <row r="43" spans="1:45" ht="12.75" customHeight="1">
      <c r="A43" s="702" t="s">
        <v>343</v>
      </c>
      <c r="B43" s="706" t="s">
        <v>344</v>
      </c>
      <c r="C43" s="559">
        <f t="shared" si="18"/>
        <v>0</v>
      </c>
      <c r="D43" s="567">
        <v>0</v>
      </c>
      <c r="E43" s="704"/>
      <c r="F43" s="704"/>
      <c r="G43" s="705"/>
      <c r="H43" s="563">
        <f t="shared" si="19"/>
        <v>0</v>
      </c>
      <c r="I43" s="564"/>
      <c r="J43" s="565"/>
      <c r="K43" s="565">
        <v>0</v>
      </c>
      <c r="L43" s="563">
        <f t="shared" si="20"/>
        <v>12.511675497016565</v>
      </c>
      <c r="M43" s="565"/>
      <c r="N43" s="565"/>
      <c r="O43" s="565"/>
      <c r="P43" s="562"/>
      <c r="Q43" s="704">
        <v>0.76415942486466115</v>
      </c>
      <c r="R43" s="704"/>
      <c r="S43" s="704">
        <v>3.6425061461249997</v>
      </c>
      <c r="T43" s="704">
        <v>4.9362806513030915</v>
      </c>
      <c r="U43" s="704">
        <v>3.1687292747238134</v>
      </c>
      <c r="V43" s="704">
        <v>0</v>
      </c>
      <c r="W43" s="704"/>
      <c r="X43" s="564"/>
      <c r="Y43" s="562"/>
      <c r="Z43" s="565"/>
      <c r="AA43" s="568">
        <v>30.013736057345717</v>
      </c>
      <c r="AB43" s="566">
        <f t="shared" si="21"/>
        <v>0</v>
      </c>
      <c r="AC43" s="567"/>
      <c r="AD43" s="565"/>
      <c r="AE43" s="565"/>
      <c r="AF43" s="565"/>
      <c r="AG43" s="565"/>
      <c r="AH43" s="565"/>
      <c r="AI43" s="565"/>
      <c r="AJ43" s="565"/>
      <c r="AK43" s="564"/>
      <c r="AL43" s="562"/>
      <c r="AM43" s="565"/>
      <c r="AN43" s="568"/>
      <c r="AO43" s="568">
        <v>59.095333131604164</v>
      </c>
      <c r="AP43" s="566"/>
      <c r="AQ43" s="569">
        <f t="shared" si="13"/>
        <v>101.62074468596644</v>
      </c>
    </row>
    <row r="44" spans="1:45" ht="12.75" customHeight="1">
      <c r="A44" s="708" t="s">
        <v>618</v>
      </c>
      <c r="B44" s="709" t="s">
        <v>619</v>
      </c>
      <c r="C44" s="618">
        <f>SUM(D44:G44)</f>
        <v>0</v>
      </c>
      <c r="D44" s="624">
        <v>0</v>
      </c>
      <c r="E44" s="710"/>
      <c r="F44" s="710"/>
      <c r="G44" s="711"/>
      <c r="H44" s="622">
        <f>SUM(I44:K44)</f>
        <v>0</v>
      </c>
      <c r="I44" s="619"/>
      <c r="J44" s="620"/>
      <c r="K44" s="620"/>
      <c r="L44" s="622">
        <f>SUM(M44:Z44)</f>
        <v>52.05676786532063</v>
      </c>
      <c r="M44" s="620"/>
      <c r="N44" s="620"/>
      <c r="O44" s="620"/>
      <c r="P44" s="621"/>
      <c r="Q44" s="710">
        <v>0.72259481077897947</v>
      </c>
      <c r="R44" s="710"/>
      <c r="S44" s="710">
        <v>0</v>
      </c>
      <c r="T44" s="710">
        <v>0.47348950843364052</v>
      </c>
      <c r="U44" s="710">
        <v>50.860683546108007</v>
      </c>
      <c r="V44" s="710">
        <v>0</v>
      </c>
      <c r="W44" s="710"/>
      <c r="X44" s="619"/>
      <c r="Y44" s="621"/>
      <c r="Z44" s="620"/>
      <c r="AA44" s="625">
        <v>19.436660210904712</v>
      </c>
      <c r="AB44" s="623">
        <f>SUM(AC44:AM44)</f>
        <v>0</v>
      </c>
      <c r="AC44" s="624"/>
      <c r="AD44" s="620"/>
      <c r="AE44" s="620"/>
      <c r="AF44" s="620"/>
      <c r="AG44" s="620"/>
      <c r="AH44" s="620"/>
      <c r="AI44" s="620"/>
      <c r="AJ44" s="620"/>
      <c r="AK44" s="619"/>
      <c r="AL44" s="621"/>
      <c r="AM44" s="620"/>
      <c r="AN44" s="625"/>
      <c r="AO44" s="625">
        <v>24.617403741576357</v>
      </c>
      <c r="AP44" s="623"/>
      <c r="AQ44" s="626">
        <f>C44+H44+L44+AA44+AB44+AN44+AO44+AP44</f>
        <v>96.110831817801696</v>
      </c>
    </row>
    <row r="45" spans="1:45" s="231" customFormat="1" ht="12.75" customHeight="1">
      <c r="A45" s="627" t="s">
        <v>138</v>
      </c>
      <c r="B45" s="628"/>
      <c r="C45" s="712">
        <f t="shared" ref="C45:AP45" si="22">SUM(C46:C55)</f>
        <v>0</v>
      </c>
      <c r="D45" s="713">
        <f t="shared" si="22"/>
        <v>0</v>
      </c>
      <c r="E45" s="713">
        <f t="shared" si="22"/>
        <v>0</v>
      </c>
      <c r="F45" s="714">
        <f t="shared" si="22"/>
        <v>0</v>
      </c>
      <c r="G45" s="714">
        <f t="shared" si="22"/>
        <v>0</v>
      </c>
      <c r="H45" s="715">
        <f t="shared" si="22"/>
        <v>0</v>
      </c>
      <c r="I45" s="716">
        <f t="shared" si="22"/>
        <v>0</v>
      </c>
      <c r="J45" s="713">
        <f t="shared" si="22"/>
        <v>0</v>
      </c>
      <c r="K45" s="713">
        <f t="shared" si="22"/>
        <v>0</v>
      </c>
      <c r="L45" s="715">
        <f t="shared" si="22"/>
        <v>5019.9247759387081</v>
      </c>
      <c r="M45" s="713">
        <f t="shared" si="22"/>
        <v>0</v>
      </c>
      <c r="N45" s="713">
        <f t="shared" ref="N45" si="23">SUM(N46:N55)</f>
        <v>0</v>
      </c>
      <c r="O45" s="713">
        <f t="shared" si="22"/>
        <v>0</v>
      </c>
      <c r="P45" s="713">
        <f t="shared" si="22"/>
        <v>821.48002832197096</v>
      </c>
      <c r="Q45" s="713">
        <f t="shared" si="22"/>
        <v>0</v>
      </c>
      <c r="R45" s="713">
        <f t="shared" si="22"/>
        <v>1102.0673096951998</v>
      </c>
      <c r="S45" s="713">
        <f t="shared" si="22"/>
        <v>0</v>
      </c>
      <c r="T45" s="713">
        <f t="shared" si="22"/>
        <v>1.8520724281984335</v>
      </c>
      <c r="U45" s="713">
        <f>SUM(U46:U55)</f>
        <v>3094.5253654933395</v>
      </c>
      <c r="V45" s="713">
        <f t="shared" si="22"/>
        <v>0</v>
      </c>
      <c r="W45" s="714">
        <f t="shared" si="22"/>
        <v>0</v>
      </c>
      <c r="X45" s="714">
        <f t="shared" si="22"/>
        <v>0</v>
      </c>
      <c r="Y45" s="714">
        <f t="shared" si="22"/>
        <v>0</v>
      </c>
      <c r="Z45" s="713">
        <f t="shared" si="22"/>
        <v>0</v>
      </c>
      <c r="AA45" s="715">
        <f t="shared" si="22"/>
        <v>22.560835415583806</v>
      </c>
      <c r="AB45" s="717">
        <f t="shared" si="22"/>
        <v>154.23960204369601</v>
      </c>
      <c r="AC45" s="718">
        <f t="shared" si="22"/>
        <v>0</v>
      </c>
      <c r="AD45" s="713">
        <f t="shared" si="22"/>
        <v>0</v>
      </c>
      <c r="AE45" s="713">
        <f t="shared" si="22"/>
        <v>0</v>
      </c>
      <c r="AF45" s="713">
        <f t="shared" ref="AF45" si="24">SUM(AF46:AF55)</f>
        <v>0</v>
      </c>
      <c r="AG45" s="713">
        <f t="shared" si="22"/>
        <v>0</v>
      </c>
      <c r="AH45" s="713">
        <f t="shared" si="22"/>
        <v>0</v>
      </c>
      <c r="AI45" s="713">
        <f t="shared" si="22"/>
        <v>126.968349188928</v>
      </c>
      <c r="AJ45" s="713">
        <f t="shared" ref="AJ45" si="25">SUM(AJ46:AJ55)</f>
        <v>27.271252854767997</v>
      </c>
      <c r="AK45" s="716">
        <f t="shared" si="22"/>
        <v>0</v>
      </c>
      <c r="AL45" s="714">
        <f t="shared" ref="AL45" si="26">SUM(AL46:AL55)</f>
        <v>0</v>
      </c>
      <c r="AM45" s="713">
        <f t="shared" si="22"/>
        <v>0</v>
      </c>
      <c r="AN45" s="715">
        <f t="shared" si="22"/>
        <v>0</v>
      </c>
      <c r="AO45" s="715">
        <f t="shared" si="22"/>
        <v>5.3733816232262495</v>
      </c>
      <c r="AP45" s="717">
        <f t="shared" si="22"/>
        <v>0</v>
      </c>
      <c r="AQ45" s="719">
        <f t="shared" si="13"/>
        <v>5202.0985950212144</v>
      </c>
      <c r="AR45" s="230"/>
      <c r="AS45" s="236"/>
    </row>
    <row r="46" spans="1:45" s="230" customFormat="1" ht="12.75" customHeight="1">
      <c r="A46" s="720" t="s">
        <v>345</v>
      </c>
      <c r="B46" s="605"/>
      <c r="C46" s="606">
        <f t="shared" ref="C46:C64" si="27">SUM(D46:G46)</f>
        <v>0</v>
      </c>
      <c r="D46" s="721"/>
      <c r="E46" s="654"/>
      <c r="F46" s="609"/>
      <c r="G46" s="609"/>
      <c r="H46" s="610">
        <f t="shared" ref="H46:H64" si="28">SUM(I46:K46)</f>
        <v>0</v>
      </c>
      <c r="I46" s="607"/>
      <c r="J46" s="608"/>
      <c r="K46" s="608"/>
      <c r="L46" s="610">
        <f t="shared" ref="L46:L64" si="29">SUM(M46:Z46)</f>
        <v>702.41214426261672</v>
      </c>
      <c r="M46" s="608"/>
      <c r="N46" s="608"/>
      <c r="O46" s="608"/>
      <c r="P46" s="608"/>
      <c r="Q46" s="608"/>
      <c r="R46" s="608"/>
      <c r="S46" s="608"/>
      <c r="T46" s="608"/>
      <c r="U46" s="608">
        <v>702.41214426261672</v>
      </c>
      <c r="V46" s="608"/>
      <c r="W46" s="609"/>
      <c r="X46" s="609"/>
      <c r="Y46" s="609"/>
      <c r="Z46" s="608"/>
      <c r="AA46" s="613">
        <v>2.9723185667999998E-2</v>
      </c>
      <c r="AB46" s="611">
        <f t="shared" ref="AB46:AB64" si="30">SUM(AC46:AM46)</f>
        <v>30.002374318707627</v>
      </c>
      <c r="AC46" s="612"/>
      <c r="AD46" s="608"/>
      <c r="AE46" s="608"/>
      <c r="AF46" s="608"/>
      <c r="AG46" s="608"/>
      <c r="AH46" s="608"/>
      <c r="AI46" s="608">
        <v>30.002374318707627</v>
      </c>
      <c r="AJ46" s="608">
        <v>0</v>
      </c>
      <c r="AK46" s="607"/>
      <c r="AL46" s="609"/>
      <c r="AM46" s="608"/>
      <c r="AN46" s="610"/>
      <c r="AO46" s="613"/>
      <c r="AP46" s="611"/>
      <c r="AQ46" s="638">
        <f t="shared" si="13"/>
        <v>732.44424176699238</v>
      </c>
      <c r="AS46" s="235"/>
    </row>
    <row r="47" spans="1:45" s="230" customFormat="1" ht="12.75" customHeight="1">
      <c r="A47" s="692" t="s">
        <v>346</v>
      </c>
      <c r="B47" s="722"/>
      <c r="C47" s="559">
        <f t="shared" si="27"/>
        <v>0</v>
      </c>
      <c r="D47" s="723"/>
      <c r="E47" s="724"/>
      <c r="F47" s="699"/>
      <c r="G47" s="699"/>
      <c r="H47" s="563">
        <f t="shared" si="28"/>
        <v>0</v>
      </c>
      <c r="I47" s="698"/>
      <c r="J47" s="615"/>
      <c r="K47" s="615"/>
      <c r="L47" s="697">
        <f t="shared" si="29"/>
        <v>319.57486919365164</v>
      </c>
      <c r="M47" s="615"/>
      <c r="N47" s="615"/>
      <c r="O47" s="615"/>
      <c r="P47" s="615"/>
      <c r="Q47" s="615"/>
      <c r="R47" s="615"/>
      <c r="S47" s="615"/>
      <c r="T47" s="615"/>
      <c r="U47" s="615">
        <v>319.57486919365164</v>
      </c>
      <c r="V47" s="615"/>
      <c r="W47" s="699"/>
      <c r="X47" s="699"/>
      <c r="Y47" s="699"/>
      <c r="Z47" s="615"/>
      <c r="AA47" s="707"/>
      <c r="AB47" s="700">
        <f t="shared" si="30"/>
        <v>13.65011258235765</v>
      </c>
      <c r="AC47" s="701"/>
      <c r="AD47" s="615"/>
      <c r="AE47" s="615"/>
      <c r="AF47" s="615"/>
      <c r="AG47" s="615"/>
      <c r="AH47" s="615"/>
      <c r="AI47" s="615">
        <v>13.65011258235765</v>
      </c>
      <c r="AJ47" s="615">
        <v>0</v>
      </c>
      <c r="AK47" s="698"/>
      <c r="AL47" s="699"/>
      <c r="AM47" s="615"/>
      <c r="AN47" s="697"/>
      <c r="AO47" s="707"/>
      <c r="AP47" s="700"/>
      <c r="AQ47" s="614">
        <f t="shared" si="13"/>
        <v>333.22498177600926</v>
      </c>
      <c r="AS47" s="235"/>
    </row>
    <row r="48" spans="1:45" s="230" customFormat="1" ht="12.75" customHeight="1">
      <c r="A48" s="702" t="s">
        <v>347</v>
      </c>
      <c r="B48" s="558"/>
      <c r="C48" s="559">
        <f t="shared" si="27"/>
        <v>0</v>
      </c>
      <c r="D48" s="560"/>
      <c r="E48" s="570"/>
      <c r="F48" s="562"/>
      <c r="G48" s="562"/>
      <c r="H48" s="563">
        <f t="shared" si="28"/>
        <v>0</v>
      </c>
      <c r="I48" s="564"/>
      <c r="J48" s="565"/>
      <c r="K48" s="565"/>
      <c r="L48" s="563">
        <f t="shared" si="29"/>
        <v>1985.7767970742025</v>
      </c>
      <c r="M48" s="565"/>
      <c r="N48" s="565"/>
      <c r="O48" s="565"/>
      <c r="P48" s="565">
        <v>673.74419325959013</v>
      </c>
      <c r="Q48" s="565"/>
      <c r="R48" s="565"/>
      <c r="S48" s="565"/>
      <c r="T48" s="565">
        <v>1.8520724281984335</v>
      </c>
      <c r="U48" s="565">
        <v>1310.180531386414</v>
      </c>
      <c r="V48" s="565"/>
      <c r="W48" s="562"/>
      <c r="X48" s="562"/>
      <c r="Y48" s="562"/>
      <c r="Z48" s="565"/>
      <c r="AA48" s="568"/>
      <c r="AB48" s="566">
        <f t="shared" si="30"/>
        <v>78.347166728170066</v>
      </c>
      <c r="AC48" s="567"/>
      <c r="AD48" s="565"/>
      <c r="AE48" s="565"/>
      <c r="AF48" s="565"/>
      <c r="AG48" s="565"/>
      <c r="AH48" s="565"/>
      <c r="AI48" s="565">
        <v>55.96219690791942</v>
      </c>
      <c r="AJ48" s="565">
        <v>22.384969820250642</v>
      </c>
      <c r="AK48" s="564"/>
      <c r="AL48" s="562"/>
      <c r="AM48" s="565"/>
      <c r="AN48" s="563"/>
      <c r="AO48" s="568">
        <v>1.0652907432262495</v>
      </c>
      <c r="AP48" s="566"/>
      <c r="AQ48" s="569">
        <f t="shared" si="13"/>
        <v>2065.1892545455989</v>
      </c>
      <c r="AS48" s="235"/>
    </row>
    <row r="49" spans="1:45" s="230" customFormat="1" ht="12.75" customHeight="1">
      <c r="A49" s="702" t="s">
        <v>348</v>
      </c>
      <c r="B49" s="558"/>
      <c r="C49" s="559">
        <f t="shared" si="27"/>
        <v>0</v>
      </c>
      <c r="D49" s="560"/>
      <c r="E49" s="570"/>
      <c r="F49" s="562"/>
      <c r="G49" s="562"/>
      <c r="H49" s="563">
        <f t="shared" si="28"/>
        <v>0</v>
      </c>
      <c r="I49" s="564"/>
      <c r="J49" s="565"/>
      <c r="K49" s="565"/>
      <c r="L49" s="563">
        <f t="shared" si="29"/>
        <v>131.85233821544426</v>
      </c>
      <c r="M49" s="565"/>
      <c r="N49" s="565"/>
      <c r="O49" s="565"/>
      <c r="P49" s="565">
        <v>6.3769522656162847</v>
      </c>
      <c r="Q49" s="565"/>
      <c r="R49" s="565"/>
      <c r="S49" s="565"/>
      <c r="T49" s="565"/>
      <c r="U49" s="565">
        <v>125.47538594982798</v>
      </c>
      <c r="V49" s="565"/>
      <c r="W49" s="562"/>
      <c r="X49" s="562"/>
      <c r="Y49" s="562"/>
      <c r="Z49" s="565"/>
      <c r="AA49" s="568"/>
      <c r="AB49" s="566">
        <f t="shared" si="30"/>
        <v>5.5713463444749705</v>
      </c>
      <c r="AC49" s="567"/>
      <c r="AD49" s="565"/>
      <c r="AE49" s="565"/>
      <c r="AF49" s="565"/>
      <c r="AG49" s="565"/>
      <c r="AH49" s="565"/>
      <c r="AI49" s="565">
        <v>5.3594738186126225</v>
      </c>
      <c r="AJ49" s="565">
        <v>0.21187252586234828</v>
      </c>
      <c r="AK49" s="564"/>
      <c r="AL49" s="562"/>
      <c r="AM49" s="565"/>
      <c r="AN49" s="563"/>
      <c r="AO49" s="568"/>
      <c r="AP49" s="566"/>
      <c r="AQ49" s="569">
        <f t="shared" si="13"/>
        <v>137.42368455991922</v>
      </c>
      <c r="AS49" s="235"/>
    </row>
    <row r="50" spans="1:45" s="230" customFormat="1" ht="12.75" customHeight="1">
      <c r="A50" s="702" t="s">
        <v>139</v>
      </c>
      <c r="B50" s="558"/>
      <c r="C50" s="559">
        <f t="shared" si="27"/>
        <v>0</v>
      </c>
      <c r="D50" s="560"/>
      <c r="E50" s="570"/>
      <c r="F50" s="562"/>
      <c r="G50" s="562"/>
      <c r="H50" s="563">
        <f t="shared" si="28"/>
        <v>0</v>
      </c>
      <c r="I50" s="564"/>
      <c r="J50" s="565"/>
      <c r="K50" s="565"/>
      <c r="L50" s="563">
        <f t="shared" si="29"/>
        <v>38.043221783939138</v>
      </c>
      <c r="M50" s="565"/>
      <c r="N50" s="565"/>
      <c r="O50" s="565"/>
      <c r="P50" s="565"/>
      <c r="Q50" s="565"/>
      <c r="R50" s="725"/>
      <c r="S50" s="565"/>
      <c r="T50" s="565"/>
      <c r="U50" s="565">
        <v>38.043221783939138</v>
      </c>
      <c r="V50" s="565"/>
      <c r="W50" s="562"/>
      <c r="X50" s="562"/>
      <c r="Y50" s="562"/>
      <c r="Z50" s="565"/>
      <c r="AA50" s="568"/>
      <c r="AB50" s="566">
        <f t="shared" si="30"/>
        <v>0</v>
      </c>
      <c r="AC50" s="567"/>
      <c r="AD50" s="565"/>
      <c r="AE50" s="565"/>
      <c r="AF50" s="565"/>
      <c r="AG50" s="565"/>
      <c r="AH50" s="565"/>
      <c r="AI50" s="565">
        <v>0</v>
      </c>
      <c r="AJ50" s="565"/>
      <c r="AK50" s="564"/>
      <c r="AL50" s="562"/>
      <c r="AM50" s="565"/>
      <c r="AN50" s="563"/>
      <c r="AO50" s="568">
        <v>4.30809088</v>
      </c>
      <c r="AP50" s="566"/>
      <c r="AQ50" s="569">
        <f t="shared" si="13"/>
        <v>42.35131266393914</v>
      </c>
      <c r="AS50" s="235"/>
    </row>
    <row r="51" spans="1:45" s="230" customFormat="1" ht="12.75" customHeight="1">
      <c r="A51" s="702" t="s">
        <v>349</v>
      </c>
      <c r="B51" s="558"/>
      <c r="C51" s="559">
        <f t="shared" si="27"/>
        <v>0</v>
      </c>
      <c r="D51" s="560"/>
      <c r="E51" s="570"/>
      <c r="F51" s="562"/>
      <c r="G51" s="562"/>
      <c r="H51" s="563">
        <f t="shared" si="28"/>
        <v>0</v>
      </c>
      <c r="I51" s="564"/>
      <c r="J51" s="565"/>
      <c r="K51" s="565"/>
      <c r="L51" s="563">
        <f t="shared" si="29"/>
        <v>5.5768892778871404</v>
      </c>
      <c r="M51" s="565"/>
      <c r="N51" s="565"/>
      <c r="O51" s="565"/>
      <c r="P51" s="565">
        <v>0.66818888888888883</v>
      </c>
      <c r="Q51" s="565"/>
      <c r="R51" s="565">
        <v>4.9087003889982519</v>
      </c>
      <c r="S51" s="565"/>
      <c r="T51" s="565"/>
      <c r="U51" s="565"/>
      <c r="V51" s="565"/>
      <c r="W51" s="562"/>
      <c r="X51" s="562"/>
      <c r="Y51" s="562"/>
      <c r="Z51" s="565"/>
      <c r="AA51" s="568"/>
      <c r="AB51" s="566">
        <f t="shared" si="30"/>
        <v>0</v>
      </c>
      <c r="AC51" s="567"/>
      <c r="AD51" s="565"/>
      <c r="AE51" s="565"/>
      <c r="AF51" s="565"/>
      <c r="AG51" s="565"/>
      <c r="AH51" s="565"/>
      <c r="AI51" s="565"/>
      <c r="AJ51" s="565"/>
      <c r="AK51" s="564"/>
      <c r="AL51" s="562"/>
      <c r="AM51" s="565"/>
      <c r="AN51" s="563"/>
      <c r="AO51" s="568"/>
      <c r="AP51" s="566"/>
      <c r="AQ51" s="569">
        <f t="shared" si="13"/>
        <v>5.5768892778871404</v>
      </c>
      <c r="AS51" s="235"/>
    </row>
    <row r="52" spans="1:45" s="230" customFormat="1" ht="12.75" customHeight="1">
      <c r="A52" s="702" t="s">
        <v>350</v>
      </c>
      <c r="B52" s="706"/>
      <c r="C52" s="726">
        <f t="shared" si="27"/>
        <v>0</v>
      </c>
      <c r="D52" s="725"/>
      <c r="E52" s="725"/>
      <c r="F52" s="727"/>
      <c r="G52" s="727"/>
      <c r="H52" s="728">
        <f t="shared" si="28"/>
        <v>0</v>
      </c>
      <c r="I52" s="729"/>
      <c r="J52" s="725"/>
      <c r="K52" s="725"/>
      <c r="L52" s="728">
        <f t="shared" si="29"/>
        <v>1097.1586093062015</v>
      </c>
      <c r="M52" s="725"/>
      <c r="N52" s="725"/>
      <c r="O52" s="725"/>
      <c r="P52" s="615"/>
      <c r="Q52" s="725"/>
      <c r="R52" s="725">
        <v>1097.1586093062015</v>
      </c>
      <c r="S52" s="725"/>
      <c r="T52" s="725"/>
      <c r="U52" s="725"/>
      <c r="V52" s="725"/>
      <c r="W52" s="727"/>
      <c r="X52" s="727"/>
      <c r="Y52" s="727"/>
      <c r="Z52" s="725"/>
      <c r="AA52" s="707"/>
      <c r="AB52" s="730">
        <f t="shared" si="30"/>
        <v>0</v>
      </c>
      <c r="AC52" s="731"/>
      <c r="AD52" s="725"/>
      <c r="AE52" s="725"/>
      <c r="AF52" s="725"/>
      <c r="AG52" s="725"/>
      <c r="AH52" s="725"/>
      <c r="AI52" s="725"/>
      <c r="AJ52" s="725"/>
      <c r="AK52" s="698"/>
      <c r="AL52" s="699"/>
      <c r="AM52" s="725"/>
      <c r="AN52" s="707"/>
      <c r="AO52" s="707"/>
      <c r="AP52" s="730"/>
      <c r="AQ52" s="732">
        <f t="shared" si="13"/>
        <v>1097.1586093062015</v>
      </c>
      <c r="AS52" s="235"/>
    </row>
    <row r="53" spans="1:45" s="230" customFormat="1" ht="12.75" customHeight="1">
      <c r="A53" s="702" t="s">
        <v>351</v>
      </c>
      <c r="B53" s="706"/>
      <c r="C53" s="726">
        <f t="shared" si="27"/>
        <v>0</v>
      </c>
      <c r="D53" s="729"/>
      <c r="E53" s="725"/>
      <c r="F53" s="727"/>
      <c r="G53" s="727"/>
      <c r="H53" s="728">
        <f t="shared" si="28"/>
        <v>0</v>
      </c>
      <c r="I53" s="729"/>
      <c r="J53" s="725"/>
      <c r="K53" s="725"/>
      <c r="L53" s="728">
        <f t="shared" si="29"/>
        <v>176.94052908505745</v>
      </c>
      <c r="M53" s="725"/>
      <c r="N53" s="725"/>
      <c r="O53" s="725"/>
      <c r="P53" s="725">
        <v>0</v>
      </c>
      <c r="Q53" s="725"/>
      <c r="R53" s="725"/>
      <c r="S53" s="725"/>
      <c r="T53" s="725"/>
      <c r="U53" s="725">
        <v>176.94052908505745</v>
      </c>
      <c r="V53" s="725"/>
      <c r="W53" s="727"/>
      <c r="X53" s="727"/>
      <c r="Y53" s="727"/>
      <c r="Z53" s="725"/>
      <c r="AA53" s="707"/>
      <c r="AB53" s="730">
        <f t="shared" si="30"/>
        <v>7.5577223843887342</v>
      </c>
      <c r="AC53" s="731"/>
      <c r="AD53" s="725"/>
      <c r="AE53" s="725"/>
      <c r="AF53" s="725"/>
      <c r="AG53" s="725"/>
      <c r="AH53" s="725"/>
      <c r="AI53" s="565">
        <v>7.5577223843887342</v>
      </c>
      <c r="AJ53" s="565">
        <v>0</v>
      </c>
      <c r="AK53" s="725"/>
      <c r="AL53" s="725"/>
      <c r="AM53" s="725"/>
      <c r="AN53" s="707"/>
      <c r="AO53" s="568"/>
      <c r="AP53" s="730"/>
      <c r="AQ53" s="732">
        <f t="shared" si="13"/>
        <v>184.49825146944619</v>
      </c>
      <c r="AS53" s="235"/>
    </row>
    <row r="54" spans="1:45" s="230" customFormat="1" ht="12.75" customHeight="1">
      <c r="A54" s="557" t="s">
        <v>352</v>
      </c>
      <c r="B54" s="558"/>
      <c r="C54" s="726">
        <f t="shared" si="27"/>
        <v>0</v>
      </c>
      <c r="D54" s="729"/>
      <c r="E54" s="725"/>
      <c r="F54" s="727"/>
      <c r="G54" s="727"/>
      <c r="H54" s="728">
        <f t="shared" si="28"/>
        <v>0</v>
      </c>
      <c r="I54" s="729"/>
      <c r="J54" s="725"/>
      <c r="K54" s="725"/>
      <c r="L54" s="728">
        <f t="shared" si="29"/>
        <v>83.913724293678101</v>
      </c>
      <c r="M54" s="725"/>
      <c r="N54" s="725"/>
      <c r="O54" s="725"/>
      <c r="P54" s="725"/>
      <c r="Q54" s="725"/>
      <c r="R54" s="725"/>
      <c r="S54" s="725"/>
      <c r="T54" s="725"/>
      <c r="U54" s="725">
        <v>83.913724293678101</v>
      </c>
      <c r="V54" s="725"/>
      <c r="W54" s="727"/>
      <c r="X54" s="727"/>
      <c r="Y54" s="727"/>
      <c r="Z54" s="725"/>
      <c r="AA54" s="664"/>
      <c r="AB54" s="730">
        <f t="shared" si="30"/>
        <v>0</v>
      </c>
      <c r="AC54" s="731"/>
      <c r="AD54" s="725"/>
      <c r="AE54" s="725"/>
      <c r="AF54" s="725"/>
      <c r="AG54" s="725"/>
      <c r="AH54" s="725"/>
      <c r="AI54" s="725"/>
      <c r="AJ54" s="725"/>
      <c r="AK54" s="725"/>
      <c r="AL54" s="725"/>
      <c r="AM54" s="725"/>
      <c r="AN54" s="664"/>
      <c r="AO54" s="707"/>
      <c r="AP54" s="730"/>
      <c r="AQ54" s="732">
        <f t="shared" si="13"/>
        <v>83.913724293678101</v>
      </c>
      <c r="AS54" s="235"/>
    </row>
    <row r="55" spans="1:45" s="230" customFormat="1" ht="12.75" customHeight="1">
      <c r="A55" s="616" t="s">
        <v>353</v>
      </c>
      <c r="B55" s="617"/>
      <c r="C55" s="618">
        <f t="shared" si="27"/>
        <v>0</v>
      </c>
      <c r="D55" s="733"/>
      <c r="E55" s="734"/>
      <c r="F55" s="621"/>
      <c r="G55" s="621"/>
      <c r="H55" s="622">
        <f t="shared" si="28"/>
        <v>0</v>
      </c>
      <c r="I55" s="619"/>
      <c r="J55" s="620"/>
      <c r="K55" s="620"/>
      <c r="L55" s="622">
        <f t="shared" si="29"/>
        <v>478.67565344603031</v>
      </c>
      <c r="M55" s="620"/>
      <c r="N55" s="620"/>
      <c r="O55" s="620"/>
      <c r="P55" s="620">
        <v>140.69069390787573</v>
      </c>
      <c r="Q55" s="620"/>
      <c r="R55" s="620"/>
      <c r="S55" s="620">
        <v>0</v>
      </c>
      <c r="T55" s="620"/>
      <c r="U55" s="620">
        <v>337.98495953815461</v>
      </c>
      <c r="V55" s="620"/>
      <c r="W55" s="621"/>
      <c r="X55" s="621"/>
      <c r="Y55" s="621"/>
      <c r="Z55" s="620"/>
      <c r="AA55" s="625">
        <v>22.531112229915806</v>
      </c>
      <c r="AB55" s="623">
        <f t="shared" si="30"/>
        <v>19.110879685596952</v>
      </c>
      <c r="AC55" s="624"/>
      <c r="AD55" s="620"/>
      <c r="AE55" s="620"/>
      <c r="AF55" s="620"/>
      <c r="AG55" s="620"/>
      <c r="AH55" s="620"/>
      <c r="AI55" s="620">
        <v>14.436469176941943</v>
      </c>
      <c r="AJ55" s="620">
        <v>4.6744105086550087</v>
      </c>
      <c r="AK55" s="619"/>
      <c r="AL55" s="621"/>
      <c r="AM55" s="620"/>
      <c r="AN55" s="622"/>
      <c r="AO55" s="625"/>
      <c r="AP55" s="623"/>
      <c r="AQ55" s="626">
        <f t="shared" si="13"/>
        <v>520.3176453615431</v>
      </c>
      <c r="AS55" s="235"/>
    </row>
    <row r="56" spans="1:45" s="231" customFormat="1" ht="12.75" customHeight="1">
      <c r="A56" s="735" t="s">
        <v>140</v>
      </c>
      <c r="B56" s="736"/>
      <c r="C56" s="737">
        <f t="shared" si="27"/>
        <v>245.30288163122782</v>
      </c>
      <c r="D56" s="738">
        <v>84.19758326883435</v>
      </c>
      <c r="E56" s="561">
        <v>153.30941368399715</v>
      </c>
      <c r="F56" s="739"/>
      <c r="G56" s="739">
        <v>7.795884678396293</v>
      </c>
      <c r="H56" s="740">
        <f t="shared" si="28"/>
        <v>196.53880633</v>
      </c>
      <c r="I56" s="738"/>
      <c r="J56" s="636">
        <v>127.70399999999999</v>
      </c>
      <c r="K56" s="636">
        <v>68.834806329999992</v>
      </c>
      <c r="L56" s="740">
        <f t="shared" si="29"/>
        <v>1204.833103126648</v>
      </c>
      <c r="M56" s="636"/>
      <c r="N56" s="636"/>
      <c r="O56" s="636"/>
      <c r="P56" s="636">
        <v>0</v>
      </c>
      <c r="Q56" s="636">
        <v>863.40024232349867</v>
      </c>
      <c r="R56" s="636"/>
      <c r="S56" s="636">
        <v>0</v>
      </c>
      <c r="T56" s="636">
        <v>53.841522983216713</v>
      </c>
      <c r="U56" s="636">
        <v>284.08105108362315</v>
      </c>
      <c r="V56" s="636">
        <v>3.5102867363093639</v>
      </c>
      <c r="W56" s="739"/>
      <c r="X56" s="739"/>
      <c r="Y56" s="739"/>
      <c r="Z56" s="636"/>
      <c r="AA56" s="740">
        <v>604.09375845912712</v>
      </c>
      <c r="AB56" s="741">
        <f t="shared" si="30"/>
        <v>72.095627568998594</v>
      </c>
      <c r="AC56" s="742"/>
      <c r="AD56" s="636"/>
      <c r="AE56" s="636">
        <v>30.588864173321877</v>
      </c>
      <c r="AF56" s="636"/>
      <c r="AG56" s="636"/>
      <c r="AH56" s="636"/>
      <c r="AI56" s="636"/>
      <c r="AJ56" s="636"/>
      <c r="AK56" s="738"/>
      <c r="AL56" s="739">
        <v>13.379590942008413</v>
      </c>
      <c r="AM56" s="636">
        <v>28.127172453668308</v>
      </c>
      <c r="AN56" s="740"/>
      <c r="AO56" s="740">
        <v>702.94473599999992</v>
      </c>
      <c r="AP56" s="741"/>
      <c r="AQ56" s="637">
        <f t="shared" si="13"/>
        <v>3025.8089131160013</v>
      </c>
      <c r="AR56" s="230"/>
      <c r="AS56" s="236"/>
    </row>
    <row r="57" spans="1:45" s="231" customFormat="1" ht="12.75" customHeight="1">
      <c r="A57" s="735" t="s">
        <v>620</v>
      </c>
      <c r="B57" s="736"/>
      <c r="C57" s="737">
        <f>C58+C65</f>
        <v>0.53991879699248124</v>
      </c>
      <c r="D57" s="636">
        <f t="shared" ref="D57:AP57" si="31">D58+D65</f>
        <v>0.53991879699248124</v>
      </c>
      <c r="E57" s="636">
        <f t="shared" si="31"/>
        <v>0</v>
      </c>
      <c r="F57" s="739">
        <f t="shared" si="31"/>
        <v>0</v>
      </c>
      <c r="G57" s="739">
        <f t="shared" si="31"/>
        <v>0</v>
      </c>
      <c r="H57" s="740">
        <f t="shared" si="31"/>
        <v>0</v>
      </c>
      <c r="I57" s="738">
        <f t="shared" si="31"/>
        <v>0</v>
      </c>
      <c r="J57" s="738">
        <f t="shared" si="31"/>
        <v>0</v>
      </c>
      <c r="K57" s="738">
        <f t="shared" si="31"/>
        <v>0</v>
      </c>
      <c r="L57" s="740">
        <f t="shared" si="31"/>
        <v>263.55542937744985</v>
      </c>
      <c r="M57" s="636">
        <f t="shared" si="31"/>
        <v>0</v>
      </c>
      <c r="N57" s="636">
        <f t="shared" si="31"/>
        <v>0</v>
      </c>
      <c r="O57" s="636">
        <f t="shared" si="31"/>
        <v>0</v>
      </c>
      <c r="P57" s="636">
        <f t="shared" si="31"/>
        <v>0</v>
      </c>
      <c r="Q57" s="636">
        <f t="shared" si="31"/>
        <v>73.683977149948603</v>
      </c>
      <c r="R57" s="636">
        <f t="shared" si="31"/>
        <v>0</v>
      </c>
      <c r="S57" s="636">
        <f t="shared" si="31"/>
        <v>0.64284746861564912</v>
      </c>
      <c r="T57" s="636">
        <f t="shared" si="31"/>
        <v>69.72090857001308</v>
      </c>
      <c r="U57" s="636">
        <f t="shared" si="31"/>
        <v>119.50730406570531</v>
      </c>
      <c r="V57" s="636">
        <f t="shared" si="31"/>
        <v>3.9212316723240829E-4</v>
      </c>
      <c r="W57" s="739">
        <f t="shared" si="31"/>
        <v>0</v>
      </c>
      <c r="X57" s="739">
        <f t="shared" si="31"/>
        <v>0</v>
      </c>
      <c r="Y57" s="739">
        <f t="shared" si="31"/>
        <v>0</v>
      </c>
      <c r="Z57" s="738">
        <f t="shared" si="31"/>
        <v>0</v>
      </c>
      <c r="AA57" s="740">
        <f t="shared" si="31"/>
        <v>397.69184770224592</v>
      </c>
      <c r="AB57" s="741">
        <f t="shared" si="31"/>
        <v>41.379323582548558</v>
      </c>
      <c r="AC57" s="742">
        <f t="shared" si="31"/>
        <v>0</v>
      </c>
      <c r="AD57" s="636">
        <f t="shared" si="31"/>
        <v>0</v>
      </c>
      <c r="AE57" s="636">
        <f t="shared" si="31"/>
        <v>17.99312324724</v>
      </c>
      <c r="AF57" s="636">
        <f t="shared" si="31"/>
        <v>0</v>
      </c>
      <c r="AG57" s="636">
        <f t="shared" si="31"/>
        <v>0</v>
      </c>
      <c r="AH57" s="636">
        <f t="shared" si="31"/>
        <v>7.541555368675982</v>
      </c>
      <c r="AI57" s="636">
        <f t="shared" si="31"/>
        <v>0</v>
      </c>
      <c r="AJ57" s="636">
        <f t="shared" si="31"/>
        <v>0</v>
      </c>
      <c r="AK57" s="636">
        <f t="shared" si="31"/>
        <v>0</v>
      </c>
      <c r="AL57" s="636">
        <f t="shared" si="31"/>
        <v>0.16649466165720572</v>
      </c>
      <c r="AM57" s="738">
        <f t="shared" si="31"/>
        <v>15.678150304975372</v>
      </c>
      <c r="AN57" s="740">
        <f t="shared" si="31"/>
        <v>0</v>
      </c>
      <c r="AO57" s="740">
        <f t="shared" si="31"/>
        <v>1019.3925755397834</v>
      </c>
      <c r="AP57" s="741">
        <f t="shared" si="31"/>
        <v>0</v>
      </c>
      <c r="AQ57" s="743">
        <f t="shared" si="13"/>
        <v>1722.5590949990201</v>
      </c>
      <c r="AR57" s="230"/>
      <c r="AS57" s="236"/>
    </row>
    <row r="58" spans="1:45" s="230" customFormat="1" ht="12.75" customHeight="1">
      <c r="A58" s="735" t="s">
        <v>621</v>
      </c>
      <c r="B58" s="736"/>
      <c r="C58" s="737">
        <f t="shared" si="27"/>
        <v>0.53991879699248124</v>
      </c>
      <c r="D58" s="742">
        <v>0.53991879699248124</v>
      </c>
      <c r="E58" s="741">
        <v>0</v>
      </c>
      <c r="F58" s="741">
        <f>SUM(F59:F64)</f>
        <v>0</v>
      </c>
      <c r="G58" s="744">
        <v>0</v>
      </c>
      <c r="H58" s="740">
        <f t="shared" si="28"/>
        <v>0</v>
      </c>
      <c r="I58" s="738">
        <f>SUM(I59:I64)</f>
        <v>0</v>
      </c>
      <c r="J58" s="738">
        <f>SUM(J59:J64)</f>
        <v>0</v>
      </c>
      <c r="K58" s="738">
        <f>SUM(K59:K64)</f>
        <v>0</v>
      </c>
      <c r="L58" s="740">
        <f t="shared" si="29"/>
        <v>123.39297948584372</v>
      </c>
      <c r="M58" s="636">
        <f t="shared" ref="M58:AN58" si="32">SUM(M59:M64)</f>
        <v>0</v>
      </c>
      <c r="N58" s="739">
        <f t="shared" si="32"/>
        <v>0</v>
      </c>
      <c r="O58" s="739">
        <f t="shared" si="32"/>
        <v>0</v>
      </c>
      <c r="P58" s="741">
        <f t="shared" si="32"/>
        <v>0</v>
      </c>
      <c r="Q58" s="741">
        <v>25.817592108194308</v>
      </c>
      <c r="R58" s="741">
        <f t="shared" si="32"/>
        <v>0</v>
      </c>
      <c r="S58" s="741">
        <v>0</v>
      </c>
      <c r="T58" s="741">
        <v>53.639757659500326</v>
      </c>
      <c r="U58" s="741">
        <v>43.935237594981864</v>
      </c>
      <c r="V58" s="741">
        <f t="shared" si="32"/>
        <v>3.9212316723240829E-4</v>
      </c>
      <c r="W58" s="741">
        <f t="shared" si="32"/>
        <v>0</v>
      </c>
      <c r="X58" s="741">
        <f t="shared" si="32"/>
        <v>0</v>
      </c>
      <c r="Y58" s="739">
        <f t="shared" si="32"/>
        <v>0</v>
      </c>
      <c r="Z58" s="738">
        <f t="shared" si="32"/>
        <v>0</v>
      </c>
      <c r="AA58" s="740">
        <v>205.61511570855646</v>
      </c>
      <c r="AB58" s="741">
        <f t="shared" si="30"/>
        <v>23.586836774290585</v>
      </c>
      <c r="AC58" s="742">
        <f t="shared" si="32"/>
        <v>0</v>
      </c>
      <c r="AD58" s="636">
        <f t="shared" si="32"/>
        <v>0</v>
      </c>
      <c r="AE58" s="636">
        <f t="shared" si="32"/>
        <v>5.0179504193776099</v>
      </c>
      <c r="AF58" s="636"/>
      <c r="AG58" s="636">
        <f t="shared" si="32"/>
        <v>0</v>
      </c>
      <c r="AH58" s="636">
        <f t="shared" si="32"/>
        <v>2.7242413882803982</v>
      </c>
      <c r="AI58" s="636">
        <f t="shared" si="32"/>
        <v>0</v>
      </c>
      <c r="AJ58" s="636">
        <f t="shared" si="32"/>
        <v>0</v>
      </c>
      <c r="AK58" s="636"/>
      <c r="AL58" s="636">
        <v>0.16649466165720572</v>
      </c>
      <c r="AM58" s="739">
        <v>15.678150304975372</v>
      </c>
      <c r="AN58" s="740">
        <f t="shared" si="32"/>
        <v>0</v>
      </c>
      <c r="AO58" s="740">
        <v>684.51532146142654</v>
      </c>
      <c r="AP58" s="741">
        <f t="shared" ref="AP58" si="33">SUM(AP59:AP64)</f>
        <v>0</v>
      </c>
      <c r="AQ58" s="743">
        <f t="shared" si="13"/>
        <v>1037.6501722271098</v>
      </c>
      <c r="AS58" s="235"/>
    </row>
    <row r="59" spans="1:45" s="241" customFormat="1" ht="12.75" customHeight="1">
      <c r="A59" s="745" t="s">
        <v>622</v>
      </c>
      <c r="B59" s="746" t="s">
        <v>623</v>
      </c>
      <c r="C59" s="606">
        <f t="shared" si="27"/>
        <v>9.9984962406015031E-3</v>
      </c>
      <c r="D59" s="747">
        <v>9.9984962406015031E-3</v>
      </c>
      <c r="E59" s="611"/>
      <c r="F59" s="611"/>
      <c r="G59" s="652"/>
      <c r="H59" s="610">
        <f t="shared" si="28"/>
        <v>0</v>
      </c>
      <c r="I59" s="721"/>
      <c r="J59" s="721"/>
      <c r="K59" s="721"/>
      <c r="L59" s="610">
        <f t="shared" si="29"/>
        <v>32.327049654868127</v>
      </c>
      <c r="M59" s="654"/>
      <c r="N59" s="748"/>
      <c r="O59" s="748"/>
      <c r="P59" s="611"/>
      <c r="Q59" s="749">
        <v>8.0278057943609493</v>
      </c>
      <c r="R59" s="611"/>
      <c r="S59" s="749">
        <v>0</v>
      </c>
      <c r="T59" s="749">
        <v>15.105482293518097</v>
      </c>
      <c r="U59" s="749">
        <v>9.19376156698908</v>
      </c>
      <c r="V59" s="749">
        <v>0</v>
      </c>
      <c r="W59" s="611"/>
      <c r="X59" s="611"/>
      <c r="Y59" s="748"/>
      <c r="Z59" s="721"/>
      <c r="AA59" s="750">
        <v>57.532573159401849</v>
      </c>
      <c r="AB59" s="611">
        <f t="shared" si="30"/>
        <v>1.2773333532141125</v>
      </c>
      <c r="AC59" s="751"/>
      <c r="AD59" s="654"/>
      <c r="AE59" s="752">
        <v>1.2773333532141125</v>
      </c>
      <c r="AF59" s="752"/>
      <c r="AG59" s="752"/>
      <c r="AH59" s="752">
        <v>0</v>
      </c>
      <c r="AI59" s="752"/>
      <c r="AJ59" s="752"/>
      <c r="AK59" s="752"/>
      <c r="AL59" s="752">
        <v>0</v>
      </c>
      <c r="AM59" s="753">
        <v>0</v>
      </c>
      <c r="AN59" s="610"/>
      <c r="AO59" s="750">
        <v>227.43297899256885</v>
      </c>
      <c r="AP59" s="611"/>
      <c r="AQ59" s="754">
        <f t="shared" si="13"/>
        <v>318.57993365629352</v>
      </c>
      <c r="AS59" s="235"/>
    </row>
    <row r="60" spans="1:45" s="241" customFormat="1" ht="12.75" customHeight="1">
      <c r="A60" s="745" t="s">
        <v>624</v>
      </c>
      <c r="B60" s="746" t="s">
        <v>625</v>
      </c>
      <c r="C60" s="559">
        <f t="shared" si="27"/>
        <v>1.0998345864661654E-2</v>
      </c>
      <c r="D60" s="747">
        <v>1.0998345864661654E-2</v>
      </c>
      <c r="E60" s="566"/>
      <c r="F60" s="566"/>
      <c r="G60" s="755"/>
      <c r="H60" s="563">
        <f t="shared" si="28"/>
        <v>0</v>
      </c>
      <c r="I60" s="560"/>
      <c r="J60" s="560"/>
      <c r="K60" s="560"/>
      <c r="L60" s="563">
        <f t="shared" si="29"/>
        <v>24.137833390343388</v>
      </c>
      <c r="M60" s="570"/>
      <c r="N60" s="561"/>
      <c r="O60" s="561"/>
      <c r="P60" s="566"/>
      <c r="Q60" s="749">
        <v>5.3543303518790886</v>
      </c>
      <c r="R60" s="566"/>
      <c r="S60" s="749">
        <v>0</v>
      </c>
      <c r="T60" s="749">
        <v>5.393987425308894</v>
      </c>
      <c r="U60" s="749">
        <v>13.389515613155407</v>
      </c>
      <c r="V60" s="749">
        <v>0</v>
      </c>
      <c r="W60" s="566"/>
      <c r="X60" s="566"/>
      <c r="Y60" s="561"/>
      <c r="Z60" s="560"/>
      <c r="AA60" s="750">
        <v>17.076846566169994</v>
      </c>
      <c r="AB60" s="566">
        <f t="shared" si="30"/>
        <v>6.7770858417357749E-2</v>
      </c>
      <c r="AC60" s="756"/>
      <c r="AD60" s="570"/>
      <c r="AE60" s="757">
        <v>6.7770858417357749E-2</v>
      </c>
      <c r="AF60" s="757"/>
      <c r="AG60" s="757"/>
      <c r="AH60" s="757">
        <v>0</v>
      </c>
      <c r="AI60" s="757"/>
      <c r="AJ60" s="757"/>
      <c r="AK60" s="757"/>
      <c r="AL60" s="757">
        <v>0</v>
      </c>
      <c r="AM60" s="758">
        <v>0</v>
      </c>
      <c r="AN60" s="563"/>
      <c r="AO60" s="750">
        <v>69.841724309024471</v>
      </c>
      <c r="AP60" s="566"/>
      <c r="AQ60" s="759">
        <f t="shared" si="13"/>
        <v>111.13517346981988</v>
      </c>
      <c r="AS60" s="235"/>
    </row>
    <row r="61" spans="1:45" s="241" customFormat="1" ht="12.75" customHeight="1">
      <c r="A61" s="745" t="s">
        <v>626</v>
      </c>
      <c r="B61" s="746" t="s">
        <v>627</v>
      </c>
      <c r="C61" s="559">
        <f t="shared" si="27"/>
        <v>0.48392721804511274</v>
      </c>
      <c r="D61" s="747">
        <v>0.48392721804511274</v>
      </c>
      <c r="E61" s="566"/>
      <c r="F61" s="566"/>
      <c r="G61" s="755"/>
      <c r="H61" s="563">
        <f t="shared" si="28"/>
        <v>0</v>
      </c>
      <c r="I61" s="560"/>
      <c r="J61" s="560"/>
      <c r="K61" s="560"/>
      <c r="L61" s="563">
        <f t="shared" si="29"/>
        <v>31.333616383670492</v>
      </c>
      <c r="M61" s="570"/>
      <c r="N61" s="561"/>
      <c r="O61" s="561"/>
      <c r="P61" s="566"/>
      <c r="Q61" s="749">
        <v>4.9790317487546645</v>
      </c>
      <c r="R61" s="566"/>
      <c r="S61" s="749">
        <v>0</v>
      </c>
      <c r="T61" s="749">
        <v>19.202826984364982</v>
      </c>
      <c r="U61" s="749">
        <v>7.1517576505508451</v>
      </c>
      <c r="V61" s="749">
        <v>0</v>
      </c>
      <c r="W61" s="566"/>
      <c r="X61" s="566"/>
      <c r="Y61" s="561"/>
      <c r="Z61" s="560"/>
      <c r="AA61" s="750">
        <v>37.147190784142389</v>
      </c>
      <c r="AB61" s="566">
        <f t="shared" si="30"/>
        <v>2.1318354810851448</v>
      </c>
      <c r="AC61" s="756"/>
      <c r="AD61" s="570"/>
      <c r="AE61" s="757">
        <v>2.1318354810851448</v>
      </c>
      <c r="AF61" s="757"/>
      <c r="AG61" s="757"/>
      <c r="AH61" s="757">
        <v>0</v>
      </c>
      <c r="AI61" s="757"/>
      <c r="AJ61" s="757"/>
      <c r="AK61" s="757"/>
      <c r="AL61" s="757">
        <v>0</v>
      </c>
      <c r="AM61" s="758">
        <v>0</v>
      </c>
      <c r="AN61" s="563"/>
      <c r="AO61" s="750">
        <v>87.896378653102275</v>
      </c>
      <c r="AP61" s="566"/>
      <c r="AQ61" s="759">
        <f t="shared" si="13"/>
        <v>158.99294852004542</v>
      </c>
      <c r="AS61" s="235"/>
    </row>
    <row r="62" spans="1:45" s="241" customFormat="1" ht="12.75" customHeight="1">
      <c r="A62" s="745" t="s">
        <v>628</v>
      </c>
      <c r="B62" s="746" t="s">
        <v>629</v>
      </c>
      <c r="C62" s="559">
        <f t="shared" si="27"/>
        <v>0</v>
      </c>
      <c r="D62" s="747">
        <v>0</v>
      </c>
      <c r="E62" s="566"/>
      <c r="F62" s="566"/>
      <c r="G62" s="755"/>
      <c r="H62" s="563">
        <f t="shared" si="28"/>
        <v>0</v>
      </c>
      <c r="I62" s="560"/>
      <c r="J62" s="560"/>
      <c r="K62" s="560"/>
      <c r="L62" s="563">
        <f t="shared" si="29"/>
        <v>5.4379501694305112</v>
      </c>
      <c r="M62" s="570"/>
      <c r="N62" s="561"/>
      <c r="O62" s="561"/>
      <c r="P62" s="566"/>
      <c r="Q62" s="749">
        <v>1.5602301478206442</v>
      </c>
      <c r="R62" s="566"/>
      <c r="S62" s="749">
        <v>0</v>
      </c>
      <c r="T62" s="749">
        <v>1.6396331271347122</v>
      </c>
      <c r="U62" s="749">
        <v>2.2380868944751544</v>
      </c>
      <c r="V62" s="749">
        <v>0</v>
      </c>
      <c r="W62" s="566"/>
      <c r="X62" s="566"/>
      <c r="Y62" s="561"/>
      <c r="Z62" s="560"/>
      <c r="AA62" s="750">
        <v>9.7954001243574229</v>
      </c>
      <c r="AB62" s="566">
        <f t="shared" si="30"/>
        <v>3.8305267801115254E-2</v>
      </c>
      <c r="AC62" s="756"/>
      <c r="AD62" s="570"/>
      <c r="AE62" s="757">
        <v>3.8305267801115254E-2</v>
      </c>
      <c r="AF62" s="757"/>
      <c r="AG62" s="757"/>
      <c r="AH62" s="757">
        <v>0</v>
      </c>
      <c r="AI62" s="757"/>
      <c r="AJ62" s="757"/>
      <c r="AK62" s="757"/>
      <c r="AL62" s="757">
        <v>0</v>
      </c>
      <c r="AM62" s="758">
        <v>0</v>
      </c>
      <c r="AN62" s="563"/>
      <c r="AO62" s="750">
        <v>168.21982573047418</v>
      </c>
      <c r="AP62" s="566"/>
      <c r="AQ62" s="759">
        <f t="shared" si="13"/>
        <v>183.49148129206324</v>
      </c>
      <c r="AS62" s="235"/>
    </row>
    <row r="63" spans="1:45" s="241" customFormat="1" ht="12.75" customHeight="1">
      <c r="A63" s="745" t="s">
        <v>630</v>
      </c>
      <c r="B63" s="746" t="s">
        <v>631</v>
      </c>
      <c r="C63" s="559">
        <f t="shared" si="27"/>
        <v>3.4994736842105266E-2</v>
      </c>
      <c r="D63" s="760">
        <v>3.4994736842105266E-2</v>
      </c>
      <c r="E63" s="566"/>
      <c r="F63" s="566"/>
      <c r="G63" s="755"/>
      <c r="H63" s="563">
        <f t="shared" si="28"/>
        <v>0</v>
      </c>
      <c r="I63" s="560"/>
      <c r="J63" s="560"/>
      <c r="K63" s="560"/>
      <c r="L63" s="563">
        <f t="shared" si="29"/>
        <v>2.5994355613729017</v>
      </c>
      <c r="M63" s="570"/>
      <c r="N63" s="561"/>
      <c r="O63" s="561"/>
      <c r="P63" s="566"/>
      <c r="Q63" s="761">
        <v>0.92243336442098911</v>
      </c>
      <c r="R63" s="566"/>
      <c r="S63" s="761">
        <v>0</v>
      </c>
      <c r="T63" s="761">
        <v>0.18424146092891816</v>
      </c>
      <c r="U63" s="761">
        <v>1.4927607360229946</v>
      </c>
      <c r="V63" s="761">
        <v>0</v>
      </c>
      <c r="W63" s="566"/>
      <c r="X63" s="566"/>
      <c r="Y63" s="561"/>
      <c r="Z63" s="560"/>
      <c r="AA63" s="762">
        <v>15.333339022313094</v>
      </c>
      <c r="AB63" s="566">
        <f t="shared" si="30"/>
        <v>0</v>
      </c>
      <c r="AC63" s="756"/>
      <c r="AD63" s="570"/>
      <c r="AE63" s="757">
        <v>0</v>
      </c>
      <c r="AF63" s="757"/>
      <c r="AG63" s="757"/>
      <c r="AH63" s="757">
        <v>0</v>
      </c>
      <c r="AI63" s="757"/>
      <c r="AJ63" s="757"/>
      <c r="AK63" s="757"/>
      <c r="AL63" s="757">
        <v>0</v>
      </c>
      <c r="AM63" s="758">
        <v>0</v>
      </c>
      <c r="AN63" s="563"/>
      <c r="AO63" s="762">
        <v>37.594013086148287</v>
      </c>
      <c r="AP63" s="566"/>
      <c r="AQ63" s="759">
        <f t="shared" si="13"/>
        <v>55.561782406676386</v>
      </c>
      <c r="AS63" s="235"/>
    </row>
    <row r="64" spans="1:45" s="241" customFormat="1" ht="12.75" customHeight="1">
      <c r="A64" s="763" t="s">
        <v>632</v>
      </c>
      <c r="B64" s="764"/>
      <c r="C64" s="618">
        <f t="shared" si="27"/>
        <v>0</v>
      </c>
      <c r="D64" s="760">
        <v>0</v>
      </c>
      <c r="E64" s="623"/>
      <c r="F64" s="623"/>
      <c r="G64" s="765"/>
      <c r="H64" s="622">
        <f t="shared" si="28"/>
        <v>0</v>
      </c>
      <c r="I64" s="733"/>
      <c r="J64" s="733"/>
      <c r="K64" s="733"/>
      <c r="L64" s="622">
        <f t="shared" si="29"/>
        <v>27.557094326158314</v>
      </c>
      <c r="M64" s="734"/>
      <c r="N64" s="766"/>
      <c r="O64" s="766"/>
      <c r="P64" s="623"/>
      <c r="Q64" s="761">
        <v>4.9737607009579721</v>
      </c>
      <c r="R64" s="623"/>
      <c r="S64" s="761">
        <v>0</v>
      </c>
      <c r="T64" s="761">
        <v>12.11358636824472</v>
      </c>
      <c r="U64" s="761">
        <v>10.469355133788389</v>
      </c>
      <c r="V64" s="761">
        <v>3.9212316723240829E-4</v>
      </c>
      <c r="W64" s="623"/>
      <c r="X64" s="623"/>
      <c r="Y64" s="766"/>
      <c r="Z64" s="733"/>
      <c r="AA64" s="762">
        <v>68.729766052171726</v>
      </c>
      <c r="AB64" s="623">
        <f t="shared" si="30"/>
        <v>20.071591813772855</v>
      </c>
      <c r="AC64" s="767"/>
      <c r="AD64" s="734"/>
      <c r="AE64" s="768">
        <v>1.5027054588598796</v>
      </c>
      <c r="AF64" s="768"/>
      <c r="AG64" s="768"/>
      <c r="AH64" s="768">
        <v>2.7242413882803982</v>
      </c>
      <c r="AI64" s="768"/>
      <c r="AJ64" s="768"/>
      <c r="AK64" s="768"/>
      <c r="AL64" s="768">
        <v>0.16649466165720572</v>
      </c>
      <c r="AM64" s="769">
        <v>15.678150304975372</v>
      </c>
      <c r="AN64" s="622"/>
      <c r="AO64" s="762">
        <v>93.530400690108436</v>
      </c>
      <c r="AP64" s="623"/>
      <c r="AQ64" s="770">
        <f t="shared" si="13"/>
        <v>209.88885288221132</v>
      </c>
      <c r="AS64" s="235"/>
    </row>
    <row r="65" spans="1:45" s="230" customFormat="1" ht="12.75" customHeight="1">
      <c r="A65" s="735" t="s">
        <v>633</v>
      </c>
      <c r="B65" s="736"/>
      <c r="C65" s="618">
        <f>SUM(D65:G65)</f>
        <v>0</v>
      </c>
      <c r="D65" s="742">
        <f>SUM(D66:D69)</f>
        <v>0</v>
      </c>
      <c r="E65" s="710"/>
      <c r="F65" s="710"/>
      <c r="G65" s="711"/>
      <c r="H65" s="622">
        <f>SUM(I65:K65)</f>
        <v>0</v>
      </c>
      <c r="I65" s="619"/>
      <c r="J65" s="620">
        <v>0</v>
      </c>
      <c r="K65" s="620">
        <v>0</v>
      </c>
      <c r="L65" s="622">
        <f>SUM(M65:Z65)</f>
        <v>140.16244989160612</v>
      </c>
      <c r="M65" s="620"/>
      <c r="N65" s="621"/>
      <c r="O65" s="621"/>
      <c r="P65" s="710"/>
      <c r="Q65" s="741">
        <v>47.866385041754299</v>
      </c>
      <c r="R65" s="710"/>
      <c r="S65" s="741">
        <v>0.64284746861564912</v>
      </c>
      <c r="T65" s="741">
        <v>16.081150910512747</v>
      </c>
      <c r="U65" s="741">
        <v>75.572066470723442</v>
      </c>
      <c r="V65" s="741">
        <f>SUM(V66:V69)</f>
        <v>0</v>
      </c>
      <c r="W65" s="710"/>
      <c r="X65" s="710"/>
      <c r="Y65" s="621"/>
      <c r="Z65" s="620"/>
      <c r="AA65" s="740">
        <v>192.07673199368949</v>
      </c>
      <c r="AB65" s="623">
        <f>SUM(AC65:AM65)</f>
        <v>17.792486808257973</v>
      </c>
      <c r="AC65" s="624"/>
      <c r="AD65" s="620"/>
      <c r="AE65" s="620">
        <f>SUM(AE66:AE69)</f>
        <v>12.975172827862389</v>
      </c>
      <c r="AF65" s="620"/>
      <c r="AG65" s="620"/>
      <c r="AH65" s="620">
        <v>4.8173139803955838</v>
      </c>
      <c r="AI65" s="620"/>
      <c r="AJ65" s="620"/>
      <c r="AK65" s="620"/>
      <c r="AL65" s="620"/>
      <c r="AM65" s="621"/>
      <c r="AN65" s="622"/>
      <c r="AO65" s="740">
        <v>334.87725407835688</v>
      </c>
      <c r="AP65" s="623"/>
      <c r="AQ65" s="771">
        <f t="shared" si="13"/>
        <v>684.90892277191051</v>
      </c>
      <c r="AS65" s="235"/>
    </row>
    <row r="66" spans="1:45" s="241" customFormat="1" ht="12.75" customHeight="1">
      <c r="A66" s="772" t="s">
        <v>634</v>
      </c>
      <c r="B66" s="773" t="s">
        <v>635</v>
      </c>
      <c r="C66" s="606">
        <f t="shared" ref="C66:C69" si="34">SUM(D66:G66)</f>
        <v>0</v>
      </c>
      <c r="D66" s="774">
        <v>0</v>
      </c>
      <c r="E66" s="655"/>
      <c r="F66" s="655"/>
      <c r="G66" s="775"/>
      <c r="H66" s="610">
        <f t="shared" ref="H66:H69" si="35">SUM(I66:K66)</f>
        <v>0</v>
      </c>
      <c r="I66" s="776"/>
      <c r="J66" s="608"/>
      <c r="K66" s="777"/>
      <c r="L66" s="610">
        <f t="shared" ref="L66:L69" si="36">SUM(M66:Z66)</f>
        <v>11.083842216367572</v>
      </c>
      <c r="M66" s="776"/>
      <c r="N66" s="655"/>
      <c r="O66" s="609"/>
      <c r="P66" s="655"/>
      <c r="Q66" s="778">
        <v>0.2530102942411856</v>
      </c>
      <c r="R66" s="655"/>
      <c r="S66" s="778">
        <v>0.3129380842779857</v>
      </c>
      <c r="T66" s="778">
        <v>1.0521462045500485</v>
      </c>
      <c r="U66" s="778">
        <v>9.4657476332983528</v>
      </c>
      <c r="V66" s="778">
        <v>0</v>
      </c>
      <c r="W66" s="655"/>
      <c r="X66" s="655"/>
      <c r="Y66" s="609"/>
      <c r="Z66" s="608"/>
      <c r="AA66" s="779">
        <v>8.4437848043838404</v>
      </c>
      <c r="AB66" s="611">
        <f t="shared" ref="AB66:AB69" si="37">SUM(AC66:AM66)</f>
        <v>5.4773432101994155</v>
      </c>
      <c r="AC66" s="612"/>
      <c r="AD66" s="608"/>
      <c r="AE66" s="608">
        <v>0.66002922980383205</v>
      </c>
      <c r="AF66" s="608"/>
      <c r="AG66" s="608"/>
      <c r="AH66" s="608">
        <v>4.8173139803955838</v>
      </c>
      <c r="AI66" s="608"/>
      <c r="AJ66" s="608"/>
      <c r="AK66" s="608"/>
      <c r="AL66" s="608"/>
      <c r="AM66" s="609"/>
      <c r="AN66" s="610"/>
      <c r="AO66" s="779">
        <v>55.850156928746095</v>
      </c>
      <c r="AP66" s="611"/>
      <c r="AQ66" s="638">
        <f t="shared" si="13"/>
        <v>80.85512715969692</v>
      </c>
      <c r="AS66" s="235"/>
    </row>
    <row r="67" spans="1:45" s="241" customFormat="1" ht="12.75" customHeight="1">
      <c r="A67" s="780" t="s">
        <v>636</v>
      </c>
      <c r="B67" s="781">
        <v>84</v>
      </c>
      <c r="C67" s="559">
        <f t="shared" si="34"/>
        <v>0</v>
      </c>
      <c r="D67" s="782">
        <v>0</v>
      </c>
      <c r="E67" s="704"/>
      <c r="F67" s="704"/>
      <c r="G67" s="705"/>
      <c r="H67" s="563">
        <f t="shared" si="35"/>
        <v>0</v>
      </c>
      <c r="I67" s="783"/>
      <c r="J67" s="565"/>
      <c r="K67" s="784"/>
      <c r="L67" s="563">
        <f t="shared" si="36"/>
        <v>59.95397707725251</v>
      </c>
      <c r="M67" s="783"/>
      <c r="N67" s="704"/>
      <c r="O67" s="562"/>
      <c r="P67" s="704"/>
      <c r="Q67" s="785">
        <v>11.981091641879475</v>
      </c>
      <c r="R67" s="704"/>
      <c r="S67" s="785">
        <v>0.20048339509750321</v>
      </c>
      <c r="T67" s="785">
        <v>7.85054023769447</v>
      </c>
      <c r="U67" s="785">
        <v>39.921861802581063</v>
      </c>
      <c r="V67" s="785">
        <v>0</v>
      </c>
      <c r="W67" s="704"/>
      <c r="X67" s="704"/>
      <c r="Y67" s="562"/>
      <c r="Z67" s="565"/>
      <c r="AA67" s="786">
        <v>66.187230278743982</v>
      </c>
      <c r="AB67" s="566">
        <f t="shared" si="37"/>
        <v>9.4672942649987188</v>
      </c>
      <c r="AC67" s="567"/>
      <c r="AD67" s="565"/>
      <c r="AE67" s="565">
        <v>9.4672942649987188</v>
      </c>
      <c r="AF67" s="565"/>
      <c r="AG67" s="565"/>
      <c r="AH67" s="565">
        <v>0</v>
      </c>
      <c r="AI67" s="565"/>
      <c r="AJ67" s="565"/>
      <c r="AK67" s="565"/>
      <c r="AL67" s="565"/>
      <c r="AM67" s="562"/>
      <c r="AN67" s="563"/>
      <c r="AO67" s="786">
        <v>154.30936641104071</v>
      </c>
      <c r="AP67" s="566"/>
      <c r="AQ67" s="569">
        <f t="shared" si="13"/>
        <v>289.91786803203593</v>
      </c>
      <c r="AS67" s="235"/>
    </row>
    <row r="68" spans="1:45" s="241" customFormat="1" ht="12.75" customHeight="1">
      <c r="A68" s="745" t="s">
        <v>637</v>
      </c>
      <c r="B68" s="746">
        <v>85</v>
      </c>
      <c r="C68" s="559">
        <f t="shared" si="34"/>
        <v>0</v>
      </c>
      <c r="D68" s="782">
        <v>0</v>
      </c>
      <c r="E68" s="704"/>
      <c r="F68" s="704"/>
      <c r="G68" s="705"/>
      <c r="H68" s="563">
        <f t="shared" si="35"/>
        <v>0</v>
      </c>
      <c r="I68" s="783"/>
      <c r="J68" s="565"/>
      <c r="K68" s="784"/>
      <c r="L68" s="563">
        <f t="shared" si="36"/>
        <v>42.831123161298109</v>
      </c>
      <c r="M68" s="783"/>
      <c r="N68" s="704"/>
      <c r="O68" s="562"/>
      <c r="P68" s="704"/>
      <c r="Q68" s="785">
        <v>21.281328374361724</v>
      </c>
      <c r="R68" s="704"/>
      <c r="S68" s="785">
        <v>3.2197887029108509E-2</v>
      </c>
      <c r="T68" s="785">
        <v>4.5585277188324795</v>
      </c>
      <c r="U68" s="785">
        <v>16.959069181074796</v>
      </c>
      <c r="V68" s="785">
        <v>0</v>
      </c>
      <c r="W68" s="704"/>
      <c r="X68" s="704"/>
      <c r="Y68" s="562"/>
      <c r="Z68" s="565"/>
      <c r="AA68" s="786">
        <v>53.929324235430926</v>
      </c>
      <c r="AB68" s="566">
        <f t="shared" si="37"/>
        <v>1.3804629203709615</v>
      </c>
      <c r="AC68" s="567"/>
      <c r="AD68" s="565"/>
      <c r="AE68" s="565">
        <v>1.3804629203709615</v>
      </c>
      <c r="AF68" s="565"/>
      <c r="AG68" s="565"/>
      <c r="AH68" s="565">
        <v>0</v>
      </c>
      <c r="AI68" s="565"/>
      <c r="AJ68" s="565"/>
      <c r="AK68" s="565"/>
      <c r="AL68" s="565"/>
      <c r="AM68" s="562"/>
      <c r="AN68" s="563"/>
      <c r="AO68" s="786">
        <v>74.178871141573552</v>
      </c>
      <c r="AP68" s="566"/>
      <c r="AQ68" s="569">
        <f t="shared" si="13"/>
        <v>172.31978145867356</v>
      </c>
      <c r="AS68" s="235"/>
    </row>
    <row r="69" spans="1:45" s="241" customFormat="1" ht="12.75" customHeight="1">
      <c r="A69" s="763" t="s">
        <v>638</v>
      </c>
      <c r="B69" s="764" t="s">
        <v>639</v>
      </c>
      <c r="C69" s="726">
        <f t="shared" si="34"/>
        <v>0</v>
      </c>
      <c r="D69" s="787">
        <v>0</v>
      </c>
      <c r="E69" s="710"/>
      <c r="F69" s="710"/>
      <c r="G69" s="711"/>
      <c r="H69" s="728">
        <f t="shared" si="35"/>
        <v>0</v>
      </c>
      <c r="I69" s="788"/>
      <c r="J69" s="620"/>
      <c r="K69" s="789"/>
      <c r="L69" s="728">
        <f t="shared" si="36"/>
        <v>26.293507436687939</v>
      </c>
      <c r="M69" s="788"/>
      <c r="N69" s="710"/>
      <c r="O69" s="621"/>
      <c r="P69" s="710"/>
      <c r="Q69" s="790">
        <v>14.35095473127191</v>
      </c>
      <c r="R69" s="710"/>
      <c r="S69" s="790">
        <v>9.7228102211051784E-2</v>
      </c>
      <c r="T69" s="790">
        <v>2.6199367494357482</v>
      </c>
      <c r="U69" s="790">
        <v>9.2253878537692273</v>
      </c>
      <c r="V69" s="790">
        <v>0</v>
      </c>
      <c r="W69" s="710"/>
      <c r="X69" s="710"/>
      <c r="Y69" s="621"/>
      <c r="Z69" s="620"/>
      <c r="AA69" s="791">
        <v>63.51639267513076</v>
      </c>
      <c r="AB69" s="730">
        <f t="shared" si="37"/>
        <v>1.4673864126888767</v>
      </c>
      <c r="AC69" s="731"/>
      <c r="AD69" s="725"/>
      <c r="AE69" s="725">
        <v>1.4673864126888767</v>
      </c>
      <c r="AF69" s="725"/>
      <c r="AG69" s="725"/>
      <c r="AH69" s="725">
        <v>0</v>
      </c>
      <c r="AI69" s="725"/>
      <c r="AJ69" s="725"/>
      <c r="AK69" s="725"/>
      <c r="AL69" s="725"/>
      <c r="AM69" s="727"/>
      <c r="AN69" s="728"/>
      <c r="AO69" s="791">
        <v>50.538859596996531</v>
      </c>
      <c r="AP69" s="730"/>
      <c r="AQ69" s="732">
        <f t="shared" si="13"/>
        <v>141.81614612150412</v>
      </c>
      <c r="AS69" s="235"/>
    </row>
    <row r="70" spans="1:45" s="231" customFormat="1" ht="12.75" customHeight="1">
      <c r="A70" s="640" t="s">
        <v>357</v>
      </c>
      <c r="B70" s="641"/>
      <c r="C70" s="642">
        <f>SUM(D70:G70)</f>
        <v>0</v>
      </c>
      <c r="D70" s="792">
        <v>0</v>
      </c>
      <c r="E70" s="793"/>
      <c r="F70" s="794"/>
      <c r="G70" s="794"/>
      <c r="H70" s="646">
        <f>SUM(I70:K70)</f>
        <v>0</v>
      </c>
      <c r="I70" s="792"/>
      <c r="J70" s="793"/>
      <c r="K70" s="793"/>
      <c r="L70" s="646">
        <f>SUM(M70:Z70)</f>
        <v>175.46549158593075</v>
      </c>
      <c r="M70" s="793"/>
      <c r="N70" s="793"/>
      <c r="O70" s="793"/>
      <c r="P70" s="793">
        <v>0</v>
      </c>
      <c r="Q70" s="793">
        <v>0</v>
      </c>
      <c r="R70" s="793"/>
      <c r="S70" s="793"/>
      <c r="T70" s="795">
        <v>0</v>
      </c>
      <c r="U70" s="793">
        <v>175.46549158593075</v>
      </c>
      <c r="V70" s="608"/>
      <c r="W70" s="794"/>
      <c r="X70" s="794"/>
      <c r="Y70" s="794"/>
      <c r="Z70" s="793"/>
      <c r="AA70" s="646">
        <v>0</v>
      </c>
      <c r="AB70" s="647">
        <f>SUM(AC70:AM70)</f>
        <v>0</v>
      </c>
      <c r="AC70" s="796"/>
      <c r="AD70" s="793"/>
      <c r="AE70" s="793"/>
      <c r="AF70" s="793"/>
      <c r="AG70" s="793"/>
      <c r="AH70" s="793"/>
      <c r="AI70" s="793"/>
      <c r="AJ70" s="793"/>
      <c r="AK70" s="792"/>
      <c r="AL70" s="794"/>
      <c r="AM70" s="793"/>
      <c r="AN70" s="646"/>
      <c r="AO70" s="646">
        <v>47.988</v>
      </c>
      <c r="AP70" s="647"/>
      <c r="AQ70" s="637">
        <f t="shared" si="13"/>
        <v>223.45349158593075</v>
      </c>
      <c r="AR70" s="230"/>
      <c r="AS70" s="236"/>
    </row>
    <row r="71" spans="1:45" s="231" customFormat="1" ht="12.75" customHeight="1" thickBot="1">
      <c r="A71" s="797" t="s">
        <v>358</v>
      </c>
      <c r="B71" s="617"/>
      <c r="C71" s="618">
        <f>SUM(D71:G71)</f>
        <v>0</v>
      </c>
      <c r="D71" s="619"/>
      <c r="E71" s="620"/>
      <c r="F71" s="621"/>
      <c r="G71" s="621"/>
      <c r="H71" s="622">
        <f>SUM(I71:K71)</f>
        <v>0</v>
      </c>
      <c r="I71" s="619"/>
      <c r="J71" s="620"/>
      <c r="K71" s="620"/>
      <c r="L71" s="622">
        <f>SUM(M71:Z71)</f>
        <v>27.249865733664667</v>
      </c>
      <c r="M71" s="620"/>
      <c r="N71" s="620"/>
      <c r="O71" s="620"/>
      <c r="P71" s="620"/>
      <c r="Q71" s="620"/>
      <c r="R71" s="620"/>
      <c r="S71" s="620"/>
      <c r="T71" s="620"/>
      <c r="U71" s="734">
        <v>27.249865733664667</v>
      </c>
      <c r="V71" s="620"/>
      <c r="W71" s="621"/>
      <c r="X71" s="621"/>
      <c r="Y71" s="621"/>
      <c r="Z71" s="620"/>
      <c r="AA71" s="622"/>
      <c r="AB71" s="623">
        <f>SUM(AC71:AM71)</f>
        <v>0</v>
      </c>
      <c r="AC71" s="624"/>
      <c r="AD71" s="620"/>
      <c r="AE71" s="620"/>
      <c r="AF71" s="620"/>
      <c r="AG71" s="620"/>
      <c r="AH71" s="620"/>
      <c r="AI71" s="620"/>
      <c r="AJ71" s="620"/>
      <c r="AK71" s="619"/>
      <c r="AL71" s="621"/>
      <c r="AM71" s="620"/>
      <c r="AN71" s="622"/>
      <c r="AO71" s="625"/>
      <c r="AP71" s="623"/>
      <c r="AQ71" s="798">
        <f t="shared" si="13"/>
        <v>27.249865733664667</v>
      </c>
      <c r="AR71" s="230"/>
      <c r="AS71" s="236"/>
    </row>
    <row r="72" spans="1:45" s="231" customFormat="1" ht="12.75" customHeight="1" thickBot="1">
      <c r="A72" s="669" t="s">
        <v>359</v>
      </c>
      <c r="B72" s="670"/>
      <c r="C72" s="671">
        <f t="shared" ref="C72:AP72" si="38">C26-C27-C29</f>
        <v>-2.719924399165734</v>
      </c>
      <c r="D72" s="672">
        <f t="shared" si="38"/>
        <v>0.18184486786384468</v>
      </c>
      <c r="E72" s="673">
        <f t="shared" si="38"/>
        <v>-3.4486883993195647</v>
      </c>
      <c r="F72" s="676">
        <f t="shared" si="38"/>
        <v>0</v>
      </c>
      <c r="G72" s="676">
        <f t="shared" si="38"/>
        <v>0.6924657422902083</v>
      </c>
      <c r="H72" s="674">
        <f t="shared" si="38"/>
        <v>1.9457250152908045</v>
      </c>
      <c r="I72" s="672">
        <f t="shared" si="38"/>
        <v>-0.45741265470912973</v>
      </c>
      <c r="J72" s="673">
        <f t="shared" si="38"/>
        <v>0</v>
      </c>
      <c r="K72" s="673">
        <f t="shared" si="38"/>
        <v>2.4031376700000067</v>
      </c>
      <c r="L72" s="674">
        <f t="shared" si="38"/>
        <v>-0.17452026544560795</v>
      </c>
      <c r="M72" s="673">
        <f t="shared" si="38"/>
        <v>0</v>
      </c>
      <c r="N72" s="673">
        <f t="shared" si="38"/>
        <v>-0.14794174855289199</v>
      </c>
      <c r="O72" s="673">
        <f t="shared" si="38"/>
        <v>-5.2567080980734033</v>
      </c>
      <c r="P72" s="673">
        <f t="shared" si="38"/>
        <v>-22.015945821971172</v>
      </c>
      <c r="Q72" s="673">
        <f t="shared" si="38"/>
        <v>15.370413414720133</v>
      </c>
      <c r="R72" s="673">
        <f t="shared" si="38"/>
        <v>-6.7103906044801533</v>
      </c>
      <c r="S72" s="673">
        <f t="shared" si="38"/>
        <v>8.1718040718781069</v>
      </c>
      <c r="T72" s="673">
        <f t="shared" si="38"/>
        <v>6.5570336698137623</v>
      </c>
      <c r="U72" s="673">
        <f t="shared" si="38"/>
        <v>-4.4746269624060915</v>
      </c>
      <c r="V72" s="673">
        <f t="shared" si="38"/>
        <v>0.82532907951213019</v>
      </c>
      <c r="W72" s="676">
        <f t="shared" si="38"/>
        <v>7.506512734116022</v>
      </c>
      <c r="X72" s="676">
        <f t="shared" si="38"/>
        <v>0</v>
      </c>
      <c r="Y72" s="676">
        <f t="shared" si="38"/>
        <v>0</v>
      </c>
      <c r="Z72" s="673">
        <f t="shared" si="38"/>
        <v>0</v>
      </c>
      <c r="AA72" s="674">
        <f t="shared" si="38"/>
        <v>-40.274710307198575</v>
      </c>
      <c r="AB72" s="675">
        <f t="shared" si="38"/>
        <v>-8.1303135021793764</v>
      </c>
      <c r="AC72" s="799">
        <f t="shared" si="38"/>
        <v>0</v>
      </c>
      <c r="AD72" s="673">
        <f t="shared" si="38"/>
        <v>0</v>
      </c>
      <c r="AE72" s="673">
        <f t="shared" si="38"/>
        <v>-5.8327477785794315</v>
      </c>
      <c r="AF72" s="673">
        <f t="shared" si="38"/>
        <v>0</v>
      </c>
      <c r="AG72" s="673">
        <f t="shared" si="38"/>
        <v>0</v>
      </c>
      <c r="AH72" s="673">
        <f t="shared" si="38"/>
        <v>0</v>
      </c>
      <c r="AI72" s="673">
        <f t="shared" si="38"/>
        <v>-2.9556858672000175</v>
      </c>
      <c r="AJ72" s="673">
        <f t="shared" si="38"/>
        <v>0.65812014360000148</v>
      </c>
      <c r="AK72" s="672">
        <f t="shared" si="38"/>
        <v>0</v>
      </c>
      <c r="AL72" s="676">
        <f t="shared" si="38"/>
        <v>0</v>
      </c>
      <c r="AM72" s="673">
        <f t="shared" si="38"/>
        <v>0</v>
      </c>
      <c r="AN72" s="674">
        <f t="shared" si="38"/>
        <v>0</v>
      </c>
      <c r="AO72" s="674">
        <f t="shared" si="38"/>
        <v>-36.15143685982639</v>
      </c>
      <c r="AP72" s="675">
        <f t="shared" si="38"/>
        <v>0</v>
      </c>
      <c r="AQ72" s="677">
        <f t="shared" si="13"/>
        <v>-85.505180318524879</v>
      </c>
      <c r="AR72" s="230"/>
      <c r="AS72" s="236"/>
    </row>
    <row r="73" spans="1:45" ht="12.75" customHeight="1">
      <c r="A73" s="237"/>
      <c r="B73" s="237"/>
      <c r="C73" s="237"/>
      <c r="D73" s="237"/>
      <c r="E73" s="237"/>
      <c r="F73" s="237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7"/>
      <c r="S73" s="237"/>
      <c r="T73" s="237"/>
      <c r="U73" s="237"/>
      <c r="V73" s="237"/>
      <c r="W73" s="237"/>
      <c r="X73" s="237"/>
      <c r="Y73" s="237"/>
      <c r="Z73" s="237"/>
      <c r="AA73" s="237"/>
      <c r="AB73" s="237"/>
      <c r="AC73" s="237"/>
      <c r="AD73" s="237"/>
      <c r="AE73" s="237"/>
      <c r="AF73" s="237"/>
      <c r="AG73" s="237"/>
      <c r="AH73" s="237"/>
      <c r="AI73" s="237"/>
      <c r="AJ73" s="237"/>
      <c r="AK73" s="237"/>
      <c r="AL73" s="237"/>
      <c r="AM73" s="237"/>
      <c r="AN73" s="237"/>
      <c r="AO73" s="237"/>
      <c r="AP73" s="237"/>
      <c r="AQ73" s="237"/>
    </row>
    <row r="74" spans="1:45" s="239" customFormat="1" ht="15" customHeight="1">
      <c r="A74" s="656" t="s">
        <v>640</v>
      </c>
      <c r="B74" s="634"/>
      <c r="C74" s="634"/>
      <c r="D74" s="634"/>
      <c r="E74" s="634"/>
      <c r="F74" s="634"/>
      <c r="G74" s="634"/>
      <c r="H74" s="634"/>
      <c r="I74" s="634"/>
      <c r="J74" s="634"/>
      <c r="K74" s="634"/>
      <c r="L74" s="238"/>
      <c r="M74" s="634"/>
      <c r="N74" s="634"/>
      <c r="Q74" s="634"/>
      <c r="R74" s="634"/>
      <c r="S74" s="634"/>
      <c r="T74" s="634"/>
      <c r="U74" s="634"/>
      <c r="V74" s="634"/>
      <c r="W74" s="627"/>
      <c r="Y74" s="634"/>
      <c r="Z74" s="634"/>
      <c r="AA74" s="634"/>
      <c r="AB74" s="634"/>
      <c r="AC74" s="634"/>
      <c r="AD74" s="634"/>
      <c r="AE74" s="634"/>
      <c r="AF74" s="634"/>
      <c r="AG74" s="634"/>
      <c r="AH74" s="634"/>
      <c r="AI74" s="634"/>
      <c r="AJ74" s="634"/>
      <c r="AK74" s="634"/>
      <c r="AL74" s="634"/>
      <c r="AM74" s="634"/>
      <c r="AN74" s="634"/>
      <c r="AO74" s="634"/>
      <c r="AP74" s="634"/>
      <c r="AQ74" s="634"/>
      <c r="AS74" s="236"/>
    </row>
    <row r="75" spans="1:45" ht="12.75" customHeight="1">
      <c r="A75" s="800" t="s">
        <v>641</v>
      </c>
      <c r="B75" s="237"/>
      <c r="C75" s="237"/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7"/>
      <c r="Y75" s="237"/>
      <c r="Z75" s="237"/>
      <c r="AA75" s="237"/>
      <c r="AB75" s="237"/>
      <c r="AC75" s="237"/>
      <c r="AD75" s="237"/>
      <c r="AE75" s="237"/>
      <c r="AF75" s="237"/>
      <c r="AG75" s="237"/>
      <c r="AH75" s="237"/>
      <c r="AI75" s="237"/>
      <c r="AJ75" s="237"/>
      <c r="AK75" s="237"/>
      <c r="AL75" s="237"/>
      <c r="AM75" s="237"/>
      <c r="AN75" s="237"/>
      <c r="AO75" s="237"/>
      <c r="AP75" s="237"/>
      <c r="AQ75" s="237"/>
    </row>
    <row r="76" spans="1:45" ht="12.75" customHeight="1">
      <c r="A76" s="801" t="s">
        <v>544</v>
      </c>
      <c r="B76" s="802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7"/>
      <c r="V76" s="237"/>
      <c r="W76" s="237"/>
      <c r="X76" s="237"/>
      <c r="Y76" s="237"/>
      <c r="Z76" s="237"/>
      <c r="AA76" s="237"/>
      <c r="AB76" s="237"/>
      <c r="AC76" s="237"/>
      <c r="AD76" s="237"/>
      <c r="AE76" s="237"/>
      <c r="AF76" s="237"/>
      <c r="AG76" s="237"/>
      <c r="AH76" s="237"/>
      <c r="AI76" s="237"/>
      <c r="AJ76" s="237"/>
      <c r="AK76" s="237"/>
      <c r="AL76" s="237"/>
      <c r="AM76" s="237"/>
      <c r="AN76" s="237"/>
      <c r="AO76" s="237"/>
      <c r="AP76" s="237"/>
      <c r="AQ76" s="237"/>
    </row>
    <row r="77" spans="1:45" ht="12.75" customHeight="1">
      <c r="A77" s="803" t="s">
        <v>545</v>
      </c>
      <c r="B77" s="800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  <c r="AA77" s="237"/>
      <c r="AB77" s="237"/>
      <c r="AC77" s="237"/>
      <c r="AD77" s="237"/>
      <c r="AE77" s="237"/>
      <c r="AF77" s="237"/>
      <c r="AG77" s="237"/>
      <c r="AH77" s="237"/>
      <c r="AI77" s="237"/>
      <c r="AJ77" s="237"/>
      <c r="AK77" s="237"/>
      <c r="AL77" s="237"/>
      <c r="AM77" s="237"/>
      <c r="AN77" s="237"/>
      <c r="AO77" s="237"/>
      <c r="AP77" s="237"/>
      <c r="AQ77" s="237"/>
    </row>
    <row r="78" spans="1:45" ht="12.75" customHeight="1">
      <c r="A78" s="486" t="s">
        <v>546</v>
      </c>
      <c r="B78" s="800"/>
      <c r="C78" s="237"/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237"/>
      <c r="AD78" s="237"/>
      <c r="AE78" s="237"/>
      <c r="AF78" s="237"/>
      <c r="AG78" s="237"/>
      <c r="AH78" s="237"/>
      <c r="AI78" s="237"/>
      <c r="AJ78" s="237"/>
      <c r="AK78" s="237"/>
      <c r="AL78" s="237"/>
      <c r="AM78" s="237"/>
      <c r="AN78" s="237"/>
      <c r="AO78" s="237"/>
      <c r="AP78" s="237"/>
      <c r="AQ78" s="237"/>
    </row>
    <row r="79" spans="1:45" ht="12.75" customHeight="1">
      <c r="A79" s="804" t="s">
        <v>360</v>
      </c>
      <c r="B79" s="240"/>
      <c r="C79" s="240"/>
      <c r="D79" s="240"/>
      <c r="E79" s="805"/>
      <c r="F79" s="806"/>
      <c r="G79" s="806"/>
      <c r="H79" s="807"/>
      <c r="I79" s="806"/>
      <c r="J79" s="806"/>
      <c r="K79" s="806"/>
      <c r="L79" s="807"/>
      <c r="M79" s="806"/>
      <c r="N79" s="806"/>
      <c r="O79" s="806"/>
      <c r="P79" s="806"/>
      <c r="Q79" s="806"/>
      <c r="R79" s="806"/>
      <c r="S79" s="808"/>
      <c r="T79" s="378"/>
      <c r="U79" s="808"/>
      <c r="V79" s="808"/>
      <c r="W79" s="806"/>
      <c r="X79" s="806"/>
      <c r="Y79" s="806"/>
      <c r="Z79" s="806"/>
      <c r="AA79" s="807"/>
      <c r="AB79" s="809"/>
      <c r="AC79" s="806"/>
      <c r="AD79" s="806"/>
      <c r="AE79" s="806"/>
      <c r="AF79" s="806"/>
      <c r="AG79" s="806"/>
      <c r="AH79" s="806"/>
      <c r="AI79" s="806"/>
      <c r="AJ79" s="806"/>
      <c r="AK79" s="806"/>
      <c r="AL79" s="806"/>
      <c r="AM79" s="806"/>
      <c r="AN79" s="806"/>
      <c r="AO79" s="807"/>
      <c r="AP79" s="809"/>
      <c r="AQ79" s="806"/>
    </row>
    <row r="80" spans="1:45" ht="12.75" customHeight="1">
      <c r="A80" s="804" t="s">
        <v>361</v>
      </c>
      <c r="B80" s="240"/>
      <c r="C80" s="240"/>
      <c r="D80" s="240"/>
      <c r="E80" s="805"/>
      <c r="F80" s="806"/>
      <c r="G80" s="806"/>
      <c r="H80" s="807"/>
      <c r="I80" s="806"/>
      <c r="J80" s="806"/>
      <c r="K80" s="806"/>
      <c r="L80" s="807"/>
      <c r="M80" s="806"/>
      <c r="N80" s="806"/>
      <c r="O80" s="806"/>
      <c r="P80" s="806"/>
      <c r="Q80" s="806"/>
      <c r="R80" s="806"/>
      <c r="S80" s="808"/>
      <c r="T80" s="378"/>
      <c r="U80" s="808"/>
      <c r="V80" s="808"/>
      <c r="W80" s="806"/>
      <c r="X80" s="806"/>
      <c r="Y80" s="806"/>
      <c r="Z80" s="806"/>
      <c r="AA80" s="807"/>
      <c r="AB80" s="809"/>
      <c r="AC80" s="806"/>
      <c r="AD80" s="806"/>
      <c r="AE80" s="806"/>
      <c r="AF80" s="806"/>
      <c r="AG80" s="806"/>
      <c r="AH80" s="806"/>
      <c r="AI80" s="806"/>
      <c r="AJ80" s="806"/>
      <c r="AK80" s="806"/>
      <c r="AL80" s="806"/>
      <c r="AM80" s="806"/>
      <c r="AN80" s="806"/>
      <c r="AO80" s="807"/>
      <c r="AP80" s="809"/>
      <c r="AQ80" s="806"/>
    </row>
    <row r="81" spans="1:43">
      <c r="A81" s="485"/>
      <c r="C81" s="634"/>
      <c r="D81" s="634"/>
      <c r="E81" s="634"/>
      <c r="F81" s="660"/>
      <c r="G81" s="660"/>
      <c r="H81" s="634"/>
      <c r="I81" s="660"/>
      <c r="J81" s="660"/>
      <c r="K81" s="660"/>
      <c r="L81" s="807"/>
      <c r="M81" s="806"/>
      <c r="N81" s="806"/>
      <c r="O81" s="806"/>
      <c r="P81" s="806"/>
      <c r="Q81" s="806"/>
      <c r="R81" s="806"/>
      <c r="S81" s="806"/>
      <c r="T81" s="806"/>
      <c r="U81" s="806"/>
      <c r="V81" s="806"/>
      <c r="W81" s="806"/>
      <c r="X81" s="806"/>
      <c r="Y81" s="806"/>
      <c r="Z81" s="660"/>
      <c r="AA81" s="807"/>
      <c r="AB81" s="807"/>
      <c r="AC81" s="806"/>
      <c r="AD81" s="806"/>
      <c r="AE81" s="806"/>
      <c r="AF81" s="806"/>
      <c r="AG81" s="806"/>
      <c r="AH81" s="806"/>
      <c r="AI81" s="806"/>
      <c r="AJ81" s="806"/>
      <c r="AK81" s="806"/>
      <c r="AL81" s="806"/>
      <c r="AM81" s="806"/>
      <c r="AN81" s="806"/>
      <c r="AO81" s="807"/>
      <c r="AP81" s="807"/>
      <c r="AQ81" s="80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B1:BM72"/>
  <sheetViews>
    <sheetView topLeftCell="A19" zoomScale="75" zoomScaleNormal="75" workbookViewId="0">
      <selection activeCell="G45" sqref="G45"/>
    </sheetView>
  </sheetViews>
  <sheetFormatPr defaultColWidth="8.85546875" defaultRowHeight="12.75"/>
  <cols>
    <col min="1" max="1" width="3.85546875" style="257" customWidth="1"/>
    <col min="2" max="2" width="43.7109375" style="257" customWidth="1"/>
    <col min="3" max="3" width="22.28515625" style="257" bestFit="1" customWidth="1"/>
    <col min="4" max="4" width="16.85546875" style="257" customWidth="1"/>
    <col min="5" max="5" width="13.28515625" style="257" customWidth="1"/>
    <col min="6" max="6" width="12" style="257" customWidth="1"/>
    <col min="7" max="7" width="11.140625" style="257" bestFit="1" customWidth="1"/>
    <col min="8" max="8" width="12.140625" style="257" customWidth="1"/>
    <col min="9" max="9" width="12" style="257" bestFit="1" customWidth="1"/>
    <col min="10" max="10" width="12.85546875" style="257" bestFit="1" customWidth="1"/>
    <col min="11" max="11" width="13" style="257" bestFit="1" customWidth="1"/>
    <col min="12" max="12" width="14.42578125" style="257" bestFit="1" customWidth="1"/>
    <col min="13" max="13" width="15.28515625" style="257" customWidth="1"/>
    <col min="14" max="14" width="13.28515625" style="257" customWidth="1"/>
    <col min="15" max="15" width="12.7109375" style="257" bestFit="1" customWidth="1"/>
    <col min="16" max="16" width="9.28515625" style="257" bestFit="1" customWidth="1"/>
    <col min="17" max="17" width="10.85546875" style="257" bestFit="1" customWidth="1"/>
    <col min="18" max="18" width="10.28515625" style="257" bestFit="1" customWidth="1"/>
    <col min="19" max="19" width="20.28515625" style="257" bestFit="1" customWidth="1"/>
    <col min="20" max="20" width="10.85546875" style="257" bestFit="1" customWidth="1"/>
    <col min="21" max="21" width="12.140625" style="257" bestFit="1" customWidth="1"/>
    <col min="22" max="22" width="11.7109375" style="257" bestFit="1" customWidth="1"/>
    <col min="23" max="23" width="10.85546875" style="257" bestFit="1" customWidth="1"/>
    <col min="24" max="24" width="8.28515625" style="257" bestFit="1" customWidth="1"/>
    <col min="25" max="25" width="8.140625" style="257" bestFit="1" customWidth="1"/>
    <col min="26" max="26" width="8.42578125" style="257" bestFit="1" customWidth="1"/>
    <col min="27" max="27" width="10.7109375" style="257" bestFit="1" customWidth="1"/>
    <col min="28" max="16384" width="8.85546875" style="257"/>
  </cols>
  <sheetData>
    <row r="1" spans="2:65" ht="28.5">
      <c r="B1" s="60" t="s">
        <v>200</v>
      </c>
      <c r="C1" s="61" t="s">
        <v>262</v>
      </c>
      <c r="D1" s="61"/>
      <c r="E1" s="61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</row>
    <row r="2" spans="2:65" ht="28.5">
      <c r="B2" s="60" t="s">
        <v>14</v>
      </c>
      <c r="C2" s="61" t="s">
        <v>354</v>
      </c>
      <c r="D2" s="61"/>
      <c r="E2" s="61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  <c r="AX2" s="280"/>
      <c r="AY2" s="280"/>
      <c r="AZ2" s="280"/>
      <c r="BA2" s="280"/>
      <c r="BB2" s="280"/>
      <c r="BC2" s="280"/>
      <c r="BD2" s="280"/>
      <c r="BE2" s="280"/>
      <c r="BF2" s="280"/>
      <c r="BG2" s="280"/>
      <c r="BH2" s="280"/>
      <c r="BI2" s="280"/>
      <c r="BJ2" s="280"/>
      <c r="BK2" s="280"/>
      <c r="BL2" s="280"/>
      <c r="BM2" s="280"/>
    </row>
    <row r="3" spans="2:65" ht="28.5">
      <c r="B3" s="60" t="s">
        <v>201</v>
      </c>
      <c r="C3" s="61">
        <v>2018</v>
      </c>
      <c r="D3" s="61"/>
      <c r="E3" s="61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</row>
    <row r="4" spans="2:65" ht="15">
      <c r="N4" s="299"/>
      <c r="P4" s="280"/>
      <c r="Q4" s="280"/>
      <c r="R4" s="302" t="s">
        <v>362</v>
      </c>
      <c r="S4" s="303"/>
      <c r="T4" s="303"/>
      <c r="U4" s="280"/>
      <c r="V4" s="280"/>
      <c r="W4" s="280"/>
      <c r="X4" s="280"/>
      <c r="Y4" s="280"/>
      <c r="Z4" s="280"/>
    </row>
    <row r="5" spans="2:65" ht="15">
      <c r="D5" s="280"/>
      <c r="E5" s="280"/>
      <c r="O5" s="299"/>
      <c r="Q5" s="280"/>
      <c r="R5" s="301" t="s">
        <v>363</v>
      </c>
      <c r="S5" s="301">
        <v>4.1868000000000002E-2</v>
      </c>
      <c r="T5" s="301" t="s">
        <v>10</v>
      </c>
      <c r="V5" s="280"/>
      <c r="W5" s="280"/>
      <c r="X5" s="280"/>
      <c r="Y5" s="280"/>
      <c r="Z5" s="280"/>
      <c r="AA5" s="280"/>
    </row>
    <row r="6" spans="2:65"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0"/>
      <c r="Y6" s="280"/>
      <c r="Z6" s="280"/>
      <c r="AA6" s="280"/>
      <c r="AB6" s="280"/>
    </row>
    <row r="7" spans="2:65">
      <c r="H7" s="313"/>
      <c r="I7" s="313"/>
    </row>
    <row r="8" spans="2:65" ht="18.75">
      <c r="B8" s="268" t="s">
        <v>78</v>
      </c>
      <c r="C8" s="300"/>
      <c r="D8" s="300"/>
      <c r="E8" s="300"/>
    </row>
    <row r="9" spans="2:65" ht="29.45" customHeight="1" thickBot="1">
      <c r="B9" s="297"/>
      <c r="C9" s="267"/>
      <c r="D9" s="298" t="s">
        <v>8</v>
      </c>
      <c r="E9" s="298" t="s">
        <v>7</v>
      </c>
      <c r="F9" s="298" t="s">
        <v>37</v>
      </c>
      <c r="G9" s="298" t="s">
        <v>9</v>
      </c>
      <c r="H9" s="298" t="s">
        <v>52</v>
      </c>
      <c r="I9" s="298" t="s">
        <v>380</v>
      </c>
      <c r="J9" s="298" t="s">
        <v>6</v>
      </c>
      <c r="K9" s="298" t="s">
        <v>5</v>
      </c>
      <c r="L9" s="298" t="s">
        <v>1</v>
      </c>
      <c r="M9" s="298" t="s">
        <v>311</v>
      </c>
      <c r="N9" s="279" t="s">
        <v>91</v>
      </c>
      <c r="O9" s="256" t="s">
        <v>2</v>
      </c>
    </row>
    <row r="10" spans="2:65" ht="14.45" customHeight="1">
      <c r="B10" s="295" t="s">
        <v>355</v>
      </c>
      <c r="C10" s="266" t="str">
        <f>COM_Balance!R11</f>
        <v>CS</v>
      </c>
      <c r="D10" s="296">
        <f>'EB2018'!C65*$S$5</f>
        <v>0</v>
      </c>
      <c r="E10" s="296">
        <f>'EB2018'!T58*COM_Balance!$S$5</f>
        <v>2.2457893736879599</v>
      </c>
      <c r="F10" s="296">
        <f>('EB2018'!L58-'EB2018'!T58)*$S$5</f>
        <v>2.9204278914253461</v>
      </c>
      <c r="G10" s="278">
        <f>'EB2018'!AA58*COM_Balance!$S$5</f>
        <v>8.6086936644858429</v>
      </c>
      <c r="H10" s="278">
        <f>'EB2018'!AE58*COM_Balance!$S$5</f>
        <v>0.21009154815850178</v>
      </c>
      <c r="I10" s="278">
        <f>'EB2018'!AH58*COM_Balance!$S$5</f>
        <v>0.11405853844452372</v>
      </c>
      <c r="J10" s="278">
        <f>'EB2018'!AL58*COM_Balance!$S$5</f>
        <v>6.9707984942638896E-3</v>
      </c>
      <c r="K10" s="278">
        <f>'EB2018'!AM58*COM_Balance!$S$5</f>
        <v>0.65641279696870891</v>
      </c>
      <c r="L10" s="278">
        <f>'EB2018'!AO58*COM_Balance!$S$5</f>
        <v>28.659287478947007</v>
      </c>
      <c r="M10" s="278">
        <f>'EB2018'!AP58*COM_Balance!$S$5</f>
        <v>0</v>
      </c>
      <c r="N10" s="255"/>
      <c r="O10" s="294">
        <f>SUM(D10:M10)</f>
        <v>43.421732090612153</v>
      </c>
      <c r="R10" s="399" t="s">
        <v>198</v>
      </c>
      <c r="S10" s="400" t="s">
        <v>199</v>
      </c>
    </row>
    <row r="11" spans="2:65" ht="14.45" customHeight="1">
      <c r="B11" s="295" t="s">
        <v>356</v>
      </c>
      <c r="C11" s="266" t="str">
        <f>COM_Balance!R12</f>
        <v>PS</v>
      </c>
      <c r="D11" s="296">
        <f>'EB2018'!C70*$S$5</f>
        <v>0</v>
      </c>
      <c r="E11" s="296">
        <f>'EB2018'!T65*COM_Balance!$S$5</f>
        <v>0.6732856263213477</v>
      </c>
      <c r="F11" s="296">
        <f>('EB2018'!L65-'EB2018'!T65)*$S$5</f>
        <v>5.1950358257404172</v>
      </c>
      <c r="G11" s="278">
        <f>'EB2018'!AA65*COM_Balance!$S$5</f>
        <v>8.0418686151117917</v>
      </c>
      <c r="H11" s="278">
        <f>'EB2018'!AE65*COM_Balance!$S$5</f>
        <v>0.54324453595694255</v>
      </c>
      <c r="I11" s="278">
        <f>'EB2018'!AH65*COM_Balance!$S$5</f>
        <v>0.20169130173120231</v>
      </c>
      <c r="J11" s="278">
        <f>'EB2018'!AL65*COM_Balance!$S$5</f>
        <v>0</v>
      </c>
      <c r="K11" s="278">
        <f>'EB2018'!AM65*COM_Balance!$S$5</f>
        <v>0</v>
      </c>
      <c r="L11" s="278">
        <f>'EB2018'!AO65*COM_Balance!$S$5</f>
        <v>14.020640873752647</v>
      </c>
      <c r="M11" s="278">
        <f>'EB2018'!AP65*COM_Balance!$S$5</f>
        <v>0</v>
      </c>
      <c r="N11" s="255"/>
      <c r="O11" s="294">
        <f>SUM(D11:M11)</f>
        <v>28.675766778614346</v>
      </c>
      <c r="R11" s="401" t="s">
        <v>142</v>
      </c>
      <c r="S11" s="402" t="s">
        <v>355</v>
      </c>
    </row>
    <row r="12" spans="2:65" ht="14.45" customHeight="1" thickBot="1">
      <c r="B12" s="265" t="s">
        <v>2</v>
      </c>
      <c r="C12" s="265" t="s">
        <v>53</v>
      </c>
      <c r="D12" s="277">
        <f>SUM(D10:D11)</f>
        <v>0</v>
      </c>
      <c r="E12" s="277">
        <f t="shared" ref="E12:O12" si="0">SUM(E10:E11)</f>
        <v>2.9190750000093075</v>
      </c>
      <c r="F12" s="277">
        <f t="shared" si="0"/>
        <v>8.1154637171657633</v>
      </c>
      <c r="G12" s="277">
        <f t="shared" si="0"/>
        <v>16.650562279597636</v>
      </c>
      <c r="H12" s="277">
        <f t="shared" si="0"/>
        <v>0.75333608411544439</v>
      </c>
      <c r="I12" s="277">
        <f t="shared" si="0"/>
        <v>0.31574984017572605</v>
      </c>
      <c r="J12" s="277">
        <f t="shared" si="0"/>
        <v>6.9707984942638896E-3</v>
      </c>
      <c r="K12" s="277">
        <f t="shared" si="0"/>
        <v>0.65641279696870891</v>
      </c>
      <c r="L12" s="277">
        <f t="shared" si="0"/>
        <v>42.679928352699655</v>
      </c>
      <c r="M12" s="277">
        <f t="shared" si="0"/>
        <v>0</v>
      </c>
      <c r="N12" s="254">
        <f t="shared" si="0"/>
        <v>0</v>
      </c>
      <c r="O12" s="277">
        <f t="shared" si="0"/>
        <v>72.097498869226499</v>
      </c>
      <c r="P12" s="257">
        <f>O12/3.6</f>
        <v>20.027083019229583</v>
      </c>
      <c r="R12" s="488" t="s">
        <v>364</v>
      </c>
      <c r="S12" s="489" t="s">
        <v>356</v>
      </c>
    </row>
    <row r="13" spans="2:65">
      <c r="D13" s="292" t="s">
        <v>65</v>
      </c>
      <c r="E13" s="292" t="s">
        <v>66</v>
      </c>
      <c r="F13" s="292" t="s">
        <v>67</v>
      </c>
      <c r="G13" s="292" t="s">
        <v>68</v>
      </c>
      <c r="H13" s="292" t="s">
        <v>69</v>
      </c>
      <c r="I13" s="292" t="s">
        <v>115</v>
      </c>
      <c r="J13" s="292" t="s">
        <v>70</v>
      </c>
      <c r="K13" s="292" t="s">
        <v>71</v>
      </c>
      <c r="L13" s="292" t="s">
        <v>72</v>
      </c>
      <c r="M13" s="292" t="s">
        <v>211</v>
      </c>
      <c r="N13" s="264" t="s">
        <v>92</v>
      </c>
      <c r="P13" s="257" t="s">
        <v>143</v>
      </c>
    </row>
    <row r="16" spans="2:65" ht="18.75">
      <c r="B16" s="293" t="s">
        <v>558</v>
      </c>
      <c r="C16" s="300"/>
      <c r="D16" s="300"/>
      <c r="E16" s="300"/>
    </row>
    <row r="17" spans="2:16" ht="18.600000000000001" customHeight="1" thickBot="1">
      <c r="B17" s="267" t="s">
        <v>20</v>
      </c>
      <c r="C17" s="267"/>
      <c r="D17" s="256" t="str">
        <f>D$13</f>
        <v>COMCOA</v>
      </c>
      <c r="E17" s="256" t="str">
        <f t="shared" ref="E17:N17" si="1">E$13</f>
        <v>COMLPG</v>
      </c>
      <c r="F17" s="256" t="str">
        <f t="shared" si="1"/>
        <v>COMOIL</v>
      </c>
      <c r="G17" s="256" t="str">
        <f t="shared" si="1"/>
        <v>COMGAS</v>
      </c>
      <c r="H17" s="256" t="str">
        <f t="shared" si="1"/>
        <v>COMBIO</v>
      </c>
      <c r="I17" s="256" t="s">
        <v>115</v>
      </c>
      <c r="J17" s="256" t="str">
        <f t="shared" si="1"/>
        <v>COMSOL</v>
      </c>
      <c r="K17" s="256" t="str">
        <f t="shared" si="1"/>
        <v>COMGEO</v>
      </c>
      <c r="L17" s="256" t="str">
        <f t="shared" si="1"/>
        <v>COMELC</v>
      </c>
      <c r="M17" s="256" t="str">
        <f t="shared" si="1"/>
        <v>COMHET</v>
      </c>
      <c r="N17" s="256" t="str">
        <f t="shared" si="1"/>
        <v>COMHTH</v>
      </c>
    </row>
    <row r="18" spans="2:16">
      <c r="B18" s="276" t="s">
        <v>3</v>
      </c>
      <c r="C18" s="253"/>
      <c r="D18" s="290"/>
      <c r="E18" s="508">
        <f>F18</f>
        <v>0.87546499686926149</v>
      </c>
      <c r="F18" s="508">
        <v>0.87546499686926149</v>
      </c>
      <c r="G18" s="508">
        <f>F18</f>
        <v>0.87546499686926149</v>
      </c>
      <c r="H18" s="508">
        <f>G18</f>
        <v>0.87546499686926149</v>
      </c>
      <c r="I18" s="508">
        <f>(G18/SUM(G18,G20))</f>
        <v>0.90213435443920675</v>
      </c>
      <c r="J18" s="508">
        <v>0.6</v>
      </c>
      <c r="K18" s="508">
        <v>1</v>
      </c>
      <c r="L18" s="509">
        <v>8.093150444706064E-2</v>
      </c>
      <c r="M18" s="290">
        <v>1</v>
      </c>
      <c r="N18" s="290"/>
      <c r="P18" s="263"/>
    </row>
    <row r="19" spans="2:16">
      <c r="B19" s="276" t="s">
        <v>4</v>
      </c>
      <c r="C19" s="253"/>
      <c r="D19" s="291"/>
      <c r="E19" s="510"/>
      <c r="F19" s="510"/>
      <c r="G19" s="510"/>
      <c r="H19" s="510"/>
      <c r="I19" s="510"/>
      <c r="J19" s="510"/>
      <c r="K19" s="508"/>
      <c r="L19" s="509">
        <v>9.612234966465158E-2</v>
      </c>
      <c r="M19" s="291"/>
      <c r="N19" s="290"/>
      <c r="P19" s="263"/>
    </row>
    <row r="20" spans="2:16">
      <c r="B20" s="275" t="s">
        <v>11</v>
      </c>
      <c r="C20" s="253"/>
      <c r="D20" s="290"/>
      <c r="E20" s="508">
        <f>F20</f>
        <v>9.4972491251314795E-2</v>
      </c>
      <c r="F20" s="508">
        <v>9.4972491251314795E-2</v>
      </c>
      <c r="G20" s="508">
        <f>F20</f>
        <v>9.4972491251314795E-2</v>
      </c>
      <c r="H20" s="508">
        <f>G20</f>
        <v>9.4972491251314795E-2</v>
      </c>
      <c r="I20" s="508">
        <f>(G20/SUM(G18,G20))</f>
        <v>9.7865645560793219E-2</v>
      </c>
      <c r="J20" s="508">
        <v>0.4</v>
      </c>
      <c r="K20" s="508">
        <v>0</v>
      </c>
      <c r="L20" s="509">
        <v>0.01</v>
      </c>
      <c r="M20" s="290">
        <v>0</v>
      </c>
      <c r="N20" s="290"/>
      <c r="P20" s="263"/>
    </row>
    <row r="21" spans="2:16">
      <c r="B21" s="275" t="s">
        <v>12</v>
      </c>
      <c r="C21" s="253"/>
      <c r="D21" s="291"/>
      <c r="E21" s="510"/>
      <c r="F21" s="510"/>
      <c r="G21" s="510"/>
      <c r="H21" s="510"/>
      <c r="I21" s="510"/>
      <c r="J21" s="510"/>
      <c r="K21" s="510"/>
      <c r="L21" s="509">
        <v>0.34737807779251362</v>
      </c>
      <c r="M21" s="291"/>
      <c r="N21" s="291"/>
      <c r="P21" s="263"/>
    </row>
    <row r="22" spans="2:16">
      <c r="B22" s="275" t="s">
        <v>13</v>
      </c>
      <c r="C22" s="253"/>
      <c r="D22" s="290"/>
      <c r="E22" s="508">
        <f>F22</f>
        <v>2.9562511879423735E-2</v>
      </c>
      <c r="F22" s="508">
        <v>2.9562511879423735E-2</v>
      </c>
      <c r="G22" s="508">
        <f>F22</f>
        <v>2.9562511879423735E-2</v>
      </c>
      <c r="H22" s="508">
        <f>G22</f>
        <v>2.9562511879423735E-2</v>
      </c>
      <c r="I22" s="508"/>
      <c r="J22" s="508"/>
      <c r="K22" s="510"/>
      <c r="L22" s="509">
        <v>2.0000000000000001E-4</v>
      </c>
      <c r="M22" s="291"/>
      <c r="N22" s="291"/>
      <c r="P22" s="263"/>
    </row>
    <row r="23" spans="2:16">
      <c r="B23" s="275" t="s">
        <v>28</v>
      </c>
      <c r="C23" s="253"/>
      <c r="D23" s="291"/>
      <c r="E23" s="510"/>
      <c r="F23" s="510"/>
      <c r="G23" s="510"/>
      <c r="H23" s="510"/>
      <c r="I23" s="510"/>
      <c r="J23" s="510"/>
      <c r="K23" s="510"/>
      <c r="L23" s="509">
        <v>6.5740840843886192E-2</v>
      </c>
      <c r="M23" s="291"/>
      <c r="N23" s="291"/>
      <c r="P23" s="263"/>
    </row>
    <row r="24" spans="2:16">
      <c r="B24" s="275" t="s">
        <v>42</v>
      </c>
      <c r="C24" s="253"/>
      <c r="D24" s="291"/>
      <c r="E24" s="291"/>
      <c r="F24" s="291"/>
      <c r="G24" s="291"/>
      <c r="H24" s="291"/>
      <c r="I24" s="291"/>
      <c r="J24" s="291"/>
      <c r="K24" s="291"/>
      <c r="L24" s="309">
        <f>'Public SEAI'!E29*L11/L12</f>
        <v>2.6825041406012662E-2</v>
      </c>
      <c r="M24" s="291"/>
      <c r="N24" s="291"/>
      <c r="P24" s="263"/>
    </row>
    <row r="25" spans="2:16">
      <c r="B25" s="275" t="s">
        <v>26</v>
      </c>
      <c r="C25" s="288"/>
      <c r="D25" s="291"/>
      <c r="E25" s="291"/>
      <c r="F25" s="291"/>
      <c r="G25" s="291"/>
      <c r="H25" s="291"/>
      <c r="I25" s="291"/>
      <c r="J25" s="291"/>
      <c r="K25" s="291"/>
      <c r="L25" s="309">
        <f>1-SUM(L18:L24)</f>
        <v>0.37280218584587521</v>
      </c>
      <c r="M25" s="291"/>
      <c r="N25" s="291"/>
      <c r="P25" s="263"/>
    </row>
    <row r="26" spans="2:16">
      <c r="B26" s="275" t="s">
        <v>27</v>
      </c>
      <c r="C26" s="288"/>
      <c r="D26" s="290"/>
      <c r="E26" s="290"/>
      <c r="F26" s="290"/>
      <c r="G26" s="290"/>
      <c r="H26" s="290"/>
      <c r="I26" s="290"/>
      <c r="J26" s="290"/>
      <c r="K26" s="290"/>
      <c r="L26" s="290"/>
      <c r="M26" s="291"/>
      <c r="N26" s="291"/>
    </row>
    <row r="27" spans="2:16">
      <c r="B27" s="275" t="s">
        <v>2</v>
      </c>
      <c r="C27" s="262"/>
      <c r="D27" s="289"/>
      <c r="E27" s="289">
        <f t="shared" ref="E27:M27" si="2">IF(SUM(E18:E26)&lt;&gt;1,"ERR: " &amp;  SUM(E18:E26),SUM(E18:E26))</f>
        <v>1</v>
      </c>
      <c r="F27" s="289">
        <f t="shared" si="2"/>
        <v>1</v>
      </c>
      <c r="G27" s="289">
        <f>SUM(G18:G26)</f>
        <v>1</v>
      </c>
      <c r="H27" s="289">
        <f t="shared" si="2"/>
        <v>1</v>
      </c>
      <c r="I27" s="289">
        <f t="shared" si="2"/>
        <v>1</v>
      </c>
      <c r="J27" s="289">
        <f t="shared" si="2"/>
        <v>1</v>
      </c>
      <c r="K27" s="289">
        <f t="shared" si="2"/>
        <v>1</v>
      </c>
      <c r="L27" s="289">
        <f t="shared" si="2"/>
        <v>1</v>
      </c>
      <c r="M27" s="289">
        <f t="shared" si="2"/>
        <v>1</v>
      </c>
      <c r="N27" s="289"/>
    </row>
    <row r="30" spans="2:16" s="274" customFormat="1" ht="12.75" customHeight="1">
      <c r="C30" s="252"/>
    </row>
    <row r="31" spans="2:16" s="274" customFormat="1" ht="18.75">
      <c r="B31" s="293" t="s">
        <v>141</v>
      </c>
      <c r="C31" s="293"/>
      <c r="D31" s="293"/>
      <c r="E31" s="293"/>
    </row>
    <row r="32" spans="2:16" s="274" customFormat="1" ht="18.600000000000001" customHeight="1" thickBot="1">
      <c r="B32" s="267" t="s">
        <v>21</v>
      </c>
      <c r="C32" s="267" t="s">
        <v>41</v>
      </c>
      <c r="D32" s="256" t="str">
        <f>D$13</f>
        <v>COMCOA</v>
      </c>
      <c r="E32" s="256" t="str">
        <f t="shared" ref="E32:N32" si="3">E$13</f>
        <v>COMLPG</v>
      </c>
      <c r="F32" s="256" t="str">
        <f t="shared" si="3"/>
        <v>COMOIL</v>
      </c>
      <c r="G32" s="256" t="str">
        <f t="shared" si="3"/>
        <v>COMGAS</v>
      </c>
      <c r="H32" s="256" t="str">
        <f t="shared" si="3"/>
        <v>COMBIO</v>
      </c>
      <c r="I32" s="256" t="s">
        <v>115</v>
      </c>
      <c r="J32" s="256" t="str">
        <f t="shared" si="3"/>
        <v>COMSOL</v>
      </c>
      <c r="K32" s="256" t="str">
        <f t="shared" si="3"/>
        <v>COMGEO</v>
      </c>
      <c r="L32" s="256" t="str">
        <f t="shared" si="3"/>
        <v>COMELC</v>
      </c>
      <c r="M32" s="256" t="str">
        <f t="shared" si="3"/>
        <v>COMHET</v>
      </c>
      <c r="N32" s="261" t="str">
        <f t="shared" si="3"/>
        <v>COMHTH</v>
      </c>
      <c r="O32" s="256" t="s">
        <v>144</v>
      </c>
    </row>
    <row r="33" spans="2:21" s="274" customFormat="1" ht="12.75" customHeight="1">
      <c r="B33" s="288" t="str">
        <f>COM_Commodities!E28</f>
        <v>Commercial space heat  demand - Commercial Services</v>
      </c>
      <c r="C33" s="287" t="str">
        <f>COM_Commodities!D28</f>
        <v>CHCS</v>
      </c>
      <c r="D33" s="273">
        <f>D10*D$18</f>
        <v>0</v>
      </c>
      <c r="E33" s="273">
        <f t="shared" ref="E33:M33" si="4">E10*E$18</f>
        <v>1.9661099870047505</v>
      </c>
      <c r="F33" s="273">
        <f t="shared" si="4"/>
        <v>2.5567323948235945</v>
      </c>
      <c r="G33" s="273">
        <f t="shared" si="4"/>
        <v>7.5366099720275299</v>
      </c>
      <c r="H33" s="273">
        <f t="shared" si="4"/>
        <v>0.18392779655084107</v>
      </c>
      <c r="I33" s="273">
        <f t="shared" si="4"/>
        <v>0.10289612594792985</v>
      </c>
      <c r="J33" s="273">
        <f t="shared" si="4"/>
        <v>4.1824790965583336E-3</v>
      </c>
      <c r="K33" s="273">
        <f t="shared" si="4"/>
        <v>0.65641279696870891</v>
      </c>
      <c r="L33" s="273">
        <f t="shared" si="4"/>
        <v>2.3194392520519891</v>
      </c>
      <c r="M33" s="273">
        <f t="shared" si="4"/>
        <v>0</v>
      </c>
      <c r="N33" s="251"/>
      <c r="O33" s="65"/>
      <c r="Q33" s="257"/>
      <c r="T33" s="65"/>
      <c r="U33" s="285"/>
    </row>
    <row r="34" spans="2:21" s="274" customFormat="1" ht="12.75" customHeight="1">
      <c r="B34" s="288" t="str">
        <f>COM_Commodities!E29</f>
        <v>Commercial space heat demand - Public Services</v>
      </c>
      <c r="C34" s="287" t="str">
        <f>COM_Commodities!D29</f>
        <v>CHPS</v>
      </c>
      <c r="D34" s="273">
        <f t="shared" ref="D34:M34" si="5">D11*D$18</f>
        <v>0</v>
      </c>
      <c r="E34" s="273">
        <f t="shared" si="5"/>
        <v>0.58943799873953739</v>
      </c>
      <c r="F34" s="273">
        <f t="shared" si="5"/>
        <v>4.5480720229175358</v>
      </c>
      <c r="G34" s="273">
        <f t="shared" si="5"/>
        <v>7.040374481951857</v>
      </c>
      <c r="H34" s="273">
        <f t="shared" si="5"/>
        <v>0.47559157597078811</v>
      </c>
      <c r="I34" s="273">
        <f t="shared" si="5"/>
        <v>0.18195265228328145</v>
      </c>
      <c r="J34" s="273">
        <f t="shared" si="5"/>
        <v>0</v>
      </c>
      <c r="K34" s="273">
        <f t="shared" si="5"/>
        <v>0</v>
      </c>
      <c r="L34" s="273">
        <f t="shared" si="5"/>
        <v>1.1347115592247525</v>
      </c>
      <c r="M34" s="273">
        <f t="shared" si="5"/>
        <v>0</v>
      </c>
      <c r="N34" s="251"/>
      <c r="O34" s="65"/>
      <c r="Q34" s="257"/>
      <c r="T34" s="65"/>
      <c r="U34" s="285"/>
    </row>
    <row r="35" spans="2:21" s="274" customFormat="1" ht="12.75" customHeight="1">
      <c r="B35" s="260"/>
      <c r="C35" s="286" t="s">
        <v>23</v>
      </c>
      <c r="D35" s="272">
        <f t="shared" ref="D35:N35" si="6">SUM(D33:D34)</f>
        <v>0</v>
      </c>
      <c r="E35" s="272">
        <f t="shared" si="6"/>
        <v>2.5555479857442878</v>
      </c>
      <c r="F35" s="272">
        <f t="shared" si="6"/>
        <v>7.1048044177411303</v>
      </c>
      <c r="G35" s="272">
        <f t="shared" si="6"/>
        <v>14.576984453979387</v>
      </c>
      <c r="H35" s="272">
        <f t="shared" si="6"/>
        <v>0.65951937252162918</v>
      </c>
      <c r="I35" s="272">
        <f t="shared" si="6"/>
        <v>0.2848487782312113</v>
      </c>
      <c r="J35" s="272">
        <f t="shared" si="6"/>
        <v>4.1824790965583336E-3</v>
      </c>
      <c r="K35" s="272">
        <f t="shared" si="6"/>
        <v>0.65641279696870891</v>
      </c>
      <c r="L35" s="272">
        <f t="shared" si="6"/>
        <v>3.4541508112767416</v>
      </c>
      <c r="M35" s="272">
        <f t="shared" si="6"/>
        <v>0</v>
      </c>
      <c r="N35" s="250">
        <f t="shared" si="6"/>
        <v>0</v>
      </c>
      <c r="O35" s="135">
        <f>SUM(D35:N35)</f>
        <v>29.296451095559654</v>
      </c>
      <c r="R35" s="257"/>
      <c r="S35" s="257"/>
      <c r="T35" s="65"/>
      <c r="U35" s="285"/>
    </row>
    <row r="36" spans="2:21" s="274" customFormat="1" ht="12.75" customHeight="1">
      <c r="B36" s="288" t="str">
        <f>COM_Commodities!E30</f>
        <v>Commercial space cooling demand - Commercial Services</v>
      </c>
      <c r="C36" s="287" t="str">
        <f>COM_Commodities!D30</f>
        <v>CCCS</v>
      </c>
      <c r="D36" s="273">
        <f t="shared" ref="D36:M36" si="7">D10*D$19</f>
        <v>0</v>
      </c>
      <c r="E36" s="273">
        <f t="shared" si="7"/>
        <v>0</v>
      </c>
      <c r="F36" s="273">
        <f t="shared" si="7"/>
        <v>0</v>
      </c>
      <c r="G36" s="273">
        <f t="shared" si="7"/>
        <v>0</v>
      </c>
      <c r="H36" s="273">
        <f t="shared" si="7"/>
        <v>0</v>
      </c>
      <c r="I36" s="273">
        <f t="shared" si="7"/>
        <v>0</v>
      </c>
      <c r="J36" s="273">
        <f t="shared" si="7"/>
        <v>0</v>
      </c>
      <c r="K36" s="273">
        <f t="shared" si="7"/>
        <v>0</v>
      </c>
      <c r="L36" s="273">
        <f t="shared" si="7"/>
        <v>2.7547980521911151</v>
      </c>
      <c r="M36" s="273">
        <f t="shared" si="7"/>
        <v>0</v>
      </c>
      <c r="N36" s="251"/>
      <c r="O36" s="65"/>
      <c r="R36" s="257"/>
      <c r="S36" s="257"/>
      <c r="T36" s="65"/>
      <c r="U36" s="285"/>
    </row>
    <row r="37" spans="2:21" s="274" customFormat="1" ht="12.75" customHeight="1">
      <c r="B37" s="288" t="str">
        <f>COM_Commodities!E31</f>
        <v>Commercial space cooling demand - Public Services</v>
      </c>
      <c r="C37" s="287" t="str">
        <f>COM_Commodities!D31</f>
        <v>CCPS</v>
      </c>
      <c r="D37" s="273">
        <f t="shared" ref="D37:M37" si="8">D11*D$19</f>
        <v>0</v>
      </c>
      <c r="E37" s="273">
        <f t="shared" si="8"/>
        <v>0</v>
      </c>
      <c r="F37" s="273">
        <f t="shared" si="8"/>
        <v>0</v>
      </c>
      <c r="G37" s="273">
        <f t="shared" si="8"/>
        <v>0</v>
      </c>
      <c r="H37" s="273">
        <f t="shared" si="8"/>
        <v>0</v>
      </c>
      <c r="I37" s="273">
        <f t="shared" si="8"/>
        <v>0</v>
      </c>
      <c r="J37" s="273">
        <f t="shared" si="8"/>
        <v>0</v>
      </c>
      <c r="K37" s="273">
        <f t="shared" si="8"/>
        <v>0</v>
      </c>
      <c r="L37" s="273">
        <f t="shared" si="8"/>
        <v>1.3476969445893581</v>
      </c>
      <c r="M37" s="273">
        <f t="shared" si="8"/>
        <v>0</v>
      </c>
      <c r="N37" s="251"/>
      <c r="O37" s="65"/>
      <c r="R37" s="257"/>
      <c r="S37" s="257"/>
      <c r="T37" s="65"/>
      <c r="U37" s="285"/>
    </row>
    <row r="38" spans="2:21" s="274" customFormat="1" ht="12.75" customHeight="1">
      <c r="B38" s="288"/>
      <c r="C38" s="287"/>
      <c r="D38" s="272">
        <f t="shared" ref="D38:N38" si="9">SUM(D36:D37)</f>
        <v>0</v>
      </c>
      <c r="E38" s="272">
        <f t="shared" si="9"/>
        <v>0</v>
      </c>
      <c r="F38" s="272">
        <f t="shared" si="9"/>
        <v>0</v>
      </c>
      <c r="G38" s="272">
        <f t="shared" si="9"/>
        <v>0</v>
      </c>
      <c r="H38" s="272">
        <f t="shared" si="9"/>
        <v>0</v>
      </c>
      <c r="I38" s="272">
        <f t="shared" si="9"/>
        <v>0</v>
      </c>
      <c r="J38" s="272">
        <f t="shared" si="9"/>
        <v>0</v>
      </c>
      <c r="K38" s="272">
        <f t="shared" si="9"/>
        <v>0</v>
      </c>
      <c r="L38" s="272">
        <f t="shared" si="9"/>
        <v>4.1024949967804734</v>
      </c>
      <c r="M38" s="272">
        <f t="shared" si="9"/>
        <v>0</v>
      </c>
      <c r="N38" s="250">
        <f t="shared" si="9"/>
        <v>0</v>
      </c>
      <c r="O38" s="135">
        <f>SUM(D38:N38)</f>
        <v>4.1024949967804734</v>
      </c>
      <c r="R38" s="257"/>
      <c r="S38" s="257"/>
      <c r="T38" s="65"/>
      <c r="U38" s="285"/>
    </row>
    <row r="39" spans="2:21">
      <c r="B39" s="288" t="str">
        <f>COM_Commodities!E32</f>
        <v>Commercial water heating demand - Commercial Services</v>
      </c>
      <c r="C39" s="287" t="str">
        <f>COM_Commodities!D32</f>
        <v>CWCS</v>
      </c>
      <c r="D39" s="273">
        <f t="shared" ref="D39:M39" si="10">D10*D$20</f>
        <v>0</v>
      </c>
      <c r="E39" s="273">
        <f t="shared" si="10"/>
        <v>0.21328821164487552</v>
      </c>
      <c r="F39" s="273">
        <f t="shared" si="10"/>
        <v>0.2773603123684894</v>
      </c>
      <c r="G39" s="273">
        <f t="shared" si="10"/>
        <v>0.81758908373563077</v>
      </c>
      <c r="H39" s="273">
        <f t="shared" si="10"/>
        <v>1.995291771945849E-2</v>
      </c>
      <c r="I39" s="273">
        <f t="shared" si="10"/>
        <v>1.1162412496593865E-2</v>
      </c>
      <c r="J39" s="273">
        <f t="shared" si="10"/>
        <v>2.788319397705556E-3</v>
      </c>
      <c r="K39" s="273">
        <f t="shared" si="10"/>
        <v>0</v>
      </c>
      <c r="L39" s="273">
        <f t="shared" si="10"/>
        <v>0.2865928747894701</v>
      </c>
      <c r="M39" s="273">
        <f t="shared" si="10"/>
        <v>0</v>
      </c>
      <c r="N39" s="251"/>
      <c r="O39" s="65"/>
      <c r="T39" s="65"/>
      <c r="U39" s="285"/>
    </row>
    <row r="40" spans="2:21">
      <c r="B40" s="288" t="str">
        <f>COM_Commodities!E33</f>
        <v>Commercial water heating demand - Public Services</v>
      </c>
      <c r="C40" s="287" t="str">
        <f>COM_Commodities!D33</f>
        <v>CWPS</v>
      </c>
      <c r="D40" s="273">
        <f t="shared" ref="D40:M40" si="11">D11*D$20</f>
        <v>0</v>
      </c>
      <c r="E40" s="273">
        <f t="shared" si="11"/>
        <v>6.3943613255440193E-2</v>
      </c>
      <c r="F40" s="273">
        <f t="shared" si="11"/>
        <v>0.4933854945103987</v>
      </c>
      <c r="G40" s="273">
        <f t="shared" si="11"/>
        <v>0.76375629669292766</v>
      </c>
      <c r="H40" s="273">
        <f t="shared" si="11"/>
        <v>5.1593286938495291E-2</v>
      </c>
      <c r="I40" s="273">
        <f t="shared" si="11"/>
        <v>1.9738649447920843E-2</v>
      </c>
      <c r="J40" s="273">
        <f t="shared" si="11"/>
        <v>0</v>
      </c>
      <c r="K40" s="273">
        <f t="shared" si="11"/>
        <v>0</v>
      </c>
      <c r="L40" s="273">
        <f t="shared" si="11"/>
        <v>0.14020640873752649</v>
      </c>
      <c r="M40" s="273">
        <f t="shared" si="11"/>
        <v>0</v>
      </c>
      <c r="N40" s="251"/>
      <c r="O40" s="65"/>
      <c r="T40" s="65"/>
      <c r="U40" s="285"/>
    </row>
    <row r="41" spans="2:21">
      <c r="B41" s="260"/>
      <c r="C41" s="286"/>
      <c r="D41" s="272">
        <f t="shared" ref="D41:N41" si="12">SUM(D39:D40)</f>
        <v>0</v>
      </c>
      <c r="E41" s="272">
        <f t="shared" si="12"/>
        <v>0.27723182490031573</v>
      </c>
      <c r="F41" s="272">
        <f t="shared" si="12"/>
        <v>0.77074580687888816</v>
      </c>
      <c r="G41" s="272">
        <f t="shared" si="12"/>
        <v>1.5813453804285584</v>
      </c>
      <c r="H41" s="272">
        <f t="shared" si="12"/>
        <v>7.1546204657953777E-2</v>
      </c>
      <c r="I41" s="272">
        <f t="shared" si="12"/>
        <v>3.090106194451471E-2</v>
      </c>
      <c r="J41" s="272">
        <f t="shared" si="12"/>
        <v>2.788319397705556E-3</v>
      </c>
      <c r="K41" s="272">
        <f t="shared" si="12"/>
        <v>0</v>
      </c>
      <c r="L41" s="272">
        <f t="shared" si="12"/>
        <v>0.42679928352699659</v>
      </c>
      <c r="M41" s="272">
        <f t="shared" si="12"/>
        <v>0</v>
      </c>
      <c r="N41" s="250">
        <f t="shared" si="12"/>
        <v>0</v>
      </c>
      <c r="O41" s="135">
        <f>SUM(D41:N41)</f>
        <v>3.1613578817349328</v>
      </c>
      <c r="T41" s="65"/>
      <c r="U41" s="285"/>
    </row>
    <row r="42" spans="2:21">
      <c r="B42" s="281" t="str">
        <f>COM_Commodities!E34</f>
        <v>Commercial Lighting Demand</v>
      </c>
      <c r="C42" s="281" t="str">
        <f>COM_Commodities!D34</f>
        <v>CLIG</v>
      </c>
      <c r="D42" s="273">
        <f t="shared" ref="D42:M42" si="13">D12*D21</f>
        <v>0</v>
      </c>
      <c r="E42" s="273">
        <f t="shared" si="13"/>
        <v>0</v>
      </c>
      <c r="F42" s="273">
        <f t="shared" si="13"/>
        <v>0</v>
      </c>
      <c r="G42" s="273">
        <f t="shared" si="13"/>
        <v>0</v>
      </c>
      <c r="H42" s="273">
        <f t="shared" si="13"/>
        <v>0</v>
      </c>
      <c r="I42" s="273">
        <f t="shared" si="13"/>
        <v>0</v>
      </c>
      <c r="J42" s="273">
        <f t="shared" si="13"/>
        <v>0</v>
      </c>
      <c r="K42" s="273">
        <f t="shared" si="13"/>
        <v>0</v>
      </c>
      <c r="L42" s="273">
        <f t="shared" si="13"/>
        <v>14.826071471483008</v>
      </c>
      <c r="M42" s="273">
        <f t="shared" si="13"/>
        <v>0</v>
      </c>
      <c r="N42" s="251"/>
      <c r="O42" s="65"/>
      <c r="T42" s="65"/>
      <c r="U42" s="285"/>
    </row>
    <row r="43" spans="2:21">
      <c r="B43" s="281" t="str">
        <f>COM_Commodities!E35</f>
        <v>Commercial Cooking Demand</v>
      </c>
      <c r="C43" s="281" t="str">
        <f>COM_Commodities!D35</f>
        <v>CCOK</v>
      </c>
      <c r="D43" s="273">
        <f t="shared" ref="D43:M43" si="14">D12*D22</f>
        <v>0</v>
      </c>
      <c r="E43" s="273">
        <f t="shared" si="14"/>
        <v>8.6295189364703997E-2</v>
      </c>
      <c r="F43" s="273">
        <f t="shared" si="14"/>
        <v>0.23991349254574518</v>
      </c>
      <c r="G43" s="273">
        <f t="shared" si="14"/>
        <v>0.49223244518968989</v>
      </c>
      <c r="H43" s="273">
        <f t="shared" si="14"/>
        <v>2.2270506935861384E-2</v>
      </c>
      <c r="I43" s="273">
        <f t="shared" si="14"/>
        <v>0</v>
      </c>
      <c r="J43" s="273">
        <f t="shared" si="14"/>
        <v>0</v>
      </c>
      <c r="K43" s="273">
        <f t="shared" si="14"/>
        <v>0</v>
      </c>
      <c r="L43" s="273">
        <f t="shared" si="14"/>
        <v>8.535985670539932E-3</v>
      </c>
      <c r="M43" s="273">
        <f t="shared" si="14"/>
        <v>0</v>
      </c>
      <c r="N43" s="251"/>
      <c r="O43" s="65"/>
      <c r="T43" s="65"/>
      <c r="U43" s="285"/>
    </row>
    <row r="44" spans="2:21">
      <c r="B44" s="281" t="str">
        <f>COM_Commodities!E36</f>
        <v>Commercial Refrigeration Demand</v>
      </c>
      <c r="C44" s="281" t="str">
        <f>COM_Commodities!D36</f>
        <v>CREF</v>
      </c>
      <c r="D44" s="273"/>
      <c r="E44" s="273"/>
      <c r="F44" s="273"/>
      <c r="G44" s="273"/>
      <c r="H44" s="273"/>
      <c r="I44" s="273"/>
      <c r="J44" s="273"/>
      <c r="K44" s="273"/>
      <c r="L44" s="273">
        <f>L$12*L23</f>
        <v>2.8058143770632937</v>
      </c>
      <c r="M44" s="273"/>
      <c r="N44" s="251"/>
      <c r="T44" s="65"/>
      <c r="U44" s="285"/>
    </row>
    <row r="45" spans="2:21">
      <c r="B45" s="281" t="str">
        <f>COM_Commodities!E37</f>
        <v>Commercial Public Lighting Demand</v>
      </c>
      <c r="C45" s="281" t="str">
        <f>COM_Commodities!D37</f>
        <v>CPLI</v>
      </c>
      <c r="D45" s="273"/>
      <c r="E45" s="273"/>
      <c r="F45" s="273"/>
      <c r="G45" s="273"/>
      <c r="H45" s="273"/>
      <c r="I45" s="273"/>
      <c r="J45" s="273"/>
      <c r="K45" s="273"/>
      <c r="L45" s="273">
        <f>L$12*L24</f>
        <v>1.1448908452668221</v>
      </c>
      <c r="M45" s="273"/>
      <c r="N45" s="251"/>
      <c r="T45" s="65"/>
      <c r="U45" s="285"/>
    </row>
    <row r="46" spans="2:21">
      <c r="B46" s="281" t="str">
        <f>COM_Commodities!E38</f>
        <v>Commercial Other Electric Demand</v>
      </c>
      <c r="C46" s="281" t="str">
        <f>COM_Commodities!D38</f>
        <v>COEL</v>
      </c>
      <c r="D46" s="273"/>
      <c r="E46" s="273"/>
      <c r="F46" s="273"/>
      <c r="G46" s="273"/>
      <c r="H46" s="273"/>
      <c r="I46" s="273"/>
      <c r="J46" s="273"/>
      <c r="K46" s="273"/>
      <c r="L46" s="273">
        <f>L$12*L25</f>
        <v>15.911170581631776</v>
      </c>
      <c r="M46" s="273"/>
      <c r="N46" s="251"/>
      <c r="T46" s="65"/>
      <c r="U46" s="285"/>
    </row>
    <row r="47" spans="2:21">
      <c r="B47" s="281" t="str">
        <f>COM_Commodities!E39</f>
        <v>Commercial Other Energy Demand</v>
      </c>
      <c r="C47" s="281" t="str">
        <f>COM_Commodities!D39</f>
        <v>COEN</v>
      </c>
      <c r="D47" s="273"/>
      <c r="E47" s="273"/>
      <c r="F47" s="273"/>
      <c r="G47" s="273"/>
      <c r="H47" s="273"/>
      <c r="I47" s="273"/>
      <c r="J47" s="273"/>
      <c r="K47" s="273"/>
      <c r="L47" s="273"/>
      <c r="M47" s="273"/>
      <c r="N47" s="251"/>
      <c r="T47" s="65"/>
      <c r="U47" s="285"/>
    </row>
    <row r="48" spans="2:21">
      <c r="B48" s="281"/>
      <c r="C48" s="281"/>
      <c r="D48" s="272">
        <f>SUM(D42:D47)</f>
        <v>0</v>
      </c>
      <c r="E48" s="272">
        <f t="shared" ref="E48:N48" si="15">SUM(E42:E47)</f>
        <v>8.6295189364703997E-2</v>
      </c>
      <c r="F48" s="272">
        <f t="shared" si="15"/>
        <v>0.23991349254574518</v>
      </c>
      <c r="G48" s="272">
        <f t="shared" si="15"/>
        <v>0.49223244518968989</v>
      </c>
      <c r="H48" s="272">
        <f t="shared" si="15"/>
        <v>2.2270506935861384E-2</v>
      </c>
      <c r="I48" s="272">
        <f t="shared" si="15"/>
        <v>0</v>
      </c>
      <c r="J48" s="272">
        <f t="shared" si="15"/>
        <v>0</v>
      </c>
      <c r="K48" s="272">
        <f t="shared" si="15"/>
        <v>0</v>
      </c>
      <c r="L48" s="272">
        <f t="shared" si="15"/>
        <v>34.696483261115439</v>
      </c>
      <c r="M48" s="272">
        <f t="shared" si="15"/>
        <v>0</v>
      </c>
      <c r="N48" s="250">
        <f t="shared" si="15"/>
        <v>0</v>
      </c>
      <c r="O48" s="135">
        <f>SUM(D48:N48)</f>
        <v>35.537194895151437</v>
      </c>
      <c r="T48" s="65"/>
      <c r="U48" s="285"/>
    </row>
    <row r="49" spans="2:21" ht="12.75" customHeight="1">
      <c r="B49" s="258"/>
      <c r="C49" s="258"/>
      <c r="D49" s="258"/>
      <c r="E49" s="258"/>
      <c r="F49" s="258"/>
      <c r="G49" s="258"/>
      <c r="H49" s="258"/>
      <c r="I49" s="258"/>
      <c r="O49" s="284">
        <f>O35+O38+O41+O48</f>
        <v>72.097498869226484</v>
      </c>
      <c r="P49" s="257">
        <f>O49/3.6</f>
        <v>20.027083019229579</v>
      </c>
      <c r="Q49" s="376">
        <f>O49/S5</f>
        <v>1722.0191762020274</v>
      </c>
      <c r="T49" s="65"/>
      <c r="U49" s="285"/>
    </row>
    <row r="50" spans="2:21" ht="12.75" customHeight="1"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84" t="s">
        <v>10</v>
      </c>
      <c r="P50" s="257" t="s">
        <v>143</v>
      </c>
      <c r="Q50" s="257" t="s">
        <v>500</v>
      </c>
      <c r="T50" s="65"/>
      <c r="U50" s="285"/>
    </row>
    <row r="51" spans="2:21">
      <c r="B51" s="258"/>
      <c r="C51" s="258"/>
      <c r="D51" s="258"/>
      <c r="E51" s="269"/>
      <c r="F51" s="258"/>
      <c r="G51" s="258"/>
      <c r="H51" s="258"/>
      <c r="N51" s="284"/>
    </row>
    <row r="52" spans="2:21" ht="18.75">
      <c r="B52" s="270" t="s">
        <v>524</v>
      </c>
      <c r="C52" s="293"/>
      <c r="D52" s="293"/>
      <c r="E52" s="269"/>
      <c r="F52" s="258"/>
      <c r="G52" s="258"/>
      <c r="H52" s="258"/>
      <c r="N52" s="284"/>
    </row>
    <row r="53" spans="2:21" ht="13.5" thickBot="1">
      <c r="B53" s="282" t="s">
        <v>19</v>
      </c>
      <c r="C53" s="256" t="s">
        <v>95</v>
      </c>
      <c r="D53" s="256" t="s">
        <v>63</v>
      </c>
      <c r="E53" s="269"/>
      <c r="F53" s="258"/>
      <c r="G53" s="258"/>
      <c r="H53" s="258"/>
      <c r="N53" s="284"/>
    </row>
    <row r="54" spans="2:21">
      <c r="B54" s="260" t="s">
        <v>377</v>
      </c>
      <c r="C54" s="259">
        <f>SUM('Commercial SEAI'!C6:G6)/1000</f>
        <v>109.35299999999999</v>
      </c>
      <c r="D54" s="283">
        <f>C54/$C$56</f>
        <v>0.60226405591922583</v>
      </c>
      <c r="E54" s="269"/>
      <c r="F54" s="258"/>
      <c r="G54" s="258"/>
      <c r="H54" s="258"/>
      <c r="N54" s="284"/>
    </row>
    <row r="55" spans="2:21">
      <c r="B55" s="260" t="s">
        <v>356</v>
      </c>
      <c r="C55" s="365">
        <f>C54*O11/O10</f>
        <v>72.216859474838301</v>
      </c>
      <c r="D55" s="283">
        <f>C55/$C$56</f>
        <v>0.39773594408077412</v>
      </c>
      <c r="E55" s="269"/>
      <c r="F55" s="258"/>
      <c r="G55" s="258"/>
      <c r="H55" s="258"/>
      <c r="N55" s="284"/>
    </row>
    <row r="56" spans="2:21" ht="13.5" thickBot="1">
      <c r="B56" s="267" t="s">
        <v>2</v>
      </c>
      <c r="C56" s="396">
        <f>SUM(C54:C55)</f>
        <v>181.5698594748383</v>
      </c>
      <c r="D56" s="394">
        <f>SUM(D54:D55)</f>
        <v>1</v>
      </c>
      <c r="E56" s="269"/>
      <c r="F56" s="258"/>
      <c r="G56" s="258"/>
      <c r="H56" s="258"/>
      <c r="N56" s="284"/>
    </row>
    <row r="57" spans="2:21">
      <c r="B57" s="258"/>
      <c r="C57" s="258"/>
      <c r="D57" s="258"/>
      <c r="E57" s="269"/>
      <c r="F57" s="258"/>
      <c r="G57" s="258"/>
      <c r="H57" s="258"/>
      <c r="N57" s="284"/>
    </row>
    <row r="58" spans="2:21">
      <c r="B58" s="258"/>
      <c r="C58" s="258"/>
      <c r="D58" s="258"/>
      <c r="E58" s="269"/>
      <c r="F58" s="258"/>
      <c r="G58" s="258"/>
      <c r="H58" s="258"/>
      <c r="N58" s="284"/>
    </row>
    <row r="59" spans="2:21">
      <c r="B59" s="258"/>
      <c r="C59" s="258"/>
      <c r="D59" s="258"/>
      <c r="E59" s="269"/>
      <c r="F59" s="258"/>
      <c r="G59" s="258"/>
      <c r="H59" s="258"/>
      <c r="N59" s="284"/>
    </row>
    <row r="60" spans="2:21" ht="18.75">
      <c r="B60" s="270" t="s">
        <v>96</v>
      </c>
      <c r="C60" s="293"/>
      <c r="D60" s="293"/>
    </row>
    <row r="61" spans="2:21" ht="13.5" thickBot="1">
      <c r="B61" s="282" t="s">
        <v>19</v>
      </c>
      <c r="C61" s="256" t="s">
        <v>95</v>
      </c>
      <c r="D61" s="256" t="s">
        <v>63</v>
      </c>
      <c r="F61" s="363"/>
      <c r="G61" s="363"/>
      <c r="H61" s="363"/>
      <c r="I61" s="363"/>
      <c r="J61" s="363"/>
      <c r="K61" s="363"/>
    </row>
    <row r="62" spans="2:21" ht="15">
      <c r="B62" s="260" t="s">
        <v>377</v>
      </c>
      <c r="C62" s="364">
        <f>C54*SUMPRODUCT('Commercial SEAI'!C6:G6,'Commercial SEAI'!C8:G8)/SUM('Commercial SEAI'!C6:G6)</f>
        <v>68243.948999999993</v>
      </c>
      <c r="D62" s="283">
        <f>C62/$C$64</f>
        <v>0.58513582154165322</v>
      </c>
      <c r="F62" s="372"/>
      <c r="G62" s="363"/>
      <c r="H62" s="363"/>
      <c r="I62" s="363"/>
      <c r="J62" s="363"/>
      <c r="K62" s="363"/>
      <c r="L62" s="371"/>
      <c r="M62" s="372"/>
    </row>
    <row r="63" spans="2:21" ht="15">
      <c r="B63" s="260" t="s">
        <v>356</v>
      </c>
      <c r="C63" s="364">
        <f>C55*'CSO data'!O36</f>
        <v>48385.295848141664</v>
      </c>
      <c r="D63" s="283">
        <f>C63/$C$64</f>
        <v>0.41486417845834683</v>
      </c>
      <c r="F63" s="372"/>
      <c r="G63" s="363"/>
      <c r="H63" s="397"/>
      <c r="I63" s="363"/>
      <c r="J63" s="363"/>
      <c r="K63" s="363"/>
      <c r="L63" s="371"/>
      <c r="M63" s="372"/>
    </row>
    <row r="64" spans="2:21" ht="13.5" thickBot="1">
      <c r="B64" s="267" t="s">
        <v>2</v>
      </c>
      <c r="C64" s="396">
        <f>SUM(C62:C63)</f>
        <v>116629.24484814165</v>
      </c>
      <c r="D64" s="394">
        <f>SUM(D62:D63)</f>
        <v>1</v>
      </c>
    </row>
    <row r="65" spans="2:9">
      <c r="B65" s="363"/>
      <c r="C65" s="392"/>
      <c r="D65" s="393"/>
    </row>
    <row r="66" spans="2:9">
      <c r="B66" s="363"/>
      <c r="C66" s="392"/>
      <c r="D66" s="393"/>
    </row>
    <row r="67" spans="2:9">
      <c r="B67" s="363"/>
      <c r="C67" s="392"/>
      <c r="D67" s="393"/>
    </row>
    <row r="68" spans="2:9" ht="18.75">
      <c r="B68" s="270" t="s">
        <v>560</v>
      </c>
      <c r="C68" s="271"/>
      <c r="D68" s="271"/>
      <c r="E68" s="363"/>
      <c r="I68" s="299"/>
    </row>
    <row r="69" spans="2:9">
      <c r="B69" s="260" t="s">
        <v>19</v>
      </c>
      <c r="C69" s="260" t="s">
        <v>95</v>
      </c>
      <c r="D69" s="260" t="s">
        <v>559</v>
      </c>
      <c r="E69" s="363"/>
    </row>
    <row r="70" spans="2:9">
      <c r="B70" s="260" t="s">
        <v>377</v>
      </c>
      <c r="C70" s="259">
        <f>C62*D70</f>
        <v>17129.231198999998</v>
      </c>
      <c r="D70" s="366">
        <f>SUMPRODUCT('Commercial SEAI'!C40:G40,'Commercial SEAI'!C7:G7)/SUM('Commercial SEAI'!C7:G7)</f>
        <v>0.251</v>
      </c>
      <c r="E70" s="363"/>
    </row>
    <row r="71" spans="2:9">
      <c r="B71" s="260" t="s">
        <v>356</v>
      </c>
      <c r="C71" s="259">
        <f>C63*D71</f>
        <v>12144.709257883558</v>
      </c>
      <c r="D71" s="395">
        <f>D70</f>
        <v>0.251</v>
      </c>
      <c r="E71" s="363"/>
    </row>
    <row r="72" spans="2:9" ht="13.5" thickBot="1">
      <c r="B72" s="267" t="s">
        <v>2</v>
      </c>
      <c r="C72" s="396">
        <f>SUM(C70:C71)</f>
        <v>29273.940456883556</v>
      </c>
      <c r="D72" s="394">
        <f>SUM(D70:D71)</f>
        <v>0.502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4">
    <tabColor rgb="FFFFC000"/>
  </sheetPr>
  <dimension ref="B2:K40"/>
  <sheetViews>
    <sheetView tabSelected="1" topLeftCell="A19" zoomScale="80" zoomScaleNormal="80" workbookViewId="0">
      <selection activeCell="E40" sqref="E40"/>
    </sheetView>
  </sheetViews>
  <sheetFormatPr defaultColWidth="9.140625" defaultRowHeight="15"/>
  <cols>
    <col min="1" max="1" width="4.42578125" style="16" customWidth="1"/>
    <col min="2" max="2" width="36.85546875" style="16" bestFit="1" customWidth="1"/>
    <col min="3" max="3" width="10.85546875" style="16" customWidth="1"/>
    <col min="4" max="4" width="19.5703125" style="16" bestFit="1" customWidth="1"/>
    <col min="5" max="5" width="78.42578125" style="16" bestFit="1" customWidth="1"/>
    <col min="6" max="6" width="5.7109375" style="16" bestFit="1" customWidth="1"/>
    <col min="7" max="7" width="29.140625" style="16" bestFit="1" customWidth="1"/>
    <col min="8" max="8" width="17.42578125" style="16" bestFit="1" customWidth="1"/>
    <col min="9" max="9" width="18.42578125" style="16" bestFit="1" customWidth="1"/>
    <col min="10" max="10" width="21.42578125" style="16" bestFit="1" customWidth="1"/>
    <col min="11" max="12" width="11.42578125" style="16" customWidth="1"/>
    <col min="13" max="13" width="6.42578125" style="16" customWidth="1"/>
    <col min="14" max="14" width="48.5703125" style="16" bestFit="1" customWidth="1"/>
    <col min="15" max="255" width="11.42578125" style="16" customWidth="1"/>
    <col min="256" max="16384" width="9.140625" style="16"/>
  </cols>
  <sheetData>
    <row r="2" spans="2:11" ht="18.75">
      <c r="B2" s="17" t="s">
        <v>177</v>
      </c>
      <c r="C2" s="17"/>
      <c r="D2" s="18"/>
      <c r="E2" s="18"/>
      <c r="F2" s="19"/>
      <c r="G2" s="19"/>
      <c r="H2" s="19"/>
      <c r="I2" s="19"/>
      <c r="J2" s="19"/>
    </row>
    <row r="3" spans="2:11">
      <c r="B3" s="15" t="s">
        <v>80</v>
      </c>
      <c r="C3" s="15"/>
      <c r="D3" s="20"/>
      <c r="E3" s="20"/>
      <c r="F3" s="20"/>
      <c r="G3" s="20"/>
      <c r="H3" s="20"/>
      <c r="I3" s="20"/>
      <c r="J3" s="20"/>
    </row>
    <row r="4" spans="2:11" ht="15.75" thickBot="1">
      <c r="B4" s="21" t="s">
        <v>76</v>
      </c>
      <c r="C4" s="522" t="s">
        <v>603</v>
      </c>
      <c r="D4" s="21" t="s">
        <v>17</v>
      </c>
      <c r="E4" s="21" t="s">
        <v>18</v>
      </c>
      <c r="F4" s="21" t="s">
        <v>19</v>
      </c>
      <c r="G4" s="21" t="s">
        <v>73</v>
      </c>
      <c r="H4" s="21" t="s">
        <v>77</v>
      </c>
      <c r="I4" s="21" t="s">
        <v>74</v>
      </c>
      <c r="J4" s="21" t="s">
        <v>82</v>
      </c>
    </row>
    <row r="5" spans="2:11" ht="15.75">
      <c r="B5" s="22" t="s">
        <v>170</v>
      </c>
      <c r="C5" s="22" t="s">
        <v>603</v>
      </c>
      <c r="D5" s="22" t="s">
        <v>171</v>
      </c>
      <c r="E5" s="22" t="s">
        <v>172</v>
      </c>
      <c r="F5" s="22" t="s">
        <v>19</v>
      </c>
      <c r="G5" s="22" t="s">
        <v>173</v>
      </c>
      <c r="H5" s="22" t="s">
        <v>174</v>
      </c>
      <c r="I5" s="22" t="s">
        <v>175</v>
      </c>
      <c r="J5" s="22" t="s">
        <v>176</v>
      </c>
    </row>
    <row r="6" spans="2:11">
      <c r="B6" s="26" t="s">
        <v>134</v>
      </c>
      <c r="C6" s="29" t="str">
        <f>_xlfn.TEXTJOIN(",",TRUE,IF(LEFT(Regions!$C$3,1)&lt;&gt;"*",Regions!$C$3,""),IF(LEFT(Regions!$D$3,1)&lt;&gt;"*",Regions!$D$3,""))</f>
        <v>IE,National</v>
      </c>
      <c r="D6" s="27" t="s">
        <v>65</v>
      </c>
      <c r="E6" s="23" t="s">
        <v>50</v>
      </c>
      <c r="F6" s="23" t="s">
        <v>10</v>
      </c>
      <c r="G6" s="23"/>
      <c r="H6" s="23"/>
      <c r="I6" s="23"/>
      <c r="J6" s="23"/>
    </row>
    <row r="7" spans="2:11">
      <c r="B7" s="26"/>
      <c r="C7" s="29" t="str">
        <f>_xlfn.TEXTJOIN(",",TRUE,IF(LEFT(Regions!$C$3,1)&lt;&gt;"*",Regions!$C$3,""),IF(LEFT(Regions!$D$3,1)&lt;&gt;"*",Regions!$D$3,""))</f>
        <v>IE,National</v>
      </c>
      <c r="D7" s="27" t="s">
        <v>66</v>
      </c>
      <c r="E7" s="23" t="s">
        <v>43</v>
      </c>
      <c r="F7" s="23" t="s">
        <v>10</v>
      </c>
      <c r="G7" s="23"/>
      <c r="H7" s="23"/>
      <c r="I7" s="23"/>
      <c r="J7" s="23"/>
    </row>
    <row r="8" spans="2:11">
      <c r="B8" s="23"/>
      <c r="C8" s="23" t="str">
        <f>_xlfn.TEXTJOIN(",",TRUE,IF(LEFT(Regions!$C$3,1)&lt;&gt;"*",Regions!$C$3,""),IF(LEFT(Regions!$D$3,1)&lt;&gt;"*",Regions!$D$3,""))</f>
        <v>IE,National</v>
      </c>
      <c r="D8" s="27" t="s">
        <v>67</v>
      </c>
      <c r="E8" s="23" t="s">
        <v>44</v>
      </c>
      <c r="F8" s="23" t="s">
        <v>10</v>
      </c>
      <c r="G8" s="23"/>
      <c r="H8" s="23"/>
      <c r="I8" s="23"/>
      <c r="J8" s="23"/>
    </row>
    <row r="9" spans="2:11">
      <c r="B9" s="26"/>
      <c r="C9" s="29" t="str">
        <f>_xlfn.TEXTJOIN(",",TRUE,IF(LEFT(Regions!$C$3,1)&lt;&gt;"*",Regions!$C$3,""),IF(LEFT(Regions!$D$3,1)&lt;&gt;"*",Regions!$D$3,""))</f>
        <v>IE,National</v>
      </c>
      <c r="D9" s="27" t="s">
        <v>68</v>
      </c>
      <c r="E9" s="23" t="s">
        <v>45</v>
      </c>
      <c r="F9" s="23" t="s">
        <v>10</v>
      </c>
      <c r="G9" s="23"/>
      <c r="H9" s="23" t="s">
        <v>378</v>
      </c>
      <c r="I9" s="23"/>
      <c r="J9" s="23"/>
    </row>
    <row r="10" spans="2:11">
      <c r="B10" s="26"/>
      <c r="C10" s="29" t="str">
        <f>_xlfn.TEXTJOIN(",",TRUE,IF(LEFT(Regions!$C$3,1)&lt;&gt;"*",Regions!$C$3,""),IF(LEFT(Regions!$D$3,1)&lt;&gt;"*",Regions!$D$3,""))</f>
        <v>IE,National</v>
      </c>
      <c r="D10" s="27" t="s">
        <v>69</v>
      </c>
      <c r="E10" s="23" t="s">
        <v>46</v>
      </c>
      <c r="F10" s="23" t="s">
        <v>10</v>
      </c>
      <c r="G10" s="23"/>
      <c r="H10" s="23"/>
      <c r="I10" s="23"/>
      <c r="J10" s="23"/>
    </row>
    <row r="11" spans="2:11">
      <c r="B11" s="29"/>
      <c r="C11" s="29" t="str">
        <f>_xlfn.TEXTJOIN(",",TRUE,IF(LEFT(Regions!$C$3,1)&lt;&gt;"*",Regions!$C$3,""),IF(LEFT(Regions!$D$3,1)&lt;&gt;"*",Regions!$D$3,""))</f>
        <v>IE,National</v>
      </c>
      <c r="D11" s="27" t="s">
        <v>70</v>
      </c>
      <c r="E11" s="29" t="s">
        <v>47</v>
      </c>
      <c r="F11" s="29" t="s">
        <v>10</v>
      </c>
      <c r="G11" s="29"/>
      <c r="H11" s="29"/>
      <c r="I11" s="29"/>
      <c r="J11" s="29"/>
    </row>
    <row r="12" spans="2:11">
      <c r="B12" s="29"/>
      <c r="C12" s="29" t="str">
        <f>_xlfn.TEXTJOIN(",",TRUE,IF(LEFT(Regions!$C$3,1)&lt;&gt;"*",Regions!$C$3,""),IF(LEFT(Regions!$D$3,1)&lt;&gt;"*",Regions!$D$3,""))</f>
        <v>IE,National</v>
      </c>
      <c r="D12" s="27" t="s">
        <v>71</v>
      </c>
      <c r="E12" s="29" t="s">
        <v>48</v>
      </c>
      <c r="F12" s="29" t="s">
        <v>10</v>
      </c>
      <c r="G12" s="29"/>
      <c r="H12" s="29"/>
      <c r="I12" s="29"/>
      <c r="J12" s="29"/>
    </row>
    <row r="13" spans="2:11">
      <c r="B13" s="26"/>
      <c r="C13" s="29" t="str">
        <f>_xlfn.TEXTJOIN(",",TRUE,IF(LEFT(Regions!$C$3,1)&lt;&gt;"*",Regions!$C$3,""),IF(LEFT(Regions!$D$3,1)&lt;&gt;"*",Regions!$D$3,""))</f>
        <v>IE,National</v>
      </c>
      <c r="D13" s="27" t="s">
        <v>72</v>
      </c>
      <c r="E13" s="29" t="s">
        <v>49</v>
      </c>
      <c r="F13" s="29" t="s">
        <v>10</v>
      </c>
      <c r="G13" s="29"/>
      <c r="H13" s="29" t="s">
        <v>75</v>
      </c>
      <c r="I13" s="29"/>
      <c r="J13" s="29" t="s">
        <v>0</v>
      </c>
    </row>
    <row r="14" spans="2:11">
      <c r="B14" s="26"/>
      <c r="C14" s="29" t="str">
        <f>_xlfn.TEXTJOIN(",",TRUE,IF(LEFT(Regions!$C$3,1)&lt;&gt;"*",Regions!$C$3,""),IF(LEFT(Regions!$D$3,1)&lt;&gt;"*",Regions!$D$3,""))</f>
        <v>IE,National</v>
      </c>
      <c r="D14" s="27" t="s">
        <v>211</v>
      </c>
      <c r="E14" s="28" t="s">
        <v>541</v>
      </c>
      <c r="F14" s="29" t="s">
        <v>10</v>
      </c>
      <c r="G14" s="29"/>
      <c r="H14" s="29" t="s">
        <v>378</v>
      </c>
      <c r="I14" s="29"/>
      <c r="J14" s="29"/>
      <c r="K14" s="25"/>
    </row>
    <row r="15" spans="2:11">
      <c r="B15" s="26"/>
      <c r="C15" s="29" t="str">
        <f>_xlfn.TEXTJOIN(",",TRUE,IF(LEFT(Regions!$C$3,1)&lt;&gt;"*",Regions!$C$3,""),IF(LEFT(Regions!$D$3,1)&lt;&gt;"*",Regions!$D$3,""))</f>
        <v>IE,National</v>
      </c>
      <c r="D15" s="27" t="s">
        <v>115</v>
      </c>
      <c r="E15" s="29" t="s">
        <v>116</v>
      </c>
      <c r="F15" s="29" t="s">
        <v>10</v>
      </c>
      <c r="G15" s="29"/>
      <c r="H15" s="29" t="s">
        <v>378</v>
      </c>
      <c r="I15" s="29"/>
      <c r="J15" s="5"/>
    </row>
    <row r="16" spans="2:11">
      <c r="B16" s="26"/>
      <c r="C16" s="29" t="str">
        <f>_xlfn.TEXTJOIN(",",TRUE,IF(LEFT(Regions!$C$3,1)&lt;&gt;"*",Regions!$C$3,""),IF(LEFT(Regions!$D$3,1)&lt;&gt;"*",Regions!$D$3,""))</f>
        <v>IE,National</v>
      </c>
      <c r="D16" s="27" t="s">
        <v>117</v>
      </c>
      <c r="E16" s="29" t="s">
        <v>118</v>
      </c>
      <c r="F16" s="29" t="s">
        <v>10</v>
      </c>
      <c r="G16" s="29"/>
      <c r="H16" s="29"/>
      <c r="I16" s="29"/>
      <c r="J16" s="29"/>
    </row>
    <row r="17" spans="2:10">
      <c r="B17" s="26"/>
      <c r="C17" s="29" t="str">
        <f>_xlfn.TEXTJOIN(",",TRUE,IF(LEFT(Regions!$C$3,1)&lt;&gt;"*",Regions!$C$3,""),IF(LEFT(Regions!$D$3,1)&lt;&gt;"*",Regions!$D$3,""))</f>
        <v>IE,National</v>
      </c>
      <c r="D17" s="27" t="s">
        <v>526</v>
      </c>
      <c r="E17" s="28" t="s">
        <v>105</v>
      </c>
      <c r="F17" s="29" t="s">
        <v>10</v>
      </c>
      <c r="G17" s="29"/>
      <c r="H17" s="29"/>
      <c r="I17" s="29"/>
      <c r="J17" s="29"/>
    </row>
    <row r="18" spans="2:10">
      <c r="B18" s="26"/>
      <c r="C18" s="29" t="str">
        <f>_xlfn.TEXTJOIN(",",TRUE,IF(LEFT(Regions!$C$3,1)&lt;&gt;"*",Regions!$C$3,""),IF(LEFT(Regions!$D$3,1)&lt;&gt;"*",Regions!$D$3,""))</f>
        <v>IE,National</v>
      </c>
      <c r="D18" s="27" t="s">
        <v>104</v>
      </c>
      <c r="E18" s="227" t="s">
        <v>106</v>
      </c>
      <c r="F18" s="29" t="s">
        <v>10</v>
      </c>
      <c r="G18" s="29"/>
      <c r="H18" s="29"/>
      <c r="I18" s="29"/>
      <c r="J18" s="29"/>
    </row>
    <row r="19" spans="2:10">
      <c r="B19" s="26"/>
      <c r="C19" s="29" t="str">
        <f>_xlfn.TEXTJOIN(",",TRUE,IF(LEFT(Regions!$C$3,1)&lt;&gt;"*",Regions!$C$3,""),IF(LEFT(Regions!$D$3,1)&lt;&gt;"*",Regions!$D$3,""))</f>
        <v>IE,National</v>
      </c>
      <c r="D19" s="479" t="s">
        <v>535</v>
      </c>
      <c r="E19" s="480" t="s">
        <v>534</v>
      </c>
      <c r="F19" s="481" t="s">
        <v>10</v>
      </c>
      <c r="G19" s="481"/>
      <c r="H19" s="29" t="s">
        <v>378</v>
      </c>
      <c r="I19" s="29"/>
      <c r="J19" s="29"/>
    </row>
    <row r="20" spans="2:10">
      <c r="B20" s="30"/>
      <c r="C20" s="24" t="str">
        <f>_xlfn.TEXTJOIN(",",TRUE,IF(LEFT(Regions!$C$3,1)&lt;&gt;"*",Regions!$C$3,""),IF(LEFT(Regions!$D$3,1)&lt;&gt;"*",Regions!$D$3,""))</f>
        <v>IE,National</v>
      </c>
      <c r="D20" s="484" t="s">
        <v>536</v>
      </c>
      <c r="E20" s="484" t="s">
        <v>537</v>
      </c>
      <c r="F20" s="483" t="s">
        <v>10</v>
      </c>
      <c r="G20" s="483"/>
      <c r="H20" s="24" t="s">
        <v>378</v>
      </c>
      <c r="I20" s="24"/>
      <c r="J20" s="24"/>
    </row>
    <row r="21" spans="2:10">
      <c r="B21" s="26" t="s">
        <v>134</v>
      </c>
      <c r="C21" s="29" t="str">
        <f>_xlfn.TEXTJOIN(",",TRUE,IF(LEFT(Regions!$C$3,1)&lt;&gt;"*",Regions!$C$3,""),IF(LEFT(Regions!$D$3,1)&lt;&gt;"*",Regions!$D$3,""))</f>
        <v>IE,National</v>
      </c>
      <c r="D21" s="530" t="s">
        <v>605</v>
      </c>
      <c r="E21" s="478" t="s">
        <v>542</v>
      </c>
      <c r="F21" s="226" t="s">
        <v>10</v>
      </c>
      <c r="G21" s="226"/>
      <c r="H21" s="29"/>
      <c r="I21" s="29"/>
      <c r="J21" s="29"/>
    </row>
    <row r="22" spans="2:10">
      <c r="B22" s="304" t="s">
        <v>64</v>
      </c>
      <c r="C22" s="523" t="str">
        <f>_xlfn.TEXTJOIN(",",TRUE,IF(LEFT(Regions!$C$3,1)&lt;&gt;"*",Regions!$C$3,""),IF(LEFT(Regions!$D$3,1)&lt;&gt;"*",Regions!$D$3,""))</f>
        <v>IE,National</v>
      </c>
      <c r="D22" s="305" t="s">
        <v>98</v>
      </c>
      <c r="E22" s="306" t="s">
        <v>97</v>
      </c>
      <c r="F22" s="305" t="s">
        <v>55</v>
      </c>
      <c r="G22" s="305"/>
      <c r="H22" s="305"/>
      <c r="I22" s="305"/>
      <c r="J22" s="305"/>
    </row>
    <row r="23" spans="2:10">
      <c r="B23" s="26"/>
      <c r="C23" s="29" t="str">
        <f>_xlfn.TEXTJOIN(",",TRUE,IF(LEFT(Regions!$C$3,1)&lt;&gt;"*",Regions!$C$3,""),IF(LEFT(Regions!$D$3,1)&lt;&gt;"*",Regions!$D$3,""))</f>
        <v>IE,National</v>
      </c>
      <c r="D23" s="29" t="s">
        <v>367</v>
      </c>
      <c r="E23" s="28" t="s">
        <v>372</v>
      </c>
      <c r="F23" s="29" t="s">
        <v>55</v>
      </c>
      <c r="G23" s="29"/>
      <c r="H23" s="29"/>
      <c r="I23" s="29"/>
      <c r="J23" s="29"/>
    </row>
    <row r="24" spans="2:10">
      <c r="B24" s="26"/>
      <c r="C24" s="29" t="str">
        <f>_xlfn.TEXTJOIN(",",TRUE,IF(LEFT(Regions!$C$3,1)&lt;&gt;"*",Regions!$C$3,""),IF(LEFT(Regions!$D$3,1)&lt;&gt;"*",Regions!$D$3,""))</f>
        <v>IE,National</v>
      </c>
      <c r="D24" s="29" t="s">
        <v>368</v>
      </c>
      <c r="E24" s="28" t="s">
        <v>373</v>
      </c>
      <c r="F24" s="29" t="s">
        <v>55</v>
      </c>
      <c r="G24" s="29"/>
      <c r="H24" s="29"/>
      <c r="I24" s="29"/>
      <c r="J24" s="29"/>
    </row>
    <row r="25" spans="2:10">
      <c r="B25" s="26"/>
      <c r="C25" s="29" t="str">
        <f>_xlfn.TEXTJOIN(",",TRUE,IF(LEFT(Regions!$C$3,1)&lt;&gt;"*",Regions!$C$3,""),IF(LEFT(Regions!$D$3,1)&lt;&gt;"*",Regions!$D$3,""))</f>
        <v>IE,National</v>
      </c>
      <c r="D25" s="29" t="s">
        <v>369</v>
      </c>
      <c r="E25" s="28" t="s">
        <v>374</v>
      </c>
      <c r="F25" s="29" t="s">
        <v>55</v>
      </c>
      <c r="G25" s="29"/>
      <c r="H25" s="29"/>
      <c r="I25" s="29"/>
      <c r="J25" s="29"/>
    </row>
    <row r="26" spans="2:10">
      <c r="B26" s="26"/>
      <c r="C26" s="29" t="str">
        <f>_xlfn.TEXTJOIN(",",TRUE,IF(LEFT(Regions!$C$3,1)&lt;&gt;"*",Regions!$C$3,""),IF(LEFT(Regions!$D$3,1)&lt;&gt;"*",Regions!$D$3,""))</f>
        <v>IE,National</v>
      </c>
      <c r="D26" s="29" t="s">
        <v>370</v>
      </c>
      <c r="E26" s="28" t="s">
        <v>375</v>
      </c>
      <c r="F26" s="29" t="s">
        <v>55</v>
      </c>
      <c r="G26" s="29"/>
      <c r="H26" s="29"/>
      <c r="I26" s="29"/>
      <c r="J26" s="29"/>
    </row>
    <row r="27" spans="2:10">
      <c r="B27" s="30"/>
      <c r="C27" s="24" t="str">
        <f>_xlfn.TEXTJOIN(",",TRUE,IF(LEFT(Regions!$C$3,1)&lt;&gt;"*",Regions!$C$3,""),IF(LEFT(Regions!$D$3,1)&lt;&gt;"*",Regions!$D$3,""))</f>
        <v>IE,National</v>
      </c>
      <c r="D27" s="24" t="s">
        <v>371</v>
      </c>
      <c r="E27" s="31" t="s">
        <v>376</v>
      </c>
      <c r="F27" s="24" t="s">
        <v>55</v>
      </c>
      <c r="G27" s="24"/>
      <c r="H27" s="24"/>
      <c r="I27" s="24"/>
      <c r="J27" s="24"/>
    </row>
    <row r="28" spans="2:10">
      <c r="B28" s="26" t="s">
        <v>135</v>
      </c>
      <c r="C28" s="29" t="str">
        <f>_xlfn.TEXTJOIN(",",TRUE,IF(LEFT(Regions!$C$3,1)&lt;&gt;"*",Regions!$C$3,""),IF(LEFT(Regions!$D$3,1)&lt;&gt;"*",Regions!$D$3,""))</f>
        <v>IE,National</v>
      </c>
      <c r="D28" s="32" t="str">
        <f>"CH"&amp;COM_Balance!$R$11</f>
        <v>CHCS</v>
      </c>
      <c r="E28" s="32" t="s">
        <v>389</v>
      </c>
      <c r="F28" s="29" t="s">
        <v>10</v>
      </c>
      <c r="G28" s="23"/>
      <c r="H28" s="29"/>
      <c r="I28" s="23"/>
      <c r="J28" s="23"/>
    </row>
    <row r="29" spans="2:10">
      <c r="B29" s="23"/>
      <c r="C29" s="23" t="str">
        <f>_xlfn.TEXTJOIN(",",TRUE,IF(LEFT(Regions!$C$3,1)&lt;&gt;"*",Regions!$C$3,""),IF(LEFT(Regions!$D$3,1)&lt;&gt;"*",Regions!$D$3,""))</f>
        <v>IE,National</v>
      </c>
      <c r="D29" s="31" t="str">
        <f>"CH"&amp;COM_Balance!$R$12</f>
        <v>CHPS</v>
      </c>
      <c r="E29" s="31" t="s">
        <v>394</v>
      </c>
      <c r="F29" s="24" t="s">
        <v>10</v>
      </c>
      <c r="G29" s="24"/>
      <c r="H29" s="24"/>
      <c r="I29" s="24"/>
      <c r="J29" s="24"/>
    </row>
    <row r="30" spans="2:10">
      <c r="B30" s="26"/>
      <c r="C30" s="29" t="str">
        <f>_xlfn.TEXTJOIN(",",TRUE,IF(LEFT(Regions!$C$3,1)&lt;&gt;"*",Regions!$C$3,""),IF(LEFT(Regions!$D$3,1)&lt;&gt;"*",Regions!$D$3,""))</f>
        <v>IE,National</v>
      </c>
      <c r="D30" s="32" t="str">
        <f>"CC"&amp;COM_Balance!$R$11</f>
        <v>CCCS</v>
      </c>
      <c r="E30" s="32" t="s">
        <v>392</v>
      </c>
      <c r="F30" s="29" t="s">
        <v>10</v>
      </c>
      <c r="G30" s="23"/>
      <c r="H30" s="29"/>
      <c r="I30" s="23"/>
      <c r="J30" s="23"/>
    </row>
    <row r="31" spans="2:10">
      <c r="B31" s="23"/>
      <c r="C31" s="23" t="str">
        <f>_xlfn.TEXTJOIN(",",TRUE,IF(LEFT(Regions!$C$3,1)&lt;&gt;"*",Regions!$C$3,""),IF(LEFT(Regions!$D$3,1)&lt;&gt;"*",Regions!$D$3,""))</f>
        <v>IE,National</v>
      </c>
      <c r="D31" s="31" t="str">
        <f>"CC"&amp;COM_Balance!$R$12</f>
        <v>CCPS</v>
      </c>
      <c r="E31" s="31" t="s">
        <v>393</v>
      </c>
      <c r="F31" s="24" t="s">
        <v>10</v>
      </c>
      <c r="G31" s="24"/>
      <c r="H31" s="24"/>
      <c r="I31" s="24"/>
      <c r="J31" s="24"/>
    </row>
    <row r="32" spans="2:10">
      <c r="B32" s="26"/>
      <c r="C32" s="29" t="str">
        <f>_xlfn.TEXTJOIN(",",TRUE,IF(LEFT(Regions!$C$3,1)&lt;&gt;"*",Regions!$C$3,""),IF(LEFT(Regions!$D$3,1)&lt;&gt;"*",Regions!$D$3,""))</f>
        <v>IE,National</v>
      </c>
      <c r="D32" s="32" t="str">
        <f>"CW"&amp;COM_Balance!$R$11</f>
        <v>CWCS</v>
      </c>
      <c r="E32" s="32" t="s">
        <v>390</v>
      </c>
      <c r="F32" s="29" t="s">
        <v>10</v>
      </c>
      <c r="G32" s="29"/>
      <c r="H32" s="29"/>
      <c r="I32" s="29"/>
      <c r="J32" s="29"/>
    </row>
    <row r="33" spans="2:10">
      <c r="B33" s="29"/>
      <c r="C33" s="29" t="str">
        <f>_xlfn.TEXTJOIN(",",TRUE,IF(LEFT(Regions!$C$3,1)&lt;&gt;"*",Regions!$C$3,""),IF(LEFT(Regions!$D$3,1)&lt;&gt;"*",Regions!$D$3,""))</f>
        <v>IE,National</v>
      </c>
      <c r="D33" s="31" t="str">
        <f>"CW"&amp;COM_Balance!$R$12</f>
        <v>CWPS</v>
      </c>
      <c r="E33" s="31" t="s">
        <v>391</v>
      </c>
      <c r="F33" s="24" t="s">
        <v>10</v>
      </c>
      <c r="G33" s="24"/>
      <c r="H33" s="24"/>
      <c r="I33" s="24"/>
      <c r="J33" s="24"/>
    </row>
    <row r="34" spans="2:10">
      <c r="B34" s="26"/>
      <c r="C34" s="29" t="str">
        <f>_xlfn.TEXTJOIN(",",TRUE,IF(LEFT(Regions!$C$3,1)&lt;&gt;"*",Regions!$C$3,""),IF(LEFT(Regions!$D$3,1)&lt;&gt;"*",Regions!$D$3,""))</f>
        <v>IE,National</v>
      </c>
      <c r="D34" s="32" t="s">
        <v>57</v>
      </c>
      <c r="E34" s="32" t="s">
        <v>383</v>
      </c>
      <c r="F34" s="29" t="s">
        <v>10</v>
      </c>
      <c r="G34" s="29"/>
      <c r="H34" s="29"/>
      <c r="I34" s="29"/>
      <c r="J34" s="29"/>
    </row>
    <row r="35" spans="2:10">
      <c r="B35" s="29"/>
      <c r="C35" s="29" t="str">
        <f>_xlfn.TEXTJOIN(",",TRUE,IF(LEFT(Regions!$C$3,1)&lt;&gt;"*",Regions!$C$3,""),IF(LEFT(Regions!$D$3,1)&lt;&gt;"*",Regions!$D$3,""))</f>
        <v>IE,National</v>
      </c>
      <c r="D35" s="32" t="s">
        <v>58</v>
      </c>
      <c r="E35" s="32" t="s">
        <v>384</v>
      </c>
      <c r="F35" s="29" t="s">
        <v>10</v>
      </c>
      <c r="G35" s="29"/>
      <c r="H35" s="29"/>
      <c r="I35" s="29"/>
      <c r="J35" s="29"/>
    </row>
    <row r="36" spans="2:10">
      <c r="B36" s="29"/>
      <c r="C36" s="29" t="str">
        <f>_xlfn.TEXTJOIN(",",TRUE,IF(LEFT(Regions!$C$3,1)&lt;&gt;"*",Regions!$C$3,""),IF(LEFT(Regions!$D$3,1)&lt;&gt;"*",Regions!$D$3,""))</f>
        <v>IE,National</v>
      </c>
      <c r="D36" s="32" t="s">
        <v>59</v>
      </c>
      <c r="E36" s="32" t="s">
        <v>385</v>
      </c>
      <c r="F36" s="29" t="s">
        <v>10</v>
      </c>
      <c r="G36" s="29"/>
      <c r="H36" s="29"/>
      <c r="I36" s="29"/>
      <c r="J36" s="29"/>
    </row>
    <row r="37" spans="2:10">
      <c r="B37" s="29"/>
      <c r="C37" s="29" t="str">
        <f>_xlfn.TEXTJOIN(",",TRUE,IF(LEFT(Regions!$C$3,1)&lt;&gt;"*",Regions!$C$3,""),IF(LEFT(Regions!$D$3,1)&lt;&gt;"*",Regions!$D$3,""))</f>
        <v>IE,National</v>
      </c>
      <c r="D37" s="32" t="s">
        <v>60</v>
      </c>
      <c r="E37" s="32" t="s">
        <v>386</v>
      </c>
      <c r="F37" s="29" t="s">
        <v>10</v>
      </c>
      <c r="G37" s="29"/>
      <c r="H37" s="29"/>
      <c r="I37" s="29"/>
      <c r="J37" s="29"/>
    </row>
    <row r="38" spans="2:10">
      <c r="B38" s="29"/>
      <c r="C38" s="29" t="str">
        <f>_xlfn.TEXTJOIN(",",TRUE,IF(LEFT(Regions!$C$3,1)&lt;&gt;"*",Regions!$C$3,""),IF(LEFT(Regions!$D$3,1)&lt;&gt;"*",Regions!$D$3,""))</f>
        <v>IE,National</v>
      </c>
      <c r="D38" s="28" t="s">
        <v>61</v>
      </c>
      <c r="E38" s="32" t="s">
        <v>387</v>
      </c>
      <c r="F38" s="29" t="s">
        <v>10</v>
      </c>
      <c r="G38" s="29"/>
      <c r="H38" s="29"/>
      <c r="I38" s="29"/>
      <c r="J38" s="29"/>
    </row>
    <row r="39" spans="2:10">
      <c r="B39" s="29"/>
      <c r="C39" s="29" t="str">
        <f>_xlfn.TEXTJOIN(",",TRUE,IF(LEFT(Regions!$C$3,1)&lt;&gt;"*",Regions!$C$3,""),IF(LEFT(Regions!$D$3,1)&lt;&gt;"*",Regions!$D$3,""))</f>
        <v>IE,National</v>
      </c>
      <c r="D39" s="28" t="s">
        <v>62</v>
      </c>
      <c r="E39" s="32" t="s">
        <v>388</v>
      </c>
      <c r="F39" s="29" t="s">
        <v>10</v>
      </c>
      <c r="G39" s="29"/>
      <c r="H39" s="29"/>
      <c r="I39" s="29"/>
      <c r="J39" s="29"/>
    </row>
    <row r="40" spans="2:10">
      <c r="C40" s="29" t="str">
        <f>_xlfn.TEXTJOIN(",",TRUE,IF(LEFT(Regions!$C$3,1)&lt;&gt;"*",Regions!$C$3,""),IF(LEFT(Regions!$D$3,1)&lt;&gt;"*",Regions!$D$3,""))</f>
        <v>IE,National</v>
      </c>
      <c r="D40" s="810" t="s">
        <v>642</v>
      </c>
      <c r="E40" s="811" t="s">
        <v>643</v>
      </c>
      <c r="F40" s="811" t="s">
        <v>10</v>
      </c>
      <c r="G40" s="811"/>
      <c r="H40" s="811"/>
      <c r="I40" s="811"/>
      <c r="J40" s="81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>
    <tabColor rgb="FFFFC000"/>
  </sheetPr>
  <dimension ref="B2:J101"/>
  <sheetViews>
    <sheetView zoomScaleNormal="100" workbookViewId="0">
      <pane ySplit="5" topLeftCell="A78" activePane="bottomLeft" state="frozen"/>
      <selection activeCell="O44" sqref="O44"/>
      <selection pane="bottomLeft" activeCell="G87" sqref="G87"/>
    </sheetView>
  </sheetViews>
  <sheetFormatPr defaultColWidth="9.140625" defaultRowHeight="15"/>
  <cols>
    <col min="1" max="1" width="9.140625" style="16" customWidth="1"/>
    <col min="2" max="2" width="18.7109375" style="16" customWidth="1"/>
    <col min="3" max="3" width="11.140625" style="16" bestFit="1" customWidth="1"/>
    <col min="4" max="4" width="18.7109375" style="16" customWidth="1"/>
    <col min="5" max="5" width="57.7109375" style="16" bestFit="1" customWidth="1"/>
    <col min="6" max="6" width="13.42578125" style="16" bestFit="1" customWidth="1"/>
    <col min="7" max="7" width="14.85546875" style="16" bestFit="1" customWidth="1"/>
    <col min="8" max="8" width="36.85546875" style="16" bestFit="1" customWidth="1"/>
    <col min="9" max="9" width="28.28515625" style="16" bestFit="1" customWidth="1"/>
    <col min="10" max="10" width="18.5703125" style="16" bestFit="1" customWidth="1"/>
    <col min="11" max="257" width="11.42578125" style="16" customWidth="1"/>
    <col min="258" max="16384" width="9.140625" style="16"/>
  </cols>
  <sheetData>
    <row r="2" spans="2:10" ht="18.75">
      <c r="B2" s="17" t="s">
        <v>169</v>
      </c>
      <c r="C2" s="17"/>
      <c r="D2" s="18"/>
      <c r="E2" s="19"/>
      <c r="F2" s="19"/>
      <c r="G2" s="19"/>
      <c r="H2" s="19"/>
      <c r="I2" s="19"/>
      <c r="J2" s="19"/>
    </row>
    <row r="3" spans="2:10">
      <c r="B3" s="15" t="s">
        <v>119</v>
      </c>
      <c r="C3" s="15"/>
      <c r="D3" s="20"/>
      <c r="E3" s="20"/>
      <c r="F3" s="20"/>
      <c r="G3" s="20"/>
      <c r="H3" s="20"/>
      <c r="I3" s="20"/>
      <c r="J3" s="20"/>
    </row>
    <row r="4" spans="2:10" ht="15.75" thickBot="1">
      <c r="B4" s="21" t="s">
        <v>120</v>
      </c>
      <c r="C4" s="522" t="s">
        <v>603</v>
      </c>
      <c r="D4" s="21" t="s">
        <v>15</v>
      </c>
      <c r="E4" s="21" t="s">
        <v>16</v>
      </c>
      <c r="F4" s="21" t="s">
        <v>121</v>
      </c>
      <c r="G4" s="21" t="s">
        <v>122</v>
      </c>
      <c r="H4" s="21" t="s">
        <v>123</v>
      </c>
      <c r="I4" s="21" t="s">
        <v>124</v>
      </c>
      <c r="J4" s="21" t="s">
        <v>125</v>
      </c>
    </row>
    <row r="5" spans="2:10" ht="15.75">
      <c r="B5" s="22" t="s">
        <v>161</v>
      </c>
      <c r="C5" s="22" t="s">
        <v>603</v>
      </c>
      <c r="D5" s="22" t="s">
        <v>162</v>
      </c>
      <c r="E5" s="22" t="s">
        <v>163</v>
      </c>
      <c r="F5" s="22" t="s">
        <v>164</v>
      </c>
      <c r="G5" s="22" t="s">
        <v>165</v>
      </c>
      <c r="H5" s="22" t="s">
        <v>166</v>
      </c>
      <c r="I5" s="22" t="s">
        <v>167</v>
      </c>
      <c r="J5" s="22" t="s">
        <v>168</v>
      </c>
    </row>
    <row r="6" spans="2:10">
      <c r="B6" s="15" t="s">
        <v>259</v>
      </c>
      <c r="C6" s="524" t="str">
        <f>_xlfn.TEXTJOIN(",",TRUE,IF(LEFT(Regions!$C$3,1)&lt;&gt;"*",Regions!$C$3,""),IF(LEFT(Regions!$D$3,1)&lt;&gt;"*",Regions!$D$3,""))</f>
        <v>IE,National</v>
      </c>
      <c r="D6" s="54" t="str">
        <f>COM_CH!D13</f>
        <v>CHCSCOA_00_Fur</v>
      </c>
      <c r="E6" s="54" t="str">
        <f>COM_CH!E13</f>
        <v>Existing commercial - CS Space Heat COA Furnace</v>
      </c>
      <c r="F6" s="23" t="s">
        <v>10</v>
      </c>
      <c r="G6" s="23" t="s">
        <v>113</v>
      </c>
      <c r="H6" s="54"/>
      <c r="I6" s="54"/>
      <c r="J6" s="54"/>
    </row>
    <row r="7" spans="2:10">
      <c r="B7" s="54"/>
      <c r="C7" s="54" t="str">
        <f>_xlfn.TEXTJOIN(",",TRUE,IF(LEFT(Regions!$C$3,1)&lt;&gt;"*",Regions!$C$3,""),IF(LEFT(Regions!$D$3,1)&lt;&gt;"*",Regions!$D$3,""))</f>
        <v>IE,National</v>
      </c>
      <c r="D7" s="54" t="str">
        <f>COM_CH!D14</f>
        <v>CHCSLPG_00_Boi</v>
      </c>
      <c r="E7" s="54" t="str">
        <f>COM_CH!E14</f>
        <v>Existing commercial - CS Space Heat LPG Boiler</v>
      </c>
      <c r="F7" s="23" t="s">
        <v>10</v>
      </c>
      <c r="G7" s="23" t="s">
        <v>113</v>
      </c>
      <c r="H7" s="54"/>
      <c r="I7" s="54"/>
      <c r="J7" s="54"/>
    </row>
    <row r="8" spans="2:10">
      <c r="B8" s="54"/>
      <c r="C8" s="54" t="str">
        <f>_xlfn.TEXTJOIN(",",TRUE,IF(LEFT(Regions!$C$3,1)&lt;&gt;"*",Regions!$C$3,""),IF(LEFT(Regions!$D$3,1)&lt;&gt;"*",Regions!$D$3,""))</f>
        <v>IE,National</v>
      </c>
      <c r="D8" s="54" t="str">
        <f>COM_CH!D15</f>
        <v>CHCSOIL_00_Boi</v>
      </c>
      <c r="E8" s="54" t="str">
        <f>COM_CH!E15</f>
        <v>Existing commercial - CS Space Heat OIL Boiler</v>
      </c>
      <c r="F8" s="23" t="s">
        <v>10</v>
      </c>
      <c r="G8" s="23" t="s">
        <v>113</v>
      </c>
      <c r="H8" s="54"/>
      <c r="I8" s="54"/>
      <c r="J8" s="54"/>
    </row>
    <row r="9" spans="2:10">
      <c r="B9" s="54"/>
      <c r="C9" s="54" t="str">
        <f>_xlfn.TEXTJOIN(",",TRUE,IF(LEFT(Regions!$C$3,1)&lt;&gt;"*",Regions!$C$3,""),IF(LEFT(Regions!$D$3,1)&lt;&gt;"*",Regions!$D$3,""))</f>
        <v>IE,National</v>
      </c>
      <c r="D9" s="54" t="str">
        <f>COM_CH!D16</f>
        <v>CHCSOIL_00_DBoi</v>
      </c>
      <c r="E9" s="54" t="str">
        <f>COM_CH!E16</f>
        <v>Existing commercial - CS Space Heat OIL Dual Boiler</v>
      </c>
      <c r="F9" s="23" t="s">
        <v>10</v>
      </c>
      <c r="G9" s="23" t="s">
        <v>113</v>
      </c>
      <c r="H9" s="54"/>
      <c r="I9" s="54"/>
      <c r="J9" s="54"/>
    </row>
    <row r="10" spans="2:10">
      <c r="B10" s="54"/>
      <c r="C10" s="54" t="str">
        <f>_xlfn.TEXTJOIN(",",TRUE,IF(LEFT(Regions!$C$3,1)&lt;&gt;"*",Regions!$C$3,""),IF(LEFT(Regions!$D$3,1)&lt;&gt;"*",Regions!$D$3,""))</f>
        <v>IE,National</v>
      </c>
      <c r="D10" s="54" t="str">
        <f>COM_CH!D18</f>
        <v>CHCSGAS_00_Boi</v>
      </c>
      <c r="E10" s="54" t="str">
        <f>COM_CH!E18</f>
        <v>Existing commercial - CS Space Heat GAS Boiler</v>
      </c>
      <c r="F10" s="23" t="s">
        <v>10</v>
      </c>
      <c r="G10" s="23" t="s">
        <v>113</v>
      </c>
      <c r="H10" s="54"/>
      <c r="I10" s="54"/>
      <c r="J10" s="54"/>
    </row>
    <row r="11" spans="2:10">
      <c r="B11" s="54"/>
      <c r="C11" s="54" t="str">
        <f>_xlfn.TEXTJOIN(",",TRUE,IF(LEFT(Regions!$C$3,1)&lt;&gt;"*",Regions!$C$3,""),IF(LEFT(Regions!$D$3,1)&lt;&gt;"*",Regions!$D$3,""))</f>
        <v>IE,National</v>
      </c>
      <c r="D11" s="54" t="str">
        <f>COM_CH!D19</f>
        <v>CHCSGAS_00_HP</v>
      </c>
      <c r="E11" s="54" t="str">
        <f>COM_CH!E19</f>
        <v>Existing commercial - CS Space Heat GAS Heat Pump</v>
      </c>
      <c r="F11" s="23" t="s">
        <v>10</v>
      </c>
      <c r="G11" s="23" t="s">
        <v>113</v>
      </c>
      <c r="H11" s="54"/>
      <c r="I11" s="54"/>
      <c r="J11" s="54"/>
    </row>
    <row r="12" spans="2:10">
      <c r="B12" s="54"/>
      <c r="C12" s="54" t="str">
        <f>_xlfn.TEXTJOIN(",",TRUE,IF(LEFT(Regions!$C$3,1)&lt;&gt;"*",Regions!$C$3,""),IF(LEFT(Regions!$D$3,1)&lt;&gt;"*",Regions!$D$3,""))</f>
        <v>IE,National</v>
      </c>
      <c r="D12" s="54" t="str">
        <f>COM_CH!D21</f>
        <v>CHCSGAS_00_DBoi</v>
      </c>
      <c r="E12" s="54" t="str">
        <f>COM_CH!E21</f>
        <v>Existing commercial - CS Space Heat GAS Dual Boiler</v>
      </c>
      <c r="F12" s="23" t="s">
        <v>10</v>
      </c>
      <c r="G12" s="23" t="s">
        <v>113</v>
      </c>
      <c r="H12" s="54"/>
      <c r="I12" s="54"/>
      <c r="J12" s="54"/>
    </row>
    <row r="13" spans="2:10">
      <c r="B13" s="54"/>
      <c r="C13" s="54" t="str">
        <f>_xlfn.TEXTJOIN(",",TRUE,IF(LEFT(Regions!$C$3,1)&lt;&gt;"*",Regions!$C$3,""),IF(LEFT(Regions!$D$3,1)&lt;&gt;"*",Regions!$D$3,""))</f>
        <v>IE,National</v>
      </c>
      <c r="D13" s="54" t="str">
        <f>COM_CH!D23</f>
        <v>CHCSBIO_00_Boi</v>
      </c>
      <c r="E13" s="54" t="str">
        <f>COM_CH!E23</f>
        <v>Existing commercial - CS Space Heat BIO Boiler</v>
      </c>
      <c r="F13" s="23" t="s">
        <v>10</v>
      </c>
      <c r="G13" s="23" t="s">
        <v>113</v>
      </c>
      <c r="H13" s="54"/>
      <c r="I13" s="54"/>
      <c r="J13" s="54"/>
    </row>
    <row r="14" spans="2:10">
      <c r="B14" s="54"/>
      <c r="C14" s="54" t="str">
        <f>_xlfn.TEXTJOIN(",",TRUE,IF(LEFT(Regions!$C$3,1)&lt;&gt;"*",Regions!$C$3,""),IF(LEFT(Regions!$D$3,1)&lt;&gt;"*",Regions!$D$3,""))</f>
        <v>IE,National</v>
      </c>
      <c r="D14" s="54" t="str">
        <f>COM_CH!D24</f>
        <v>CHCSBIO_00_DBoi</v>
      </c>
      <c r="E14" s="54" t="str">
        <f>COM_CH!E24</f>
        <v>Existing commercial - CS Space Heat BIO Dual Boiler</v>
      </c>
      <c r="F14" s="23" t="s">
        <v>10</v>
      </c>
      <c r="G14" s="23" t="s">
        <v>113</v>
      </c>
      <c r="H14" s="54"/>
      <c r="I14" s="54"/>
      <c r="J14" s="54"/>
    </row>
    <row r="15" spans="2:10">
      <c r="B15" s="54"/>
      <c r="C15" s="54" t="str">
        <f>_xlfn.TEXTJOIN(",",TRUE,IF(LEFT(Regions!$C$3,1)&lt;&gt;"*",Regions!$C$3,""),IF(LEFT(Regions!$D$3,1)&lt;&gt;"*",Regions!$D$3,""))</f>
        <v>IE,National</v>
      </c>
      <c r="D15" s="54" t="str">
        <f>COM_CH!D26</f>
        <v>CHCSBGS_00_Boi</v>
      </c>
      <c r="E15" s="54" t="str">
        <f>COM_CH!E26</f>
        <v>Existing commercial - CS Space Heat BGS Boiler</v>
      </c>
      <c r="F15" s="23" t="s">
        <v>10</v>
      </c>
      <c r="G15" s="23" t="s">
        <v>113</v>
      </c>
      <c r="H15" s="54"/>
      <c r="I15" s="54"/>
      <c r="J15" s="54"/>
    </row>
    <row r="16" spans="2:10">
      <c r="B16" s="54"/>
      <c r="C16" s="54" t="str">
        <f>_xlfn.TEXTJOIN(",",TRUE,IF(LEFT(Regions!$C$3,1)&lt;&gt;"*",Regions!$C$3,""),IF(LEFT(Regions!$D$3,1)&lt;&gt;"*",Regions!$D$3,""))</f>
        <v>IE,National</v>
      </c>
      <c r="D16" s="54" t="str">
        <f>COM_CH!D27</f>
        <v>CHCSBGS_00_DBoi</v>
      </c>
      <c r="E16" s="54" t="str">
        <f>COM_CH!E27</f>
        <v>Existing commercial - CS Space Heat BGS Dual Boiler</v>
      </c>
      <c r="F16" s="23" t="s">
        <v>10</v>
      </c>
      <c r="G16" s="23" t="s">
        <v>113</v>
      </c>
      <c r="H16" s="54"/>
      <c r="I16" s="54"/>
      <c r="J16" s="54"/>
    </row>
    <row r="17" spans="2:10">
      <c r="B17" s="54"/>
      <c r="C17" s="54" t="str">
        <f>_xlfn.TEXTJOIN(",",TRUE,IF(LEFT(Regions!$C$3,1)&lt;&gt;"*",Regions!$C$3,""),IF(LEFT(Regions!$D$3,1)&lt;&gt;"*",Regions!$D$3,""))</f>
        <v>IE,National</v>
      </c>
      <c r="D17" s="54" t="str">
        <f>COM_CH!D29</f>
        <v>CHCSSOL_00</v>
      </c>
      <c r="E17" s="54" t="str">
        <f>COM_CH!E29</f>
        <v>Existing commercial - CS Space Heat SOL Thermal</v>
      </c>
      <c r="F17" s="23" t="s">
        <v>10</v>
      </c>
      <c r="G17" s="23" t="s">
        <v>113</v>
      </c>
      <c r="H17" s="54"/>
      <c r="I17" s="54"/>
      <c r="J17" s="54"/>
    </row>
    <row r="18" spans="2:10">
      <c r="B18" s="54"/>
      <c r="C18" s="54" t="str">
        <f>_xlfn.TEXTJOIN(",",TRUE,IF(LEFT(Regions!$C$3,1)&lt;&gt;"*",Regions!$C$3,""),IF(LEFT(Regions!$D$3,1)&lt;&gt;"*",Regions!$D$3,""))</f>
        <v>IE,National</v>
      </c>
      <c r="D18" s="54" t="str">
        <f>COM_CH!D30</f>
        <v>CHCSGEO_00</v>
      </c>
      <c r="E18" s="54" t="str">
        <f>COM_CH!E30</f>
        <v>Existing commercial - CS Space Heat GEO</v>
      </c>
      <c r="F18" s="23" t="s">
        <v>10</v>
      </c>
      <c r="G18" s="23" t="s">
        <v>113</v>
      </c>
      <c r="H18" s="54"/>
      <c r="I18" s="54"/>
      <c r="J18" s="54"/>
    </row>
    <row r="19" spans="2:10">
      <c r="B19" s="54"/>
      <c r="C19" s="54" t="str">
        <f>_xlfn.TEXTJOIN(",",TRUE,IF(LEFT(Regions!$C$3,1)&lt;&gt;"*",Regions!$C$3,""),IF(LEFT(Regions!$D$3,1)&lt;&gt;"*",Regions!$D$3,""))</f>
        <v>IE,National</v>
      </c>
      <c r="D19" s="54" t="str">
        <f>COM_CH!D31</f>
        <v>CHCSELC_00_Rad</v>
      </c>
      <c r="E19" s="54" t="str">
        <f>COM_CH!E31</f>
        <v>Existing commercial - CS Space Heat ELC Radiator</v>
      </c>
      <c r="F19" s="23" t="s">
        <v>10</v>
      </c>
      <c r="G19" s="23" t="s">
        <v>113</v>
      </c>
      <c r="H19" s="54"/>
      <c r="I19" s="54"/>
      <c r="J19" s="54"/>
    </row>
    <row r="20" spans="2:10">
      <c r="B20" s="54"/>
      <c r="C20" s="54" t="str">
        <f>_xlfn.TEXTJOIN(",",TRUE,IF(LEFT(Regions!$C$3,1)&lt;&gt;"*",Regions!$C$3,""),IF(LEFT(Regions!$D$3,1)&lt;&gt;"*",Regions!$D$3,""))</f>
        <v>IE,National</v>
      </c>
      <c r="D20" s="54" t="str">
        <f>COM_CH!D32</f>
        <v>CHCSELC_00_HP</v>
      </c>
      <c r="E20" s="54" t="str">
        <f>COM_CH!E32</f>
        <v>Existing commercial - CS Space Heat ELC Heat Pump</v>
      </c>
      <c r="F20" s="23" t="s">
        <v>10</v>
      </c>
      <c r="G20" s="23" t="s">
        <v>113</v>
      </c>
      <c r="H20" s="54"/>
      <c r="I20" s="54"/>
      <c r="J20" s="54"/>
    </row>
    <row r="21" spans="2:10">
      <c r="B21" s="54"/>
      <c r="C21" s="54" t="str">
        <f>_xlfn.TEXTJOIN(",",TRUE,IF(LEFT(Regions!$C$3,1)&lt;&gt;"*",Regions!$C$3,""),IF(LEFT(Regions!$D$3,1)&lt;&gt;"*",Regions!$D$3,""))</f>
        <v>IE,National</v>
      </c>
      <c r="D21" s="54" t="str">
        <f>COM_CH!D34</f>
        <v>CHCSELC_00_DBoi</v>
      </c>
      <c r="E21" s="54" t="str">
        <f>COM_CH!E34</f>
        <v>Existing commercial - CS Space Heat ELC Dual Boiler</v>
      </c>
      <c r="F21" s="29" t="s">
        <v>10</v>
      </c>
      <c r="G21" s="29" t="s">
        <v>113</v>
      </c>
      <c r="H21" s="54"/>
      <c r="I21" s="54"/>
      <c r="J21" s="54"/>
    </row>
    <row r="22" spans="2:10">
      <c r="B22" s="55"/>
      <c r="C22" s="55" t="str">
        <f>_xlfn.TEXTJOIN(",",TRUE,IF(LEFT(Regions!$C$3,1)&lt;&gt;"*",Regions!$C$3,""),IF(LEFT(Regions!$D$3,1)&lt;&gt;"*",Regions!$D$3,""))</f>
        <v>IE,National</v>
      </c>
      <c r="D22" s="55" t="str">
        <f>COM_CH!D36</f>
        <v>CHCSHET_00_DH</v>
      </c>
      <c r="E22" s="55" t="str">
        <f>COM_CH!E36</f>
        <v>Existing commercial - CS Space Heat HET Heat Exchanger</v>
      </c>
      <c r="F22" s="24" t="s">
        <v>10</v>
      </c>
      <c r="G22" s="24" t="s">
        <v>113</v>
      </c>
      <c r="H22" s="55"/>
      <c r="I22" s="55"/>
      <c r="J22" s="55"/>
    </row>
    <row r="23" spans="2:10">
      <c r="B23" s="15" t="s">
        <v>259</v>
      </c>
      <c r="C23" s="524" t="str">
        <f>_xlfn.TEXTJOIN(",",TRUE,IF(LEFT(Regions!$C$3,1)&lt;&gt;"*",Regions!$C$3,""),IF(LEFT(Regions!$D$3,1)&lt;&gt;"*",Regions!$D$3,""))</f>
        <v>IE,National</v>
      </c>
      <c r="D23" s="54" t="str">
        <f>COM_CH!D45</f>
        <v>CHPSCOA_00_Fur</v>
      </c>
      <c r="E23" s="54" t="str">
        <f>COM_CH!E45</f>
        <v>Existing commercial - PS Space Heat COA Furnace</v>
      </c>
      <c r="F23" s="23" t="s">
        <v>10</v>
      </c>
      <c r="G23" s="23" t="s">
        <v>113</v>
      </c>
      <c r="H23" s="54"/>
      <c r="I23" s="54"/>
      <c r="J23" s="54"/>
    </row>
    <row r="24" spans="2:10">
      <c r="B24" s="54"/>
      <c r="C24" s="54" t="str">
        <f>_xlfn.TEXTJOIN(",",TRUE,IF(LEFT(Regions!$C$3,1)&lt;&gt;"*",Regions!$C$3,""),IF(LEFT(Regions!$D$3,1)&lt;&gt;"*",Regions!$D$3,""))</f>
        <v>IE,National</v>
      </c>
      <c r="D24" s="54" t="str">
        <f>COM_CH!D46</f>
        <v>CHPSLPG_00_Boi</v>
      </c>
      <c r="E24" s="54" t="str">
        <f>COM_CH!E46</f>
        <v>Existing commercial - PS Space Heat LPG Boiler</v>
      </c>
      <c r="F24" s="23" t="s">
        <v>10</v>
      </c>
      <c r="G24" s="23" t="s">
        <v>113</v>
      </c>
      <c r="H24" s="54"/>
      <c r="I24" s="54"/>
      <c r="J24" s="54"/>
    </row>
    <row r="25" spans="2:10">
      <c r="B25" s="54"/>
      <c r="C25" s="54" t="str">
        <f>_xlfn.TEXTJOIN(",",TRUE,IF(LEFT(Regions!$C$3,1)&lt;&gt;"*",Regions!$C$3,""),IF(LEFT(Regions!$D$3,1)&lt;&gt;"*",Regions!$D$3,""))</f>
        <v>IE,National</v>
      </c>
      <c r="D25" s="54" t="str">
        <f>COM_CH!D47</f>
        <v>CHPSOIL_00_Boi</v>
      </c>
      <c r="E25" s="54" t="str">
        <f>COM_CH!E47</f>
        <v>Existing commercial - PS Space Heat OIL Boiler</v>
      </c>
      <c r="F25" s="23" t="s">
        <v>10</v>
      </c>
      <c r="G25" s="23" t="s">
        <v>113</v>
      </c>
      <c r="H25" s="54"/>
      <c r="I25" s="54"/>
      <c r="J25" s="54"/>
    </row>
    <row r="26" spans="2:10">
      <c r="B26" s="54"/>
      <c r="C26" s="54" t="str">
        <f>_xlfn.TEXTJOIN(",",TRUE,IF(LEFT(Regions!$C$3,1)&lt;&gt;"*",Regions!$C$3,""),IF(LEFT(Regions!$D$3,1)&lt;&gt;"*",Regions!$D$3,""))</f>
        <v>IE,National</v>
      </c>
      <c r="D26" s="54" t="str">
        <f>COM_CH!D48</f>
        <v>CHPSOIL_00_DBoi</v>
      </c>
      <c r="E26" s="54" t="str">
        <f>COM_CH!E48</f>
        <v>Existing commercial - PS Space Heat OIL Dual Boiler</v>
      </c>
      <c r="F26" s="23" t="s">
        <v>10</v>
      </c>
      <c r="G26" s="23" t="s">
        <v>113</v>
      </c>
      <c r="H26" s="54"/>
      <c r="I26" s="54"/>
      <c r="J26" s="54"/>
    </row>
    <row r="27" spans="2:10">
      <c r="B27" s="54"/>
      <c r="C27" s="54" t="str">
        <f>_xlfn.TEXTJOIN(",",TRUE,IF(LEFT(Regions!$C$3,1)&lt;&gt;"*",Regions!$C$3,""),IF(LEFT(Regions!$D$3,1)&lt;&gt;"*",Regions!$D$3,""))</f>
        <v>IE,National</v>
      </c>
      <c r="D27" s="54" t="str">
        <f>COM_CH!D50</f>
        <v>CHPSGAS_00_Boi</v>
      </c>
      <c r="E27" s="54" t="str">
        <f>COM_CH!E50</f>
        <v>Existing commercial - PS Space Heat GAS Boiler</v>
      </c>
      <c r="F27" s="23" t="s">
        <v>10</v>
      </c>
      <c r="G27" s="23" t="s">
        <v>113</v>
      </c>
      <c r="H27" s="54"/>
      <c r="I27" s="54"/>
      <c r="J27" s="54"/>
    </row>
    <row r="28" spans="2:10">
      <c r="B28" s="54"/>
      <c r="C28" s="54" t="str">
        <f>_xlfn.TEXTJOIN(",",TRUE,IF(LEFT(Regions!$C$3,1)&lt;&gt;"*",Regions!$C$3,""),IF(LEFT(Regions!$D$3,1)&lt;&gt;"*",Regions!$D$3,""))</f>
        <v>IE,National</v>
      </c>
      <c r="D28" s="54" t="str">
        <f>COM_CH!D51</f>
        <v>CHPSGAS_00_HP</v>
      </c>
      <c r="E28" s="54" t="str">
        <f>COM_CH!E51</f>
        <v>Existing commercial - PS Space Heat GAS Heat Pump</v>
      </c>
      <c r="F28" s="23" t="s">
        <v>10</v>
      </c>
      <c r="G28" s="23" t="s">
        <v>113</v>
      </c>
      <c r="H28" s="54"/>
      <c r="I28" s="54"/>
      <c r="J28" s="54"/>
    </row>
    <row r="29" spans="2:10">
      <c r="B29" s="54"/>
      <c r="C29" s="54" t="str">
        <f>_xlfn.TEXTJOIN(",",TRUE,IF(LEFT(Regions!$C$3,1)&lt;&gt;"*",Regions!$C$3,""),IF(LEFT(Regions!$D$3,1)&lt;&gt;"*",Regions!$D$3,""))</f>
        <v>IE,National</v>
      </c>
      <c r="D29" s="54" t="str">
        <f>COM_CH!D53</f>
        <v>CHPSGAS_00_DBoi</v>
      </c>
      <c r="E29" s="54" t="str">
        <f>COM_CH!E53</f>
        <v>Existing commercial - PS Space Heat GAS Dual Boiler</v>
      </c>
      <c r="F29" s="23" t="s">
        <v>10</v>
      </c>
      <c r="G29" s="23" t="s">
        <v>113</v>
      </c>
      <c r="H29" s="54"/>
      <c r="I29" s="54"/>
      <c r="J29" s="54"/>
    </row>
    <row r="30" spans="2:10">
      <c r="B30" s="54"/>
      <c r="C30" s="54" t="str">
        <f>_xlfn.TEXTJOIN(",",TRUE,IF(LEFT(Regions!$C$3,1)&lt;&gt;"*",Regions!$C$3,""),IF(LEFT(Regions!$D$3,1)&lt;&gt;"*",Regions!$D$3,""))</f>
        <v>IE,National</v>
      </c>
      <c r="D30" s="54" t="str">
        <f>COM_CH!D55</f>
        <v>CHPSBIO_00_Boi</v>
      </c>
      <c r="E30" s="54" t="str">
        <f>COM_CH!E55</f>
        <v>Existing commercial - PS Space Heat BIO Boiler</v>
      </c>
      <c r="F30" s="23" t="s">
        <v>10</v>
      </c>
      <c r="G30" s="23" t="s">
        <v>113</v>
      </c>
      <c r="H30" s="54"/>
      <c r="I30" s="54"/>
      <c r="J30" s="54"/>
    </row>
    <row r="31" spans="2:10">
      <c r="B31" s="54"/>
      <c r="C31" s="54" t="str">
        <f>_xlfn.TEXTJOIN(",",TRUE,IF(LEFT(Regions!$C$3,1)&lt;&gt;"*",Regions!$C$3,""),IF(LEFT(Regions!$D$3,1)&lt;&gt;"*",Regions!$D$3,""))</f>
        <v>IE,National</v>
      </c>
      <c r="D31" s="54" t="str">
        <f>COM_CH!D56</f>
        <v>CHPSBIO_00_DBoi</v>
      </c>
      <c r="E31" s="54" t="str">
        <f>COM_CH!E56</f>
        <v>Existing commercial - PS Space Heat BIO Dual Boiler</v>
      </c>
      <c r="F31" s="23" t="s">
        <v>10</v>
      </c>
      <c r="G31" s="23" t="s">
        <v>113</v>
      </c>
      <c r="H31" s="54"/>
      <c r="I31" s="54"/>
      <c r="J31" s="54"/>
    </row>
    <row r="32" spans="2:10">
      <c r="B32" s="54"/>
      <c r="C32" s="54" t="str">
        <f>_xlfn.TEXTJOIN(",",TRUE,IF(LEFT(Regions!$C$3,1)&lt;&gt;"*",Regions!$C$3,""),IF(LEFT(Regions!$D$3,1)&lt;&gt;"*",Regions!$D$3,""))</f>
        <v>IE,National</v>
      </c>
      <c r="D32" s="54" t="str">
        <f>COM_CH!D58</f>
        <v>CHPSBGS_00_Boi</v>
      </c>
      <c r="E32" s="54" t="str">
        <f>COM_CH!E58</f>
        <v>Existing commercial - PS Space Heat BGS Boiler</v>
      </c>
      <c r="F32" s="23" t="s">
        <v>10</v>
      </c>
      <c r="G32" s="23" t="s">
        <v>113</v>
      </c>
      <c r="H32" s="54"/>
      <c r="I32" s="54"/>
      <c r="J32" s="54"/>
    </row>
    <row r="33" spans="2:10">
      <c r="B33" s="54"/>
      <c r="C33" s="54" t="str">
        <f>_xlfn.TEXTJOIN(",",TRUE,IF(LEFT(Regions!$C$3,1)&lt;&gt;"*",Regions!$C$3,""),IF(LEFT(Regions!$D$3,1)&lt;&gt;"*",Regions!$D$3,""))</f>
        <v>IE,National</v>
      </c>
      <c r="D33" s="54" t="str">
        <f>COM_CH!D59</f>
        <v>CHPSBGS_00_DBoi</v>
      </c>
      <c r="E33" s="54" t="str">
        <f>COM_CH!E59</f>
        <v>Existing commercial - PS Space Heat BGS Dual Boiler</v>
      </c>
      <c r="F33" s="23" t="s">
        <v>10</v>
      </c>
      <c r="G33" s="23" t="s">
        <v>113</v>
      </c>
      <c r="H33" s="54"/>
      <c r="I33" s="54"/>
      <c r="J33" s="54"/>
    </row>
    <row r="34" spans="2:10">
      <c r="B34" s="54"/>
      <c r="C34" s="54" t="str">
        <f>_xlfn.TEXTJOIN(",",TRUE,IF(LEFT(Regions!$C$3,1)&lt;&gt;"*",Regions!$C$3,""),IF(LEFT(Regions!$D$3,1)&lt;&gt;"*",Regions!$D$3,""))</f>
        <v>IE,National</v>
      </c>
      <c r="D34" s="54" t="str">
        <f>COM_CH!D61</f>
        <v>CHPSSOL_00</v>
      </c>
      <c r="E34" s="54" t="str">
        <f>COM_CH!E61</f>
        <v>Existing commercial - PS Space Heat SOL</v>
      </c>
      <c r="F34" s="23" t="s">
        <v>10</v>
      </c>
      <c r="G34" s="23" t="s">
        <v>113</v>
      </c>
      <c r="H34" s="54"/>
      <c r="I34" s="54"/>
      <c r="J34" s="54"/>
    </row>
    <row r="35" spans="2:10">
      <c r="B35" s="54"/>
      <c r="C35" s="54" t="str">
        <f>_xlfn.TEXTJOIN(",",TRUE,IF(LEFT(Regions!$C$3,1)&lt;&gt;"*",Regions!$C$3,""),IF(LEFT(Regions!$D$3,1)&lt;&gt;"*",Regions!$D$3,""))</f>
        <v>IE,National</v>
      </c>
      <c r="D35" s="54" t="str">
        <f>COM_CH!D62</f>
        <v>CHPSGEO_00</v>
      </c>
      <c r="E35" s="54" t="str">
        <f>COM_CH!E62</f>
        <v>Existing commercial - PS Space Heat GEO</v>
      </c>
      <c r="F35" s="23" t="s">
        <v>10</v>
      </c>
      <c r="G35" s="23" t="s">
        <v>113</v>
      </c>
      <c r="H35" s="54"/>
      <c r="I35" s="54"/>
      <c r="J35" s="54"/>
    </row>
    <row r="36" spans="2:10">
      <c r="B36" s="54"/>
      <c r="C36" s="54" t="str">
        <f>_xlfn.TEXTJOIN(",",TRUE,IF(LEFT(Regions!$C$3,1)&lt;&gt;"*",Regions!$C$3,""),IF(LEFT(Regions!$D$3,1)&lt;&gt;"*",Regions!$D$3,""))</f>
        <v>IE,National</v>
      </c>
      <c r="D36" s="54" t="str">
        <f>COM_CH!D63</f>
        <v>CHPSELC_00_Rad</v>
      </c>
      <c r="E36" s="54" t="str">
        <f>COM_CH!E63</f>
        <v>Existing commercial - PS Space Heat ELC Radiator</v>
      </c>
      <c r="F36" s="23" t="s">
        <v>10</v>
      </c>
      <c r="G36" s="23" t="s">
        <v>113</v>
      </c>
      <c r="H36" s="54"/>
      <c r="I36" s="54"/>
      <c r="J36" s="54"/>
    </row>
    <row r="37" spans="2:10">
      <c r="B37" s="54"/>
      <c r="C37" s="54" t="str">
        <f>_xlfn.TEXTJOIN(",",TRUE,IF(LEFT(Regions!$C$3,1)&lt;&gt;"*",Regions!$C$3,""),IF(LEFT(Regions!$D$3,1)&lt;&gt;"*",Regions!$D$3,""))</f>
        <v>IE,National</v>
      </c>
      <c r="D37" s="54" t="str">
        <f>COM_CH!D64</f>
        <v>CHPSELC_00_HP</v>
      </c>
      <c r="E37" s="54" t="str">
        <f>COM_CH!E64</f>
        <v>Existing commercial - PS Space Heat ELC Heat Pump</v>
      </c>
      <c r="F37" s="23" t="s">
        <v>10</v>
      </c>
      <c r="G37" s="23" t="s">
        <v>113</v>
      </c>
      <c r="H37" s="54"/>
      <c r="I37" s="54"/>
      <c r="J37" s="54"/>
    </row>
    <row r="38" spans="2:10">
      <c r="B38" s="54"/>
      <c r="C38" s="54" t="str">
        <f>_xlfn.TEXTJOIN(",",TRUE,IF(LEFT(Regions!$C$3,1)&lt;&gt;"*",Regions!$C$3,""),IF(LEFT(Regions!$D$3,1)&lt;&gt;"*",Regions!$D$3,""))</f>
        <v>IE,National</v>
      </c>
      <c r="D38" s="54" t="str">
        <f>COM_CH!D66</f>
        <v>CHPSELC_00_DBoi</v>
      </c>
      <c r="E38" s="54" t="str">
        <f>COM_CH!E66</f>
        <v>Existing commercial - PS Space Heat ELC Dual Boiler</v>
      </c>
      <c r="F38" s="23" t="s">
        <v>10</v>
      </c>
      <c r="G38" s="23" t="s">
        <v>113</v>
      </c>
      <c r="H38" s="57"/>
      <c r="I38" s="57"/>
      <c r="J38" s="57"/>
    </row>
    <row r="39" spans="2:10">
      <c r="B39" s="55"/>
      <c r="C39" s="55" t="str">
        <f>_xlfn.TEXTJOIN(",",TRUE,IF(LEFT(Regions!$C$3,1)&lt;&gt;"*",Regions!$C$3,""),IF(LEFT(Regions!$D$3,1)&lt;&gt;"*",Regions!$D$3,""))</f>
        <v>IE,National</v>
      </c>
      <c r="D39" s="55" t="str">
        <f>COM_CH!D68</f>
        <v>CHPSHET_00_DH</v>
      </c>
      <c r="E39" s="55" t="str">
        <f>COM_CH!E68</f>
        <v>Existing commercial - PS Space Heat HET Heat Exchanger</v>
      </c>
      <c r="F39" s="24" t="s">
        <v>10</v>
      </c>
      <c r="G39" s="24" t="s">
        <v>113</v>
      </c>
      <c r="H39" s="55"/>
      <c r="I39" s="55"/>
      <c r="J39" s="55"/>
    </row>
    <row r="40" spans="2:10">
      <c r="B40" s="15" t="s">
        <v>259</v>
      </c>
      <c r="C40" s="524" t="str">
        <f>_xlfn.TEXTJOIN(",",TRUE,IF(LEFT(Regions!$C$3,1)&lt;&gt;"*",Regions!$C$3,""),IF(LEFT(Regions!$D$3,1)&lt;&gt;"*",Regions!$D$3,""))</f>
        <v>IE,National</v>
      </c>
      <c r="D40" s="54" t="str">
        <f>COM_CW!D13</f>
        <v>CWCSCOA_00_Fur</v>
      </c>
      <c r="E40" s="54" t="str">
        <f>COM_CW!E13</f>
        <v>Existing commercial - CS Water Heat COA Furnace</v>
      </c>
      <c r="F40" s="23" t="s">
        <v>10</v>
      </c>
      <c r="G40" s="23" t="s">
        <v>113</v>
      </c>
      <c r="H40" s="54"/>
      <c r="I40" s="54"/>
      <c r="J40" s="54"/>
    </row>
    <row r="41" spans="2:10">
      <c r="B41" s="54"/>
      <c r="C41" s="54" t="str">
        <f>_xlfn.TEXTJOIN(",",TRUE,IF(LEFT(Regions!$C$3,1)&lt;&gt;"*",Regions!$C$3,""),IF(LEFT(Regions!$D$3,1)&lt;&gt;"*",Regions!$D$3,""))</f>
        <v>IE,National</v>
      </c>
      <c r="D41" s="54" t="str">
        <f>COM_CW!D14</f>
        <v>CWCSLPG_00_Boi</v>
      </c>
      <c r="E41" s="54" t="str">
        <f>COM_CW!E14</f>
        <v>Existing commercial - CS Water Heat LPG Boiler</v>
      </c>
      <c r="F41" s="23" t="s">
        <v>10</v>
      </c>
      <c r="G41" s="23" t="s">
        <v>113</v>
      </c>
      <c r="H41" s="54"/>
      <c r="I41" s="54"/>
      <c r="J41" s="54"/>
    </row>
    <row r="42" spans="2:10">
      <c r="B42" s="54"/>
      <c r="C42" s="54" t="str">
        <f>_xlfn.TEXTJOIN(",",TRUE,IF(LEFT(Regions!$C$3,1)&lt;&gt;"*",Regions!$C$3,""),IF(LEFT(Regions!$D$3,1)&lt;&gt;"*",Regions!$D$3,""))</f>
        <v>IE,National</v>
      </c>
      <c r="D42" s="54" t="str">
        <f>COM_CW!D15</f>
        <v>CWCSOIL_00_Boi</v>
      </c>
      <c r="E42" s="54" t="str">
        <f>COM_CW!E15</f>
        <v>Existing commercial - CS Water Heat OIL Boiler</v>
      </c>
      <c r="F42" s="23" t="s">
        <v>10</v>
      </c>
      <c r="G42" s="23" t="s">
        <v>113</v>
      </c>
      <c r="H42" s="54"/>
      <c r="I42" s="54"/>
      <c r="J42" s="54"/>
    </row>
    <row r="43" spans="2:10">
      <c r="B43" s="54"/>
      <c r="C43" s="54" t="str">
        <f>_xlfn.TEXTJOIN(",",TRUE,IF(LEFT(Regions!$C$3,1)&lt;&gt;"*",Regions!$C$3,""),IF(LEFT(Regions!$D$3,1)&lt;&gt;"*",Regions!$D$3,""))</f>
        <v>IE,National</v>
      </c>
      <c r="D43" s="54" t="str">
        <f>COM_CW!D16</f>
        <v>CWCSGAS_00_Boi</v>
      </c>
      <c r="E43" s="54" t="str">
        <f>COM_CW!E16</f>
        <v>Existing commercial - CS Water Heat GAS Boiler</v>
      </c>
      <c r="F43" s="23" t="s">
        <v>10</v>
      </c>
      <c r="G43" s="23" t="s">
        <v>113</v>
      </c>
      <c r="H43" s="54"/>
      <c r="I43" s="54"/>
      <c r="J43" s="54"/>
    </row>
    <row r="44" spans="2:10">
      <c r="B44" s="54"/>
      <c r="C44" s="54" t="str">
        <f>_xlfn.TEXTJOIN(",",TRUE,IF(LEFT(Regions!$C$3,1)&lt;&gt;"*",Regions!$C$3,""),IF(LEFT(Regions!$D$3,1)&lt;&gt;"*",Regions!$D$3,""))</f>
        <v>IE,National</v>
      </c>
      <c r="D44" s="54" t="str">
        <f>COM_CW!D17</f>
        <v>CWCSBIO_00_Boi</v>
      </c>
      <c r="E44" s="54" t="str">
        <f>COM_CW!E17</f>
        <v>Existing commercial - CS Water Heat BIO Boiler</v>
      </c>
      <c r="F44" s="23" t="s">
        <v>10</v>
      </c>
      <c r="G44" s="23" t="s">
        <v>113</v>
      </c>
      <c r="H44" s="54"/>
      <c r="I44" s="54"/>
      <c r="J44" s="54"/>
    </row>
    <row r="45" spans="2:10">
      <c r="B45" s="54"/>
      <c r="C45" s="54" t="str">
        <f>_xlfn.TEXTJOIN(",",TRUE,IF(LEFT(Regions!$C$3,1)&lt;&gt;"*",Regions!$C$3,""),IF(LEFT(Regions!$D$3,1)&lt;&gt;"*",Regions!$D$3,""))</f>
        <v>IE,National</v>
      </c>
      <c r="D45" s="54" t="str">
        <f>COM_CW!D18</f>
        <v>CWCSBGS_00_Boi</v>
      </c>
      <c r="E45" s="54" t="str">
        <f>COM_CW!E18</f>
        <v>Existing commercial - CS Water Heat BGS Boiler</v>
      </c>
      <c r="F45" s="23" t="s">
        <v>10</v>
      </c>
      <c r="G45" s="23" t="s">
        <v>113</v>
      </c>
      <c r="H45" s="54"/>
      <c r="I45" s="54"/>
      <c r="J45" s="54"/>
    </row>
    <row r="46" spans="2:10">
      <c r="B46" s="54"/>
      <c r="C46" s="54" t="str">
        <f>_xlfn.TEXTJOIN(",",TRUE,IF(LEFT(Regions!$C$3,1)&lt;&gt;"*",Regions!$C$3,""),IF(LEFT(Regions!$D$3,1)&lt;&gt;"*",Regions!$D$3,""))</f>
        <v>IE,National</v>
      </c>
      <c r="D46" s="54" t="str">
        <f>COM_CW!D19</f>
        <v>CWCSSOL_00</v>
      </c>
      <c r="E46" s="54" t="str">
        <f>COM_CW!E19</f>
        <v>Existing commercial - CS Water Heat SOL Thermal</v>
      </c>
      <c r="F46" s="23" t="s">
        <v>10</v>
      </c>
      <c r="G46" s="23" t="s">
        <v>113</v>
      </c>
      <c r="H46" s="54"/>
      <c r="I46" s="54"/>
      <c r="J46" s="54"/>
    </row>
    <row r="47" spans="2:10">
      <c r="B47" s="54"/>
      <c r="C47" s="54" t="str">
        <f>_xlfn.TEXTJOIN(",",TRUE,IF(LEFT(Regions!$C$3,1)&lt;&gt;"*",Regions!$C$3,""),IF(LEFT(Regions!$D$3,1)&lt;&gt;"*",Regions!$D$3,""))</f>
        <v>IE,National</v>
      </c>
      <c r="D47" s="54" t="str">
        <f>COM_CW!D20</f>
        <v>CWCSGEO_00</v>
      </c>
      <c r="E47" s="54" t="str">
        <f>COM_CW!E20</f>
        <v>Existing commercial - CS Water Heat GEO</v>
      </c>
      <c r="F47" s="23" t="s">
        <v>10</v>
      </c>
      <c r="G47" s="23" t="s">
        <v>113</v>
      </c>
      <c r="H47" s="54"/>
      <c r="I47" s="54"/>
      <c r="J47" s="54"/>
    </row>
    <row r="48" spans="2:10">
      <c r="B48" s="55"/>
      <c r="C48" s="55" t="str">
        <f>_xlfn.TEXTJOIN(",",TRUE,IF(LEFT(Regions!$C$3,1)&lt;&gt;"*",Regions!$C$3,""),IF(LEFT(Regions!$D$3,1)&lt;&gt;"*",Regions!$D$3,""))</f>
        <v>IE,National</v>
      </c>
      <c r="D48" s="55" t="str">
        <f>COM_CW!D21</f>
        <v>CWCSELC_00_Boi</v>
      </c>
      <c r="E48" s="55" t="str">
        <f>COM_CW!E21</f>
        <v>Existing commercial - CS Water Heat ELC Heater</v>
      </c>
      <c r="F48" s="24" t="s">
        <v>10</v>
      </c>
      <c r="G48" s="24" t="s">
        <v>113</v>
      </c>
      <c r="H48" s="55"/>
      <c r="I48" s="55"/>
      <c r="J48" s="55"/>
    </row>
    <row r="49" spans="2:10">
      <c r="B49" s="15" t="s">
        <v>259</v>
      </c>
      <c r="C49" s="524" t="str">
        <f>_xlfn.TEXTJOIN(",",TRUE,IF(LEFT(Regions!$C$3,1)&lt;&gt;"*",Regions!$C$3,""),IF(LEFT(Regions!$D$3,1)&lt;&gt;"*",Regions!$D$3,""))</f>
        <v>IE,National</v>
      </c>
      <c r="D49" s="54" t="str">
        <f>COM_CW!D39</f>
        <v>CWPSCOA_00_Fur</v>
      </c>
      <c r="E49" s="54" t="str">
        <f>COM_CW!E39</f>
        <v>Existing commercial - PS Water Heat COA Furnace</v>
      </c>
      <c r="F49" s="23" t="s">
        <v>10</v>
      </c>
      <c r="G49" s="23" t="s">
        <v>113</v>
      </c>
      <c r="H49" s="54"/>
      <c r="I49" s="54"/>
      <c r="J49" s="54"/>
    </row>
    <row r="50" spans="2:10">
      <c r="B50" s="54"/>
      <c r="C50" s="54" t="str">
        <f>_xlfn.TEXTJOIN(",",TRUE,IF(LEFT(Regions!$C$3,1)&lt;&gt;"*",Regions!$C$3,""),IF(LEFT(Regions!$D$3,1)&lt;&gt;"*",Regions!$D$3,""))</f>
        <v>IE,National</v>
      </c>
      <c r="D50" s="54" t="str">
        <f>COM_CW!D40</f>
        <v>CWPSLPG_00_Boi</v>
      </c>
      <c r="E50" s="54" t="str">
        <f>COM_CW!E40</f>
        <v>Existing commercial - PS Water Heat LPG Boiler</v>
      </c>
      <c r="F50" s="23" t="s">
        <v>10</v>
      </c>
      <c r="G50" s="23" t="s">
        <v>113</v>
      </c>
      <c r="H50" s="54"/>
      <c r="I50" s="54"/>
      <c r="J50" s="54"/>
    </row>
    <row r="51" spans="2:10">
      <c r="B51" s="54"/>
      <c r="C51" s="54" t="str">
        <f>_xlfn.TEXTJOIN(",",TRUE,IF(LEFT(Regions!$C$3,1)&lt;&gt;"*",Regions!$C$3,""),IF(LEFT(Regions!$D$3,1)&lt;&gt;"*",Regions!$D$3,""))</f>
        <v>IE,National</v>
      </c>
      <c r="D51" s="54" t="str">
        <f>COM_CW!D41</f>
        <v>CWPSOIL_00_Boi</v>
      </c>
      <c r="E51" s="54" t="str">
        <f>COM_CW!E41</f>
        <v>Existing commercial - PS Water Heat OIL Boiler</v>
      </c>
      <c r="F51" s="23" t="s">
        <v>10</v>
      </c>
      <c r="G51" s="23" t="s">
        <v>113</v>
      </c>
      <c r="H51" s="54"/>
      <c r="I51" s="54"/>
      <c r="J51" s="54"/>
    </row>
    <row r="52" spans="2:10">
      <c r="B52" s="54"/>
      <c r="C52" s="54" t="str">
        <f>_xlfn.TEXTJOIN(",",TRUE,IF(LEFT(Regions!$C$3,1)&lt;&gt;"*",Regions!$C$3,""),IF(LEFT(Regions!$D$3,1)&lt;&gt;"*",Regions!$D$3,""))</f>
        <v>IE,National</v>
      </c>
      <c r="D52" s="54" t="str">
        <f>COM_CW!D42</f>
        <v>CWPSGAS_00_Boi</v>
      </c>
      <c r="E52" s="54" t="str">
        <f>COM_CW!E42</f>
        <v>Existing commercial - PS Water Heat GAS Boiler</v>
      </c>
      <c r="F52" s="23" t="s">
        <v>10</v>
      </c>
      <c r="G52" s="23" t="s">
        <v>113</v>
      </c>
      <c r="H52" s="54"/>
      <c r="I52" s="54"/>
      <c r="J52" s="54"/>
    </row>
    <row r="53" spans="2:10">
      <c r="B53" s="54"/>
      <c r="C53" s="54" t="str">
        <f>_xlfn.TEXTJOIN(",",TRUE,IF(LEFT(Regions!$C$3,1)&lt;&gt;"*",Regions!$C$3,""),IF(LEFT(Regions!$D$3,1)&lt;&gt;"*",Regions!$D$3,""))</f>
        <v>IE,National</v>
      </c>
      <c r="D53" s="54" t="str">
        <f>COM_CW!D43</f>
        <v>CWPSBIO_00_Boi</v>
      </c>
      <c r="E53" s="54" t="str">
        <f>COM_CW!E43</f>
        <v>Existing commercial - PS Water Heat BIO Boiler</v>
      </c>
      <c r="F53" s="23" t="s">
        <v>10</v>
      </c>
      <c r="G53" s="23" t="s">
        <v>113</v>
      </c>
      <c r="H53" s="54"/>
      <c r="I53" s="54"/>
      <c r="J53" s="54"/>
    </row>
    <row r="54" spans="2:10">
      <c r="B54" s="54"/>
      <c r="C54" s="54" t="str">
        <f>_xlfn.TEXTJOIN(",",TRUE,IF(LEFT(Regions!$C$3,1)&lt;&gt;"*",Regions!$C$3,""),IF(LEFT(Regions!$D$3,1)&lt;&gt;"*",Regions!$D$3,""))</f>
        <v>IE,National</v>
      </c>
      <c r="D54" s="54" t="str">
        <f>COM_CW!D44</f>
        <v>CWPSBGS_00_Boi</v>
      </c>
      <c r="E54" s="54" t="str">
        <f>COM_CW!E44</f>
        <v>Existing commercial - PS Water Heat BGS Boiler</v>
      </c>
      <c r="F54" s="23" t="s">
        <v>10</v>
      </c>
      <c r="G54" s="23" t="s">
        <v>113</v>
      </c>
      <c r="H54" s="54"/>
      <c r="I54" s="54"/>
      <c r="J54" s="54"/>
    </row>
    <row r="55" spans="2:10">
      <c r="B55" s="54"/>
      <c r="C55" s="54" t="str">
        <f>_xlfn.TEXTJOIN(",",TRUE,IF(LEFT(Regions!$C$3,1)&lt;&gt;"*",Regions!$C$3,""),IF(LEFT(Regions!$D$3,1)&lt;&gt;"*",Regions!$D$3,""))</f>
        <v>IE,National</v>
      </c>
      <c r="D55" s="54" t="str">
        <f>COM_CW!D45</f>
        <v>CWPSSOL_00</v>
      </c>
      <c r="E55" s="54" t="str">
        <f>COM_CW!E45</f>
        <v>Existing commercial - PS Water Heat SOL Thermal</v>
      </c>
      <c r="F55" s="23" t="s">
        <v>10</v>
      </c>
      <c r="G55" s="23" t="s">
        <v>113</v>
      </c>
      <c r="H55" s="54"/>
      <c r="I55" s="54"/>
      <c r="J55" s="54"/>
    </row>
    <row r="56" spans="2:10">
      <c r="B56" s="54"/>
      <c r="C56" s="54" t="str">
        <f>_xlfn.TEXTJOIN(",",TRUE,IF(LEFT(Regions!$C$3,1)&lt;&gt;"*",Regions!$C$3,""),IF(LEFT(Regions!$D$3,1)&lt;&gt;"*",Regions!$D$3,""))</f>
        <v>IE,National</v>
      </c>
      <c r="D56" s="54" t="str">
        <f>COM_CW!D46</f>
        <v>CWPSGEO_00</v>
      </c>
      <c r="E56" s="54" t="str">
        <f>COM_CW!E46</f>
        <v>Existing commercial - PS Water Heat GEO</v>
      </c>
      <c r="F56" s="23" t="s">
        <v>10</v>
      </c>
      <c r="G56" s="23" t="s">
        <v>113</v>
      </c>
      <c r="H56" s="54"/>
      <c r="I56" s="54"/>
      <c r="J56" s="54"/>
    </row>
    <row r="57" spans="2:10">
      <c r="B57" s="55"/>
      <c r="C57" s="55" t="str">
        <f>_xlfn.TEXTJOIN(",",TRUE,IF(LEFT(Regions!$C$3,1)&lt;&gt;"*",Regions!$C$3,""),IF(LEFT(Regions!$D$3,1)&lt;&gt;"*",Regions!$D$3,""))</f>
        <v>IE,National</v>
      </c>
      <c r="D57" s="55" t="str">
        <f>COM_CW!D47</f>
        <v>CWPSELC_00_Boi</v>
      </c>
      <c r="E57" s="55" t="str">
        <f>COM_CW!E47</f>
        <v>Existing commercial - PS Water Heat ELC Heater</v>
      </c>
      <c r="F57" s="24" t="s">
        <v>10</v>
      </c>
      <c r="G57" s="24" t="s">
        <v>113</v>
      </c>
      <c r="H57" s="55"/>
      <c r="I57" s="55"/>
      <c r="J57" s="55"/>
    </row>
    <row r="58" spans="2:10">
      <c r="B58" s="15" t="s">
        <v>259</v>
      </c>
      <c r="C58" s="524" t="str">
        <f>_xlfn.TEXTJOIN(",",TRUE,IF(LEFT(Regions!$C$3,1)&lt;&gt;"*",Regions!$C$3,""),IF(LEFT(Regions!$D$3,1)&lt;&gt;"*",Regions!$D$3,""))</f>
        <v>IE,National</v>
      </c>
      <c r="D58" s="54" t="str">
        <f>COM_CC!E13</f>
        <v>CCCSGAS_00</v>
      </c>
      <c r="E58" s="54" t="str">
        <f>COM_CC!F13</f>
        <v>Existing commercial - CS Space Cooling GAS</v>
      </c>
      <c r="F58" s="23" t="s">
        <v>10</v>
      </c>
      <c r="G58" s="23" t="s">
        <v>113</v>
      </c>
      <c r="H58" s="58"/>
      <c r="I58" s="58"/>
      <c r="J58" s="58"/>
    </row>
    <row r="59" spans="2:10">
      <c r="B59" s="54"/>
      <c r="C59" s="54" t="str">
        <f>_xlfn.TEXTJOIN(",",TRUE,IF(LEFT(Regions!$C$3,1)&lt;&gt;"*",Regions!$C$3,""),IF(LEFT(Regions!$D$3,1)&lt;&gt;"*",Regions!$D$3,""))</f>
        <v>IE,National</v>
      </c>
      <c r="D59" s="54" t="str">
        <f>COM_CC!E14</f>
        <v>CCCSGEO_00</v>
      </c>
      <c r="E59" s="54" t="str">
        <f>COM_CC!F14</f>
        <v>Existing commercial - CS Space Cooling GEO</v>
      </c>
      <c r="F59" s="23" t="s">
        <v>10</v>
      </c>
      <c r="G59" s="23" t="s">
        <v>113</v>
      </c>
      <c r="H59" s="57"/>
      <c r="I59" s="57"/>
      <c r="J59" s="57"/>
    </row>
    <row r="60" spans="2:10">
      <c r="B60" s="54"/>
      <c r="C60" s="54" t="str">
        <f>_xlfn.TEXTJOIN(",",TRUE,IF(LEFT(Regions!$C$3,1)&lt;&gt;"*",Regions!$C$3,""),IF(LEFT(Regions!$D$3,1)&lt;&gt;"*",Regions!$D$3,""))</f>
        <v>IE,National</v>
      </c>
      <c r="D60" s="54" t="str">
        <f>COM_CC!E15</f>
        <v>CCCSELC_00_Cen</v>
      </c>
      <c r="E60" s="54" t="str">
        <f>COM_CC!F15</f>
        <v>Existing commercial - CS Space Cooling ELC Central</v>
      </c>
      <c r="F60" s="23" t="s">
        <v>10</v>
      </c>
      <c r="G60" s="23" t="s">
        <v>113</v>
      </c>
      <c r="H60" s="57"/>
      <c r="I60" s="57"/>
      <c r="J60" s="57"/>
    </row>
    <row r="61" spans="2:10">
      <c r="B61" s="54"/>
      <c r="C61" s="54" t="str">
        <f>_xlfn.TEXTJOIN(",",TRUE,IF(LEFT(Regions!$C$3,1)&lt;&gt;"*",Regions!$C$3,""),IF(LEFT(Regions!$D$3,1)&lt;&gt;"*",Regions!$D$3,""))</f>
        <v>IE,National</v>
      </c>
      <c r="D61" s="54" t="str">
        <f>COM_CC!E16</f>
        <v>CCCSELC_00_Roo</v>
      </c>
      <c r="E61" s="54" t="str">
        <f>COM_CC!F16</f>
        <v>Existing commercial - CS Space Cooling ELC Room</v>
      </c>
      <c r="F61" s="23" t="s">
        <v>10</v>
      </c>
      <c r="G61" s="23" t="s">
        <v>113</v>
      </c>
      <c r="H61" s="57"/>
      <c r="I61" s="57"/>
      <c r="J61" s="57"/>
    </row>
    <row r="62" spans="2:10">
      <c r="B62" s="54"/>
      <c r="C62" s="54" t="str">
        <f>_xlfn.TEXTJOIN(",",TRUE,IF(LEFT(Regions!$C$3,1)&lt;&gt;"*",Regions!$C$3,""),IF(LEFT(Regions!$D$3,1)&lt;&gt;"*",Regions!$D$3,""))</f>
        <v>IE,National</v>
      </c>
      <c r="D62" s="54" t="str">
        <f>COM_CC!E17</f>
        <v>CCCSELC_00_Fan</v>
      </c>
      <c r="E62" s="54" t="str">
        <f>COM_CC!F17</f>
        <v>Existing commercial - CS Space Cooling ELC Fans</v>
      </c>
      <c r="F62" s="23" t="s">
        <v>10</v>
      </c>
      <c r="G62" s="23" t="s">
        <v>113</v>
      </c>
      <c r="H62" s="57"/>
      <c r="I62" s="57"/>
      <c r="J62" s="57"/>
    </row>
    <row r="63" spans="2:10">
      <c r="B63" s="55"/>
      <c r="C63" s="55" t="str">
        <f>_xlfn.TEXTJOIN(",",TRUE,IF(LEFT(Regions!$C$3,1)&lt;&gt;"*",Regions!$C$3,""),IF(LEFT(Regions!$D$3,1)&lt;&gt;"*",Regions!$D$3,""))</f>
        <v>IE,National</v>
      </c>
      <c r="D63" s="55" t="str">
        <f>COM_CC!E18</f>
        <v>CCCSCOO_00</v>
      </c>
      <c r="E63" s="55" t="str">
        <f>COM_CC!F18</f>
        <v>Existing commercial - CS Space Cooling COO</v>
      </c>
      <c r="F63" s="24" t="s">
        <v>10</v>
      </c>
      <c r="G63" s="24" t="s">
        <v>113</v>
      </c>
      <c r="H63" s="55"/>
      <c r="I63" s="55"/>
      <c r="J63" s="55"/>
    </row>
    <row r="64" spans="2:10">
      <c r="B64" s="15" t="s">
        <v>259</v>
      </c>
      <c r="C64" s="524" t="str">
        <f>_xlfn.TEXTJOIN(",",TRUE,IF(LEFT(Regions!$C$3,1)&lt;&gt;"*",Regions!$C$3,""),IF(LEFT(Regions!$D$3,1)&lt;&gt;"*",Regions!$D$3,""))</f>
        <v>IE,National</v>
      </c>
      <c r="D64" s="54" t="str">
        <f>COM_CC!E30</f>
        <v>CCPSGAS_00</v>
      </c>
      <c r="E64" s="54" t="str">
        <f>COM_CC!F30</f>
        <v>Existing commercial - PS Space Cooling GAS</v>
      </c>
      <c r="F64" s="23" t="s">
        <v>10</v>
      </c>
      <c r="G64" s="23" t="s">
        <v>113</v>
      </c>
      <c r="H64" s="57"/>
      <c r="I64" s="57"/>
      <c r="J64" s="57"/>
    </row>
    <row r="65" spans="2:10">
      <c r="B65" s="54"/>
      <c r="C65" s="54" t="str">
        <f>_xlfn.TEXTJOIN(",",TRUE,IF(LEFT(Regions!$C$3,1)&lt;&gt;"*",Regions!$C$3,""),IF(LEFT(Regions!$D$3,1)&lt;&gt;"*",Regions!$D$3,""))</f>
        <v>IE,National</v>
      </c>
      <c r="D65" s="54" t="str">
        <f>COM_CC!E31</f>
        <v>CCPSGEO_00</v>
      </c>
      <c r="E65" s="54" t="str">
        <f>COM_CC!F31</f>
        <v>Existing commercial - PS Space Cooling GEO</v>
      </c>
      <c r="F65" s="23" t="s">
        <v>10</v>
      </c>
      <c r="G65" s="23" t="s">
        <v>113</v>
      </c>
      <c r="H65" s="57"/>
      <c r="I65" s="57"/>
      <c r="J65" s="57"/>
    </row>
    <row r="66" spans="2:10">
      <c r="B66" s="54"/>
      <c r="C66" s="54" t="str">
        <f>_xlfn.TEXTJOIN(",",TRUE,IF(LEFT(Regions!$C$3,1)&lt;&gt;"*",Regions!$C$3,""),IF(LEFT(Regions!$D$3,1)&lt;&gt;"*",Regions!$D$3,""))</f>
        <v>IE,National</v>
      </c>
      <c r="D66" s="54" t="str">
        <f>COM_CC!E32</f>
        <v>CCPSELC_00_Cen</v>
      </c>
      <c r="E66" s="54" t="str">
        <f>COM_CC!F32</f>
        <v>Existing commercial - PS Space Cooling ELC Central</v>
      </c>
      <c r="F66" s="23" t="s">
        <v>10</v>
      </c>
      <c r="G66" s="23" t="s">
        <v>113</v>
      </c>
      <c r="H66" s="57"/>
      <c r="I66" s="57"/>
      <c r="J66" s="57"/>
    </row>
    <row r="67" spans="2:10">
      <c r="B67" s="54"/>
      <c r="C67" s="54" t="str">
        <f>_xlfn.TEXTJOIN(",",TRUE,IF(LEFT(Regions!$C$3,1)&lt;&gt;"*",Regions!$C$3,""),IF(LEFT(Regions!$D$3,1)&lt;&gt;"*",Regions!$D$3,""))</f>
        <v>IE,National</v>
      </c>
      <c r="D67" s="54" t="str">
        <f>COM_CC!E33</f>
        <v>CCPSELC_00_Roo</v>
      </c>
      <c r="E67" s="54" t="str">
        <f>COM_CC!F33</f>
        <v>Existing commercial - PS Space Cooling ELC Room</v>
      </c>
      <c r="F67" s="23" t="s">
        <v>10</v>
      </c>
      <c r="G67" s="23" t="s">
        <v>113</v>
      </c>
      <c r="H67" s="57"/>
      <c r="I67" s="57"/>
      <c r="J67" s="57"/>
    </row>
    <row r="68" spans="2:10">
      <c r="B68" s="54"/>
      <c r="C68" s="54" t="str">
        <f>_xlfn.TEXTJOIN(",",TRUE,IF(LEFT(Regions!$C$3,1)&lt;&gt;"*",Regions!$C$3,""),IF(LEFT(Regions!$D$3,1)&lt;&gt;"*",Regions!$D$3,""))</f>
        <v>IE,National</v>
      </c>
      <c r="D68" s="54" t="str">
        <f>COM_CC!E34</f>
        <v>CCPSELC_00_Fan</v>
      </c>
      <c r="E68" s="54" t="str">
        <f>COM_CC!F34</f>
        <v>Existing commercial - PS Space Cooling ELC Fans</v>
      </c>
      <c r="F68" s="23" t="s">
        <v>10</v>
      </c>
      <c r="G68" s="23" t="s">
        <v>113</v>
      </c>
      <c r="H68" s="57"/>
      <c r="I68" s="57"/>
      <c r="J68" s="57"/>
    </row>
    <row r="69" spans="2:10">
      <c r="B69" s="55"/>
      <c r="C69" s="55" t="str">
        <f>_xlfn.TEXTJOIN(",",TRUE,IF(LEFT(Regions!$C$3,1)&lt;&gt;"*",Regions!$C$3,""),IF(LEFT(Regions!$D$3,1)&lt;&gt;"*",Regions!$D$3,""))</f>
        <v>IE,National</v>
      </c>
      <c r="D69" s="55" t="str">
        <f>COM_CC!E35</f>
        <v>CCPSCOO_00</v>
      </c>
      <c r="E69" s="55" t="str">
        <f>COM_CC!F35</f>
        <v>Existing commercial - PS Space Cooling COO</v>
      </c>
      <c r="F69" s="24" t="s">
        <v>10</v>
      </c>
      <c r="G69" s="24" t="s">
        <v>113</v>
      </c>
      <c r="H69" s="55"/>
      <c r="I69" s="55"/>
      <c r="J69" s="55"/>
    </row>
    <row r="70" spans="2:10">
      <c r="B70" s="15" t="s">
        <v>259</v>
      </c>
      <c r="C70" s="524" t="str">
        <f>_xlfn.TEXTJOIN(",",TRUE,IF(LEFT(Regions!$C$3,1)&lt;&gt;"*",Regions!$C$3,""),IF(LEFT(Regions!$D$3,1)&lt;&gt;"*",Regions!$D$3,""))</f>
        <v>IE,National</v>
      </c>
      <c r="D70" s="54" t="str">
        <f>COM_COth!E16</f>
        <v>CLIGELC_00_IStd</v>
      </c>
      <c r="E70" s="54" t="str">
        <f>COM_COth!F16</f>
        <v>Existing commercial - Lighting ELC Incandescent STD</v>
      </c>
      <c r="F70" s="54" t="s">
        <v>10</v>
      </c>
      <c r="G70" s="54" t="s">
        <v>381</v>
      </c>
      <c r="H70" s="54"/>
      <c r="I70" s="54"/>
      <c r="J70" s="54"/>
    </row>
    <row r="71" spans="2:10">
      <c r="B71" s="54"/>
      <c r="C71" s="54" t="str">
        <f>_xlfn.TEXTJOIN(",",TRUE,IF(LEFT(Regions!$C$3,1)&lt;&gt;"*",Regions!$C$3,""),IF(LEFT(Regions!$D$3,1)&lt;&gt;"*",Regions!$D$3,""))</f>
        <v>IE,National</v>
      </c>
      <c r="D71" s="54" t="str">
        <f>COM_COth!E17</f>
        <v>CLIGELC_00_IImp</v>
      </c>
      <c r="E71" s="54" t="str">
        <f>COM_COth!F17</f>
        <v>Existing commercial - Lighting ELC Incandescent IMP</v>
      </c>
      <c r="F71" s="54" t="s">
        <v>10</v>
      </c>
      <c r="G71" s="54" t="s">
        <v>381</v>
      </c>
      <c r="H71" s="54"/>
      <c r="I71" s="54"/>
      <c r="J71" s="54"/>
    </row>
    <row r="72" spans="2:10">
      <c r="B72" s="54"/>
      <c r="C72" s="54" t="str">
        <f>_xlfn.TEXTJOIN(",",TRUE,IF(LEFT(Regions!$C$3,1)&lt;&gt;"*",Regions!$C$3,""),IF(LEFT(Regions!$D$3,1)&lt;&gt;"*",Regions!$D$3,""))</f>
        <v>IE,National</v>
      </c>
      <c r="D72" s="54" t="str">
        <f>COM_COth!E18</f>
        <v>CLIGELC_00_Hal</v>
      </c>
      <c r="E72" s="54" t="str">
        <f>COM_COth!F18</f>
        <v>Existing commercial - Lighting ELC Halogen</v>
      </c>
      <c r="F72" s="54" t="s">
        <v>10</v>
      </c>
      <c r="G72" s="54" t="s">
        <v>381</v>
      </c>
      <c r="H72" s="54"/>
      <c r="I72" s="54"/>
      <c r="J72" s="54"/>
    </row>
    <row r="73" spans="2:10">
      <c r="B73" s="55"/>
      <c r="C73" s="55" t="str">
        <f>_xlfn.TEXTJOIN(",",TRUE,IF(LEFT(Regions!$C$3,1)&lt;&gt;"*",Regions!$C$3,""),IF(LEFT(Regions!$D$3,1)&lt;&gt;"*",Regions!$D$3,""))</f>
        <v>IE,National</v>
      </c>
      <c r="D73" s="55" t="str">
        <f>COM_COth!E19</f>
        <v>CLIGELC_00_Flu</v>
      </c>
      <c r="E73" s="55" t="str">
        <f>COM_COth!F19</f>
        <v>Existing commercial - Lighting ELC Fluoreshent</v>
      </c>
      <c r="F73" s="55" t="s">
        <v>10</v>
      </c>
      <c r="G73" s="55" t="s">
        <v>381</v>
      </c>
      <c r="H73" s="55"/>
      <c r="I73" s="55"/>
      <c r="J73" s="55"/>
    </row>
    <row r="74" spans="2:10">
      <c r="B74" s="15" t="s">
        <v>259</v>
      </c>
      <c r="C74" s="524" t="str">
        <f>_xlfn.TEXTJOIN(",",TRUE,IF(LEFT(Regions!$C$3,1)&lt;&gt;"*",Regions!$C$3,""),IF(LEFT(Regions!$D$3,1)&lt;&gt;"*",Regions!$D$3,""))</f>
        <v>IE,National</v>
      </c>
      <c r="D74" s="54" t="str">
        <f>COM_COth!E27</f>
        <v>CCOKCOA_00</v>
      </c>
      <c r="E74" s="54" t="str">
        <f>COM_COth!F27</f>
        <v>Existing commercial - Cooking COA</v>
      </c>
      <c r="F74" s="54" t="s">
        <v>10</v>
      </c>
      <c r="G74" s="54" t="s">
        <v>381</v>
      </c>
      <c r="H74" s="54"/>
      <c r="I74" s="54"/>
      <c r="J74" s="54"/>
    </row>
    <row r="75" spans="2:10">
      <c r="B75" s="54"/>
      <c r="C75" s="54" t="str">
        <f>_xlfn.TEXTJOIN(",",TRUE,IF(LEFT(Regions!$C$3,1)&lt;&gt;"*",Regions!$C$3,""),IF(LEFT(Regions!$D$3,1)&lt;&gt;"*",Regions!$D$3,""))</f>
        <v>IE,National</v>
      </c>
      <c r="D75" s="54" t="str">
        <f>COM_COth!E28</f>
        <v>CCOKLPG_00</v>
      </c>
      <c r="E75" s="54" t="str">
        <f>COM_COth!F28</f>
        <v>Existing commercial - Cooking LPG</v>
      </c>
      <c r="F75" s="54" t="s">
        <v>10</v>
      </c>
      <c r="G75" s="54" t="s">
        <v>381</v>
      </c>
      <c r="H75" s="54"/>
      <c r="I75" s="54"/>
      <c r="J75" s="54"/>
    </row>
    <row r="76" spans="2:10">
      <c r="B76" s="54"/>
      <c r="C76" s="54" t="str">
        <f>_xlfn.TEXTJOIN(",",TRUE,IF(LEFT(Regions!$C$3,1)&lt;&gt;"*",Regions!$C$3,""),IF(LEFT(Regions!$D$3,1)&lt;&gt;"*",Regions!$D$3,""))</f>
        <v>IE,National</v>
      </c>
      <c r="D76" s="54" t="str">
        <f>COM_COth!E29</f>
        <v>CCOKOIL_00</v>
      </c>
      <c r="E76" s="54" t="str">
        <f>COM_COth!F29</f>
        <v>Existing commercial - Cooking OIL</v>
      </c>
      <c r="F76" s="54" t="s">
        <v>10</v>
      </c>
      <c r="G76" s="54" t="s">
        <v>381</v>
      </c>
      <c r="H76" s="54"/>
      <c r="I76" s="54"/>
      <c r="J76" s="54"/>
    </row>
    <row r="77" spans="2:10">
      <c r="B77" s="54"/>
      <c r="C77" s="54" t="str">
        <f>_xlfn.TEXTJOIN(",",TRUE,IF(LEFT(Regions!$C$3,1)&lt;&gt;"*",Regions!$C$3,""),IF(LEFT(Regions!$D$3,1)&lt;&gt;"*",Regions!$D$3,""))</f>
        <v>IE,National</v>
      </c>
      <c r="D77" s="54" t="str">
        <f>COM_COth!E30</f>
        <v>CCOKGAS_00</v>
      </c>
      <c r="E77" s="54" t="str">
        <f>COM_COth!F30</f>
        <v>Existing commercial - Cooking GAS</v>
      </c>
      <c r="F77" s="54" t="s">
        <v>10</v>
      </c>
      <c r="G77" s="54" t="s">
        <v>381</v>
      </c>
      <c r="H77" s="54"/>
      <c r="I77" s="54"/>
      <c r="J77" s="54"/>
    </row>
    <row r="78" spans="2:10">
      <c r="B78" s="54"/>
      <c r="C78" s="54" t="str">
        <f>_xlfn.TEXTJOIN(",",TRUE,IF(LEFT(Regions!$C$3,1)&lt;&gt;"*",Regions!$C$3,""),IF(LEFT(Regions!$D$3,1)&lt;&gt;"*",Regions!$D$3,""))</f>
        <v>IE,National</v>
      </c>
      <c r="D78" s="54" t="str">
        <f>COM_COth!E31</f>
        <v>CCOKBIO_00</v>
      </c>
      <c r="E78" s="54" t="str">
        <f>COM_COth!F31</f>
        <v>Existing commercial - Cooking BIO</v>
      </c>
      <c r="F78" s="54" t="s">
        <v>10</v>
      </c>
      <c r="G78" s="54" t="s">
        <v>381</v>
      </c>
      <c r="H78" s="54"/>
      <c r="I78" s="54"/>
      <c r="J78" s="54"/>
    </row>
    <row r="79" spans="2:10">
      <c r="B79" s="54"/>
      <c r="C79" s="54" t="str">
        <f>_xlfn.TEXTJOIN(",",TRUE,IF(LEFT(Regions!$C$3,1)&lt;&gt;"*",Regions!$C$3,""),IF(LEFT(Regions!$D$3,1)&lt;&gt;"*",Regions!$D$3,""))</f>
        <v>IE,National</v>
      </c>
      <c r="D79" s="54" t="str">
        <f>COM_COth!E32</f>
        <v>CCOKBGS_00</v>
      </c>
      <c r="E79" s="54" t="str">
        <f>COM_COth!F32</f>
        <v>Existing commercial - Cooking BGS</v>
      </c>
      <c r="F79" s="54" t="s">
        <v>10</v>
      </c>
      <c r="G79" s="54" t="s">
        <v>381</v>
      </c>
      <c r="H79" s="54"/>
      <c r="I79" s="54"/>
      <c r="J79" s="54"/>
    </row>
    <row r="80" spans="2:10">
      <c r="B80" s="54"/>
      <c r="C80" s="54" t="str">
        <f>_xlfn.TEXTJOIN(",",TRUE,IF(LEFT(Regions!$C$3,1)&lt;&gt;"*",Regions!$C$3,""),IF(LEFT(Regions!$D$3,1)&lt;&gt;"*",Regions!$D$3,""))</f>
        <v>IE,National</v>
      </c>
      <c r="D80" s="54" t="str">
        <f>COM_COth!E33</f>
        <v>CCOKSOL_00</v>
      </c>
      <c r="E80" s="54" t="str">
        <f>COM_COth!F33</f>
        <v>Existing commercial - Cooking SOL</v>
      </c>
      <c r="F80" s="54" t="s">
        <v>10</v>
      </c>
      <c r="G80" s="54" t="s">
        <v>381</v>
      </c>
      <c r="H80" s="54"/>
      <c r="I80" s="54"/>
      <c r="J80" s="54"/>
    </row>
    <row r="81" spans="2:10">
      <c r="B81" s="55"/>
      <c r="C81" s="55" t="str">
        <f>_xlfn.TEXTJOIN(",",TRUE,IF(LEFT(Regions!$C$3,1)&lt;&gt;"*",Regions!$C$3,""),IF(LEFT(Regions!$D$3,1)&lt;&gt;"*",Regions!$D$3,""))</f>
        <v>IE,National</v>
      </c>
      <c r="D81" s="55" t="str">
        <f>COM_COth!E34</f>
        <v>CCOKELC_00</v>
      </c>
      <c r="E81" s="55" t="str">
        <f>COM_COth!F34</f>
        <v>Existing commercial - Cooking ELC</v>
      </c>
      <c r="F81" s="55" t="s">
        <v>10</v>
      </c>
      <c r="G81" s="55" t="s">
        <v>381</v>
      </c>
      <c r="H81" s="55"/>
      <c r="I81" s="55"/>
      <c r="J81" s="55"/>
    </row>
    <row r="82" spans="2:10">
      <c r="B82" s="15" t="s">
        <v>259</v>
      </c>
      <c r="C82" s="524" t="str">
        <f>_xlfn.TEXTJOIN(",",TRUE,IF(LEFT(Regions!$C$3,1)&lt;&gt;"*",Regions!$C$3,""),IF(LEFT(Regions!$D$3,1)&lt;&gt;"*",Regions!$D$3,""))</f>
        <v>IE,National</v>
      </c>
      <c r="D82" s="54" t="str">
        <f>COM_COth!E42</f>
        <v>CREFELC_00_Ref</v>
      </c>
      <c r="E82" s="54" t="str">
        <f>COM_COth!F42</f>
        <v>Existing commercial - Refrigeration ELC Refrigerator</v>
      </c>
      <c r="F82" s="54" t="s">
        <v>10</v>
      </c>
      <c r="G82" s="54" t="s">
        <v>381</v>
      </c>
      <c r="H82" s="54"/>
      <c r="I82" s="54"/>
      <c r="J82" s="54"/>
    </row>
    <row r="83" spans="2:10">
      <c r="B83" s="57"/>
      <c r="C83" s="57" t="str">
        <f>_xlfn.TEXTJOIN(",",TRUE,IF(LEFT(Regions!$C$3,1)&lt;&gt;"*",Regions!$C$3,""),IF(LEFT(Regions!$D$3,1)&lt;&gt;"*",Regions!$D$3,""))</f>
        <v>IE,National</v>
      </c>
      <c r="D83" s="57" t="str">
        <f>COM_COth!E43</f>
        <v>CREFELC_00_Fre</v>
      </c>
      <c r="E83" s="57" t="str">
        <f>COM_COth!F43</f>
        <v>Existing commercial - Refrigeration ELC Freezer</v>
      </c>
      <c r="F83" s="57" t="s">
        <v>10</v>
      </c>
      <c r="G83" s="57" t="s">
        <v>381</v>
      </c>
      <c r="H83" s="57"/>
      <c r="I83" s="57"/>
      <c r="J83" s="57"/>
    </row>
    <row r="84" spans="2:10">
      <c r="B84" s="55"/>
      <c r="C84" s="55" t="str">
        <f>_xlfn.TEXTJOIN(",",TRUE,IF(LEFT(Regions!$C$3,1)&lt;&gt;"*",Regions!$C$3,""),IF(LEFT(Regions!$D$3,1)&lt;&gt;"*",Regions!$D$3,""))</f>
        <v>IE,National</v>
      </c>
      <c r="D84" s="55" t="str">
        <f>COM_COth!E44</f>
        <v>CREFELC_00_RF</v>
      </c>
      <c r="E84" s="55" t="str">
        <f>COM_COth!F44</f>
        <v>Existing commercial - Refrigeration ELC Refrigerator + Freezer</v>
      </c>
      <c r="F84" s="55" t="s">
        <v>10</v>
      </c>
      <c r="G84" s="55" t="s">
        <v>381</v>
      </c>
      <c r="H84" s="55"/>
      <c r="I84" s="55"/>
      <c r="J84" s="55"/>
    </row>
    <row r="85" spans="2:10">
      <c r="B85" s="62" t="s">
        <v>259</v>
      </c>
      <c r="C85" s="525" t="str">
        <f>_xlfn.TEXTJOIN(",",TRUE,IF(LEFT(Regions!$C$3,1)&lt;&gt;"*",Regions!$C$3,""),IF(LEFT(Regions!$D$3,1)&lt;&gt;"*",Regions!$D$3,""))</f>
        <v>IE,National</v>
      </c>
      <c r="D85" s="59" t="str">
        <f>COM_COth!E52</f>
        <v>CPLIELC_00</v>
      </c>
      <c r="E85" s="59" t="str">
        <f>COM_COth!F52</f>
        <v>Existing commercial - Public Lighting ELC</v>
      </c>
      <c r="F85" s="59" t="s">
        <v>10</v>
      </c>
      <c r="G85" s="59" t="s">
        <v>381</v>
      </c>
      <c r="H85" s="59"/>
      <c r="I85" s="59"/>
      <c r="J85" s="59"/>
    </row>
    <row r="86" spans="2:10">
      <c r="B86" s="15" t="s">
        <v>259</v>
      </c>
      <c r="C86" s="524" t="str">
        <f>_xlfn.TEXTJOIN(",",TRUE,IF(LEFT(Regions!$C$3,1)&lt;&gt;"*",Regions!$C$3,""),IF(LEFT(Regions!$D$3,1)&lt;&gt;"*",Regions!$D$3,""))</f>
        <v>IE,National</v>
      </c>
      <c r="D86" s="55" t="str">
        <f>COM_COth!E60</f>
        <v>COELELC_00</v>
      </c>
      <c r="E86" s="55" t="str">
        <f>COM_COth!F60</f>
        <v>Existing commercial - Other ELC</v>
      </c>
      <c r="F86" s="55" t="s">
        <v>10</v>
      </c>
      <c r="G86" s="55" t="s">
        <v>381</v>
      </c>
      <c r="H86" s="55"/>
      <c r="I86" s="55"/>
      <c r="J86" s="55"/>
    </row>
    <row r="87" spans="2:10">
      <c r="B87" s="15" t="s">
        <v>259</v>
      </c>
      <c r="C87" s="524" t="str">
        <f>_xlfn.TEXTJOIN(",",TRUE,IF(LEFT(Regions!$C$3,1)&lt;&gt;"*",Regions!$C$3,""),IF(LEFT(Regions!$D$3,1)&lt;&gt;"*",Regions!$D$3,""))</f>
        <v>IE,National</v>
      </c>
      <c r="D87" s="55" t="str">
        <f>COM_DC!D14</f>
        <v>CDCEELC_00</v>
      </c>
      <c r="E87" s="55" t="str">
        <f>COM_DC!E14</f>
        <v>Existing commercial - Data Centres ELC</v>
      </c>
      <c r="F87" s="55" t="s">
        <v>10</v>
      </c>
      <c r="G87" s="55" t="s">
        <v>381</v>
      </c>
      <c r="H87" s="55"/>
      <c r="I87" s="55"/>
      <c r="J87" s="55"/>
    </row>
    <row r="88" spans="2:10">
      <c r="B88" s="63" t="s">
        <v>260</v>
      </c>
      <c r="C88" s="526" t="str">
        <f>_xlfn.TEXTJOIN(",",TRUE,IF(LEFT(Regions!$C$3,1)&lt;&gt;"*",Regions!$C$3,""),IF(LEFT(Regions!$D$3,1)&lt;&gt;"*",Regions!$D$3,""))</f>
        <v>IE,National</v>
      </c>
      <c r="D88" s="59" t="str">
        <f>COM_PV!C9</f>
        <v>COMPVELC_00</v>
      </c>
      <c r="E88" s="59" t="str">
        <f>COM_PV!D9</f>
        <v>Existing commercial - Solar PV</v>
      </c>
      <c r="F88" s="59" t="s">
        <v>10</v>
      </c>
      <c r="G88" s="59" t="s">
        <v>113</v>
      </c>
      <c r="H88" s="59" t="s">
        <v>75</v>
      </c>
      <c r="I88" s="59"/>
      <c r="J88" s="59"/>
    </row>
    <row r="89" spans="2:10">
      <c r="B89" s="56" t="s">
        <v>261</v>
      </c>
      <c r="C89" s="23" t="str">
        <f>_xlfn.TEXTJOIN(",",TRUE,IF(LEFT(Regions!$C$3,1)&lt;&gt;"*",Regions!$C$3,""),IF(LEFT(Regions!$D$3,1)&lt;&gt;"*",Regions!$D$3,""))</f>
        <v>IE,National</v>
      </c>
      <c r="D89" s="23" t="str">
        <f>COM_FuelTechs!C21</f>
        <v>COMELC_INF</v>
      </c>
      <c r="E89" s="23" t="str">
        <f>COM_FuelTechs!D21</f>
        <v>Fuel Tech - Electricity (COM)</v>
      </c>
      <c r="F89" s="23" t="s">
        <v>10</v>
      </c>
      <c r="G89" s="23" t="s">
        <v>113</v>
      </c>
      <c r="H89" s="23" t="s">
        <v>75</v>
      </c>
      <c r="I89" s="53"/>
      <c r="J89" s="53"/>
    </row>
    <row r="90" spans="2:10">
      <c r="B90" s="56"/>
      <c r="C90" s="23" t="str">
        <f>_xlfn.TEXTJOIN(",",TRUE,IF(LEFT(Regions!$C$3,1)&lt;&gt;"*",Regions!$C$3,""),IF(LEFT(Regions!$D$3,1)&lt;&gt;"*",Regions!$D$3,""))</f>
        <v>IE,National</v>
      </c>
      <c r="D90" s="23" t="str">
        <f>COM_FuelTechs!C28</f>
        <v>COMHET_INF</v>
      </c>
      <c r="E90" s="23" t="str">
        <f>COM_FuelTechs!D28</f>
        <v>Fuel Tech - Heat (COM)</v>
      </c>
      <c r="F90" s="23" t="s">
        <v>10</v>
      </c>
      <c r="G90" s="23" t="s">
        <v>113</v>
      </c>
      <c r="H90" s="23" t="s">
        <v>378</v>
      </c>
      <c r="I90" s="53"/>
      <c r="J90" s="53"/>
    </row>
    <row r="91" spans="2:10">
      <c r="B91" s="54"/>
      <c r="C91" s="54" t="str">
        <f>_xlfn.TEXTJOIN(",",TRUE,IF(LEFT(Regions!$C$3,1)&lt;&gt;"*",Regions!$C$3,""),IF(LEFT(Regions!$D$3,1)&lt;&gt;"*",Regions!$D$3,""))</f>
        <v>IE,National</v>
      </c>
      <c r="D91" s="54" t="str">
        <f>COM_FuelTechs!C6</f>
        <v>COMCOA_INF</v>
      </c>
      <c r="E91" s="54" t="str">
        <f>COM_FuelTechs!D6</f>
        <v>Fuel Tech - Coal (COM)</v>
      </c>
      <c r="F91" s="57" t="s">
        <v>10</v>
      </c>
      <c r="G91" s="57" t="s">
        <v>381</v>
      </c>
      <c r="H91" s="54"/>
      <c r="I91" s="54"/>
      <c r="J91" s="54"/>
    </row>
    <row r="92" spans="2:10">
      <c r="B92" s="54"/>
      <c r="C92" s="54" t="str">
        <f>_xlfn.TEXTJOIN(",",TRUE,IF(LEFT(Regions!$C$3,1)&lt;&gt;"*",Regions!$C$3,""),IF(LEFT(Regions!$D$3,1)&lt;&gt;"*",Regions!$D$3,""))</f>
        <v>IE,National</v>
      </c>
      <c r="D92" s="54" t="str">
        <f>COM_FuelTechs!C8</f>
        <v>COMLPG_INF</v>
      </c>
      <c r="E92" s="54" t="str">
        <f>COM_FuelTechs!D8</f>
        <v>Fuel Tech - Liquified Petroleum Gas (COM)</v>
      </c>
      <c r="F92" s="57" t="s">
        <v>10</v>
      </c>
      <c r="G92" s="57" t="s">
        <v>381</v>
      </c>
      <c r="H92" s="54"/>
      <c r="I92" s="54"/>
      <c r="J92" s="54"/>
    </row>
    <row r="93" spans="2:10">
      <c r="B93" s="54"/>
      <c r="C93" s="54" t="str">
        <f>_xlfn.TEXTJOIN(",",TRUE,IF(LEFT(Regions!$C$3,1)&lt;&gt;"*",Regions!$C$3,""),IF(LEFT(Regions!$D$3,1)&lt;&gt;"*",Regions!$D$3,""))</f>
        <v>IE,National</v>
      </c>
      <c r="D93" s="54" t="str">
        <f>COM_FuelTechs!C9</f>
        <v>COMOIL_INF</v>
      </c>
      <c r="E93" s="54" t="str">
        <f>COM_FuelTechs!D9</f>
        <v>Fuel Tech - Oil (COM)</v>
      </c>
      <c r="F93" s="57" t="s">
        <v>10</v>
      </c>
      <c r="G93" s="57" t="s">
        <v>381</v>
      </c>
      <c r="H93" s="54"/>
      <c r="I93" s="54"/>
      <c r="J93" s="54"/>
    </row>
    <row r="94" spans="2:10">
      <c r="B94" s="54"/>
      <c r="C94" s="54" t="str">
        <f>_xlfn.TEXTJOIN(",",TRUE,IF(LEFT(Regions!$C$3,1)&lt;&gt;"*",Regions!$C$3,""),IF(LEFT(Regions!$D$3,1)&lt;&gt;"*",Regions!$D$3,""))</f>
        <v>IE,National</v>
      </c>
      <c r="D94" s="54" t="str">
        <f>COM_FuelTechs!C11</f>
        <v>COMGAS_INF</v>
      </c>
      <c r="E94" s="54" t="str">
        <f>COM_FuelTechs!D11</f>
        <v>Fuel Tech - Natural Gas (COM)</v>
      </c>
      <c r="F94" s="57" t="s">
        <v>10</v>
      </c>
      <c r="G94" s="57" t="s">
        <v>381</v>
      </c>
      <c r="H94" s="54" t="s">
        <v>378</v>
      </c>
      <c r="I94" s="54"/>
      <c r="J94" s="54"/>
    </row>
    <row r="95" spans="2:10">
      <c r="B95" s="54"/>
      <c r="C95" s="54" t="str">
        <f>_xlfn.TEXTJOIN(",",TRUE,IF(LEFT(Regions!$C$3,1)&lt;&gt;"*",Regions!$C$3,""),IF(LEFT(Regions!$D$3,1)&lt;&gt;"*",Regions!$D$3,""))</f>
        <v>IE,National</v>
      </c>
      <c r="D95" s="54" t="str">
        <f>COM_FuelTechs!C12</f>
        <v>COMBIO_INF</v>
      </c>
      <c r="E95" s="54" t="str">
        <f>COM_FuelTechs!D12</f>
        <v>Fuel Tech - Biomass (COM)</v>
      </c>
      <c r="F95" s="57" t="s">
        <v>10</v>
      </c>
      <c r="G95" s="57" t="s">
        <v>381</v>
      </c>
      <c r="H95" s="54"/>
      <c r="I95" s="54"/>
      <c r="J95" s="54"/>
    </row>
    <row r="96" spans="2:10">
      <c r="B96" s="54"/>
      <c r="C96" s="54" t="str">
        <f>_xlfn.TEXTJOIN(",",TRUE,IF(LEFT(Regions!$C$3,1)&lt;&gt;"*",Regions!$C$3,""),IF(LEFT(Regions!$D$3,1)&lt;&gt;"*",Regions!$D$3,""))</f>
        <v>IE,National</v>
      </c>
      <c r="D96" s="54" t="str">
        <f>COM_FuelTechs!C13</f>
        <v>COMBGS_INF</v>
      </c>
      <c r="E96" s="54" t="str">
        <f>COM_FuelTechs!D13</f>
        <v>Fuel Tech - Biogas (COM)</v>
      </c>
      <c r="F96" s="57" t="s">
        <v>10</v>
      </c>
      <c r="G96" s="57" t="s">
        <v>381</v>
      </c>
      <c r="H96" s="54" t="s">
        <v>378</v>
      </c>
      <c r="I96" s="54"/>
      <c r="J96" s="54"/>
    </row>
    <row r="97" spans="2:10">
      <c r="B97" s="54"/>
      <c r="C97" s="54" t="str">
        <f>_xlfn.TEXTJOIN(",",TRUE,IF(LEFT(Regions!$C$3,1)&lt;&gt;"*",Regions!$C$3,""),IF(LEFT(Regions!$D$3,1)&lt;&gt;"*",Regions!$D$3,""))</f>
        <v>IE,National</v>
      </c>
      <c r="D97" s="54" t="str">
        <f>COM_FuelTechs!C14</f>
        <v>COMSOL_INF</v>
      </c>
      <c r="E97" s="54" t="str">
        <f>COM_FuelTechs!D14</f>
        <v>Fuel Tech - Solar (COM)</v>
      </c>
      <c r="F97" s="57" t="s">
        <v>10</v>
      </c>
      <c r="G97" s="57" t="s">
        <v>381</v>
      </c>
      <c r="H97" s="54"/>
      <c r="I97" s="54"/>
      <c r="J97" s="54"/>
    </row>
    <row r="98" spans="2:10">
      <c r="B98" s="54"/>
      <c r="C98" s="54" t="str">
        <f>_xlfn.TEXTJOIN(",",TRUE,IF(LEFT(Regions!$C$3,1)&lt;&gt;"*",Regions!$C$3,""),IF(LEFT(Regions!$D$3,1)&lt;&gt;"*",Regions!$D$3,""))</f>
        <v>IE,National</v>
      </c>
      <c r="D98" s="54" t="str">
        <f>COM_FuelTechs!C15</f>
        <v>COMGEO_INF</v>
      </c>
      <c r="E98" s="54" t="str">
        <f>COM_FuelTechs!D15</f>
        <v>Fuel Tech - Geothermal (COM)</v>
      </c>
      <c r="F98" s="57" t="s">
        <v>10</v>
      </c>
      <c r="G98" s="57" t="s">
        <v>381</v>
      </c>
      <c r="H98" s="54"/>
      <c r="I98" s="54"/>
      <c r="J98" s="54"/>
    </row>
    <row r="99" spans="2:10">
      <c r="B99" s="54"/>
      <c r="C99" s="54" t="str">
        <f>_xlfn.TEXTJOIN(",",TRUE,IF(LEFT(Regions!$C$3,1)&lt;&gt;"*",Regions!$C$3,""),IF(LEFT(Regions!$D$3,1)&lt;&gt;"*",Regions!$D$3,""))</f>
        <v>IE,National</v>
      </c>
      <c r="D99" s="54" t="str">
        <f>COM_FuelTechs!C16</f>
        <v>COMAMB_INF</v>
      </c>
      <c r="E99" s="54" t="str">
        <f>COM_FuelTechs!D16</f>
        <v>Fuel Tech - Ambient Heat (COM)</v>
      </c>
      <c r="F99" s="57" t="s">
        <v>10</v>
      </c>
      <c r="G99" s="57" t="s">
        <v>381</v>
      </c>
      <c r="H99" s="54"/>
      <c r="I99" s="54"/>
      <c r="J99" s="54"/>
    </row>
    <row r="100" spans="2:10">
      <c r="B100" s="54"/>
      <c r="C100" s="54" t="str">
        <f>_xlfn.TEXTJOIN(",",TRUE,IF(LEFT(Regions!$C$3,1)&lt;&gt;"*",Regions!$C$3,""),IF(LEFT(Regions!$D$3,1)&lt;&gt;"*",Regions!$D$3,""))</f>
        <v>IE,National</v>
      </c>
      <c r="D100" s="54" t="str">
        <f>COM_FuelTechs!C44</f>
        <v>COMH2G_INF</v>
      </c>
      <c r="E100" s="54" t="str">
        <f>COM_FuelTechs!D44</f>
        <v>Fuel Tech - Hydrogen gaseous (COM)</v>
      </c>
      <c r="F100" s="57" t="s">
        <v>10</v>
      </c>
      <c r="G100" s="57" t="s">
        <v>381</v>
      </c>
      <c r="H100" s="54"/>
      <c r="I100" s="54"/>
      <c r="J100" s="54"/>
    </row>
    <row r="101" spans="2:10">
      <c r="B101" s="54"/>
      <c r="C101" s="54" t="str">
        <f>_xlfn.TEXTJOIN(",",TRUE,IF(LEFT(Regions!$C$3,1)&lt;&gt;"*",Regions!$C$3,""),IF(LEFT(Regions!$D$3,1)&lt;&gt;"*",Regions!$D$3,""))</f>
        <v>IE,National</v>
      </c>
      <c r="D101" s="54" t="str">
        <f>COM_FuelTechs!C45</f>
        <v>COMH2L_INF</v>
      </c>
      <c r="E101" s="54" t="str">
        <f>COM_FuelTechs!D45</f>
        <v>Fuel Tech - Hydrogen liquid (COM)</v>
      </c>
      <c r="F101" s="57" t="s">
        <v>10</v>
      </c>
      <c r="G101" s="57" t="s">
        <v>381</v>
      </c>
      <c r="H101" s="54"/>
      <c r="I101" s="54"/>
      <c r="J101" s="54"/>
    </row>
  </sheetData>
  <phoneticPr fontId="27" type="noConversion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5">
    <tabColor rgb="FFFFC000"/>
  </sheetPr>
  <dimension ref="A1:S52"/>
  <sheetViews>
    <sheetView zoomScaleNormal="100" workbookViewId="0">
      <selection activeCell="F16" sqref="F16"/>
    </sheetView>
  </sheetViews>
  <sheetFormatPr defaultColWidth="9.140625" defaultRowHeight="15"/>
  <cols>
    <col min="1" max="1" width="5.140625" style="427" customWidth="1"/>
    <col min="2" max="2" width="12.28515625" style="427" customWidth="1"/>
    <col min="3" max="3" width="13.42578125" style="403" bestFit="1" customWidth="1"/>
    <col min="4" max="4" width="55.7109375" style="403" bestFit="1" customWidth="1"/>
    <col min="5" max="5" width="26" style="403" bestFit="1" customWidth="1"/>
    <col min="6" max="6" width="11.7109375" style="403" bestFit="1" customWidth="1"/>
    <col min="7" max="7" width="5.5703125" style="403" bestFit="1" customWidth="1"/>
    <col min="8" max="8" width="12.28515625" style="403" bestFit="1" customWidth="1"/>
    <col min="9" max="9" width="13.5703125" style="403" bestFit="1" customWidth="1"/>
    <col min="10" max="10" width="11" style="403" bestFit="1" customWidth="1"/>
    <col min="11" max="11" width="26" style="403" bestFit="1" customWidth="1"/>
    <col min="12" max="13" width="13.140625" style="403" bestFit="1" customWidth="1"/>
    <col min="14" max="14" width="11.5703125" style="403" customWidth="1"/>
    <col min="15" max="257" width="11.42578125" style="403" customWidth="1"/>
    <col min="258" max="16384" width="9.140625" style="403"/>
  </cols>
  <sheetData>
    <row r="1" spans="2:15">
      <c r="F1" s="404"/>
      <c r="G1" s="404"/>
    </row>
    <row r="2" spans="2:15">
      <c r="F2" s="405"/>
      <c r="G2" s="404"/>
    </row>
    <row r="3" spans="2:15" ht="18.75">
      <c r="B3" s="406" t="s">
        <v>209</v>
      </c>
      <c r="C3" s="406"/>
      <c r="D3" s="407"/>
      <c r="E3" s="407"/>
      <c r="F3" s="408" t="s">
        <v>79</v>
      </c>
      <c r="G3" s="408"/>
    </row>
    <row r="4" spans="2:15" ht="26.25" customHeight="1" thickBot="1">
      <c r="B4" s="409" t="s">
        <v>603</v>
      </c>
      <c r="C4" s="409" t="s">
        <v>15</v>
      </c>
      <c r="D4" s="409" t="s">
        <v>16</v>
      </c>
      <c r="E4" s="409" t="s">
        <v>39</v>
      </c>
      <c r="F4" s="409" t="s">
        <v>40</v>
      </c>
      <c r="G4" s="410" t="s">
        <v>81</v>
      </c>
      <c r="H4" s="410" t="s">
        <v>208</v>
      </c>
      <c r="I4" s="512" t="s">
        <v>561</v>
      </c>
      <c r="J4" s="487" t="s">
        <v>547</v>
      </c>
      <c r="K4" s="411" t="s">
        <v>212</v>
      </c>
      <c r="L4" s="412" t="s">
        <v>54</v>
      </c>
      <c r="M4" s="410" t="s">
        <v>238</v>
      </c>
    </row>
    <row r="5" spans="2:15" ht="15.75" thickBot="1">
      <c r="B5" s="413" t="s">
        <v>147</v>
      </c>
      <c r="C5" s="413"/>
      <c r="D5" s="413"/>
      <c r="E5" s="413"/>
      <c r="F5" s="413"/>
      <c r="G5" s="413"/>
      <c r="H5" s="413"/>
      <c r="I5" s="514" t="s">
        <v>562</v>
      </c>
      <c r="J5" s="413" t="s">
        <v>381</v>
      </c>
      <c r="K5" s="414" t="s">
        <v>213</v>
      </c>
      <c r="L5" s="414" t="s">
        <v>499</v>
      </c>
      <c r="M5" s="413" t="s">
        <v>258</v>
      </c>
    </row>
    <row r="6" spans="2:15">
      <c r="B6" s="415" t="str">
        <f>_xlfn.TEXTJOIN(",",TRUE,IF(LEFT(Regions!$C$3,1)&lt;&gt;"*",Regions!$C$3,""),IF(LEFT(Regions!$D$3,1)&lt;&gt;"*",Regions!$D$3,""))</f>
        <v>IE,National</v>
      </c>
      <c r="C6" s="415" t="str">
        <f>CONCATENATE(F6,"_INF")</f>
        <v>COMCOA_INF</v>
      </c>
      <c r="D6" s="415" t="s">
        <v>202</v>
      </c>
      <c r="E6" s="416" t="s">
        <v>188</v>
      </c>
      <c r="F6" s="417" t="str">
        <f>COM_Balance!$D$13</f>
        <v>COMCOA</v>
      </c>
      <c r="G6" s="416">
        <v>1</v>
      </c>
      <c r="H6" s="418" t="str">
        <f>IF(COM_Balance!$D$12=0,"",'EB2018'!E57/COM_Balance!$D$12)</f>
        <v/>
      </c>
      <c r="I6" s="418"/>
      <c r="J6" s="418">
        <f>COM_Balance!D12</f>
        <v>0</v>
      </c>
      <c r="K6" s="416">
        <v>2</v>
      </c>
      <c r="L6" s="416"/>
      <c r="M6" s="417">
        <v>100</v>
      </c>
    </row>
    <row r="7" spans="2:15">
      <c r="B7" s="415"/>
      <c r="C7" s="415"/>
      <c r="D7" s="415"/>
      <c r="E7" s="416" t="s">
        <v>527</v>
      </c>
      <c r="F7" s="417"/>
      <c r="G7" s="416"/>
      <c r="H7" s="418"/>
      <c r="I7" s="418"/>
      <c r="J7" s="418"/>
      <c r="K7" s="416"/>
      <c r="L7" s="416"/>
      <c r="M7" s="422"/>
    </row>
    <row r="8" spans="2:15" ht="14.45" customHeight="1">
      <c r="B8" s="419" t="str">
        <f>_xlfn.TEXTJOIN(",",TRUE,IF(LEFT(Regions!$C$3,1)&lt;&gt;"*",Regions!$C$3,""),IF(LEFT(Regions!$D$3,1)&lt;&gt;"*",Regions!$D$3,""))</f>
        <v>IE,National</v>
      </c>
      <c r="C8" s="419" t="str">
        <f>CONCATENATE(F8,"_INF")</f>
        <v>COMLPG_INF</v>
      </c>
      <c r="D8" s="419" t="s">
        <v>203</v>
      </c>
      <c r="E8" s="420" t="s">
        <v>180</v>
      </c>
      <c r="F8" s="420" t="str">
        <f>COM_Balance!$E$13</f>
        <v>COMLPG</v>
      </c>
      <c r="G8" s="420">
        <v>1</v>
      </c>
      <c r="H8" s="421"/>
      <c r="I8" s="511"/>
      <c r="J8" s="421">
        <f>COM_Balance!E12</f>
        <v>2.9190750000093075</v>
      </c>
      <c r="K8" s="420"/>
      <c r="L8" s="420"/>
      <c r="M8" s="422">
        <v>100</v>
      </c>
    </row>
    <row r="9" spans="2:15">
      <c r="B9" s="423" t="str">
        <f>_xlfn.TEXTJOIN(",",TRUE,IF(LEFT(Regions!$C$3,1)&lt;&gt;"*",Regions!$C$3,""),IF(LEFT(Regions!$D$3,1)&lt;&gt;"*",Regions!$D$3,""))</f>
        <v>IE,National</v>
      </c>
      <c r="C9" s="423" t="str">
        <f>CONCATENATE(F9,"_INF")</f>
        <v>COMOIL_INF</v>
      </c>
      <c r="D9" s="423" t="s">
        <v>204</v>
      </c>
      <c r="E9" s="424" t="s">
        <v>183</v>
      </c>
      <c r="F9" s="424" t="str">
        <f>COM_Balance!$F$13</f>
        <v>COMOIL</v>
      </c>
      <c r="G9" s="424">
        <v>1</v>
      </c>
      <c r="H9" s="425">
        <f>'EB2018'!U57/SUM('EB2018'!U57:Z57,'EB2018'!M57:S57)</f>
        <v>0.61654293346657685</v>
      </c>
      <c r="I9" s="513">
        <v>5</v>
      </c>
      <c r="J9" s="426">
        <f>COM_Balance!F12</f>
        <v>8.1154637171657633</v>
      </c>
      <c r="K9" s="424"/>
      <c r="L9" s="424"/>
      <c r="M9" s="417">
        <v>100</v>
      </c>
      <c r="N9" s="427"/>
      <c r="O9" s="427"/>
    </row>
    <row r="10" spans="2:15">
      <c r="B10" s="422"/>
      <c r="C10" s="422"/>
      <c r="D10" s="422"/>
      <c r="E10" s="422" t="s">
        <v>184</v>
      </c>
      <c r="F10" s="422"/>
      <c r="G10" s="422"/>
      <c r="H10" s="428"/>
      <c r="I10" s="428"/>
      <c r="J10" s="429"/>
      <c r="K10" s="422"/>
      <c r="L10" s="422"/>
      <c r="M10" s="422"/>
      <c r="N10" s="427"/>
      <c r="O10" s="427"/>
    </row>
    <row r="11" spans="2:15">
      <c r="B11" s="430" t="str">
        <f>_xlfn.TEXTJOIN(",",TRUE,IF(LEFT(Regions!$C$3,1)&lt;&gt;"*",Regions!$C$3,""),IF(LEFT(Regions!$D$3,1)&lt;&gt;"*",Regions!$D$3,""))</f>
        <v>IE,National</v>
      </c>
      <c r="C11" s="430" t="str">
        <f t="shared" ref="C11:C16" si="0">CONCATENATE(F11,"_INF")</f>
        <v>COMGAS_INF</v>
      </c>
      <c r="D11" s="430" t="s">
        <v>395</v>
      </c>
      <c r="E11" s="420" t="s">
        <v>185</v>
      </c>
      <c r="F11" s="420" t="str">
        <f>COM_Balance!$G$13</f>
        <v>COMGAS</v>
      </c>
      <c r="G11" s="420">
        <v>1</v>
      </c>
      <c r="H11" s="421"/>
      <c r="I11" s="511"/>
      <c r="J11" s="421">
        <f>COM_Balance!G12</f>
        <v>16.650562279597636</v>
      </c>
      <c r="K11" s="420"/>
      <c r="L11" s="420"/>
      <c r="M11" s="422">
        <v>100</v>
      </c>
      <c r="N11" s="427"/>
      <c r="O11" s="427"/>
    </row>
    <row r="12" spans="2:15">
      <c r="B12" s="430" t="str">
        <f>_xlfn.TEXTJOIN(",",TRUE,IF(LEFT(Regions!$C$3,1)&lt;&gt;"*",Regions!$C$3,""),IF(LEFT(Regions!$D$3,1)&lt;&gt;"*",Regions!$D$3,""))</f>
        <v>IE,National</v>
      </c>
      <c r="C12" s="430" t="str">
        <f t="shared" si="0"/>
        <v>COMBIO_INF</v>
      </c>
      <c r="D12" s="430" t="s">
        <v>205</v>
      </c>
      <c r="E12" s="420" t="s">
        <v>365</v>
      </c>
      <c r="F12" s="420" t="str">
        <f>COM_Balance!$H$13</f>
        <v>COMBIO</v>
      </c>
      <c r="G12" s="420">
        <v>1</v>
      </c>
      <c r="H12" s="421"/>
      <c r="I12" s="511"/>
      <c r="J12" s="421">
        <f>COM_Balance!H12</f>
        <v>0.75333608411544439</v>
      </c>
      <c r="K12" s="420"/>
      <c r="L12" s="420"/>
      <c r="M12" s="422">
        <v>100</v>
      </c>
      <c r="N12" s="431"/>
      <c r="O12" s="427"/>
    </row>
    <row r="13" spans="2:15">
      <c r="B13" s="430" t="str">
        <f>_xlfn.TEXTJOIN(",",TRUE,IF(LEFT(Regions!$C$3,1)&lt;&gt;"*",Regions!$C$3,""),IF(LEFT(Regions!$D$3,1)&lt;&gt;"*",Regions!$D$3,""))</f>
        <v>IE,National</v>
      </c>
      <c r="C13" s="430" t="str">
        <f t="shared" si="0"/>
        <v>COMBGS_INF</v>
      </c>
      <c r="D13" s="422" t="s">
        <v>382</v>
      </c>
      <c r="E13" s="422" t="s">
        <v>379</v>
      </c>
      <c r="F13" s="424" t="str">
        <f>COM_Balance!$I$13</f>
        <v>COMBGS</v>
      </c>
      <c r="G13" s="422">
        <v>1</v>
      </c>
      <c r="H13" s="428"/>
      <c r="I13" s="428"/>
      <c r="J13" s="428">
        <f>COM_Balance!I12</f>
        <v>0.31574984017572605</v>
      </c>
      <c r="K13" s="422"/>
      <c r="L13" s="422"/>
      <c r="M13" s="422">
        <v>100</v>
      </c>
      <c r="N13" s="432"/>
      <c r="O13" s="427"/>
    </row>
    <row r="14" spans="2:15">
      <c r="B14" s="430" t="str">
        <f>_xlfn.TEXTJOIN(",",TRUE,IF(LEFT(Regions!$C$3,1)&lt;&gt;"*",Regions!$C$3,""),IF(LEFT(Regions!$D$3,1)&lt;&gt;"*",Regions!$D$3,""))</f>
        <v>IE,National</v>
      </c>
      <c r="C14" s="430" t="str">
        <f t="shared" si="0"/>
        <v>COMSOL_INF</v>
      </c>
      <c r="D14" s="430" t="s">
        <v>206</v>
      </c>
      <c r="E14" s="420" t="s">
        <v>214</v>
      </c>
      <c r="F14" s="420" t="str">
        <f>COM_Balance!$J$13</f>
        <v>COMSOL</v>
      </c>
      <c r="G14" s="420">
        <v>1</v>
      </c>
      <c r="H14" s="421"/>
      <c r="I14" s="511"/>
      <c r="J14" s="421">
        <f>COM_Balance!J12+COM_PV!O9</f>
        <v>1.3926876998464729E-2</v>
      </c>
      <c r="K14" s="420"/>
      <c r="L14" s="420"/>
      <c r="M14" s="422">
        <v>100</v>
      </c>
      <c r="N14" s="427"/>
      <c r="O14" s="427"/>
    </row>
    <row r="15" spans="2:15">
      <c r="B15" s="430" t="str">
        <f>_xlfn.TEXTJOIN(",",TRUE,IF(LEFT(Regions!$C$3,1)&lt;&gt;"*",Regions!$C$3,""),IF(LEFT(Regions!$D$3,1)&lt;&gt;"*",Regions!$D$3,""))</f>
        <v>IE,National</v>
      </c>
      <c r="C15" s="430" t="str">
        <f t="shared" si="0"/>
        <v>COMGEO_INF</v>
      </c>
      <c r="D15" s="419" t="s">
        <v>207</v>
      </c>
      <c r="E15" s="420" t="s">
        <v>215</v>
      </c>
      <c r="F15" s="420" t="str">
        <f>COM_Balance!$K$13</f>
        <v>COMGEO</v>
      </c>
      <c r="G15" s="420">
        <v>1</v>
      </c>
      <c r="H15" s="421"/>
      <c r="I15" s="511"/>
      <c r="J15" s="421">
        <f>COM_Balance!K12</f>
        <v>0.65641279696870891</v>
      </c>
      <c r="K15" s="420"/>
      <c r="L15" s="420"/>
      <c r="M15" s="420">
        <v>100</v>
      </c>
    </row>
    <row r="16" spans="2:15" ht="30">
      <c r="B16" s="430" t="str">
        <f>_xlfn.TEXTJOIN(",",TRUE,IF(LEFT(Regions!$C$3,1)&lt;&gt;"*",Regions!$C$3,""),IF(LEFT(Regions!$D$3,1)&lt;&gt;"*",Regions!$D$3,""))</f>
        <v>IE,National</v>
      </c>
      <c r="C16" s="430" t="str">
        <f t="shared" si="0"/>
        <v>COMAMB_INF</v>
      </c>
      <c r="D16" s="531" t="s">
        <v>606</v>
      </c>
      <c r="E16" s="59" t="s">
        <v>607</v>
      </c>
      <c r="F16" s="59" t="s">
        <v>605</v>
      </c>
      <c r="G16" s="420">
        <v>1</v>
      </c>
      <c r="H16" s="434"/>
    </row>
    <row r="17" spans="2:12">
      <c r="B17" s="403"/>
      <c r="F17" s="404"/>
      <c r="G17" s="404"/>
      <c r="H17" s="427"/>
    </row>
    <row r="18" spans="2:12" ht="18.75">
      <c r="B18" s="406" t="s">
        <v>209</v>
      </c>
      <c r="C18" s="406"/>
      <c r="D18" s="407"/>
      <c r="E18" s="407"/>
      <c r="F18" s="408" t="s">
        <v>79</v>
      </c>
      <c r="G18" s="408"/>
    </row>
    <row r="19" spans="2:12" ht="25.5" customHeight="1" thickBot="1">
      <c r="B19" s="528" t="s">
        <v>603</v>
      </c>
      <c r="C19" s="409" t="s">
        <v>15</v>
      </c>
      <c r="D19" s="409" t="s">
        <v>16</v>
      </c>
      <c r="E19" s="409" t="s">
        <v>39</v>
      </c>
      <c r="F19" s="409" t="s">
        <v>40</v>
      </c>
      <c r="G19" s="410" t="s">
        <v>81</v>
      </c>
      <c r="H19" s="410" t="s">
        <v>208</v>
      </c>
      <c r="I19" s="410" t="s">
        <v>210</v>
      </c>
      <c r="J19" s="410" t="s">
        <v>110</v>
      </c>
      <c r="K19" s="410" t="s">
        <v>238</v>
      </c>
    </row>
    <row r="20" spans="2:12" ht="15.75" thickBot="1">
      <c r="B20" s="413" t="s">
        <v>147</v>
      </c>
      <c r="C20" s="413"/>
      <c r="D20" s="413"/>
      <c r="E20" s="413"/>
      <c r="F20" s="413"/>
      <c r="G20" s="413"/>
      <c r="H20" s="413"/>
      <c r="I20" s="413" t="s">
        <v>101</v>
      </c>
      <c r="J20" s="413"/>
      <c r="K20" s="413" t="s">
        <v>258</v>
      </c>
    </row>
    <row r="21" spans="2:12">
      <c r="B21" s="416" t="str">
        <f>_xlfn.TEXTJOIN(",",TRUE,IF(LEFT(Regions!$C$3,1)&lt;&gt;"*",Regions!$C$3,""),IF(LEFT(Regions!$D$3,1)&lt;&gt;"*",Regions!$D$3,""))</f>
        <v>IE,National</v>
      </c>
      <c r="C21" s="416" t="str">
        <f>CONCATENATE(F21,"_INF")</f>
        <v>COMELC_INF</v>
      </c>
      <c r="D21" s="415" t="s">
        <v>51</v>
      </c>
      <c r="E21" s="435" t="s">
        <v>366</v>
      </c>
      <c r="F21" s="417" t="str">
        <f>COM_Commodities!$D$13</f>
        <v>COMELC</v>
      </c>
      <c r="G21" s="416">
        <v>1</v>
      </c>
      <c r="H21" s="418"/>
      <c r="I21" s="416">
        <v>31.536000000000001</v>
      </c>
      <c r="J21" s="416">
        <v>1</v>
      </c>
      <c r="K21" s="436">
        <v>100</v>
      </c>
    </row>
    <row r="22" spans="2:12">
      <c r="B22" s="416"/>
      <c r="C22" s="416"/>
      <c r="D22" s="415"/>
      <c r="E22" s="435"/>
      <c r="F22" s="417"/>
      <c r="G22" s="416"/>
      <c r="H22" s="418"/>
      <c r="I22" s="416"/>
      <c r="J22" s="416"/>
      <c r="K22" s="417"/>
    </row>
    <row r="23" spans="2:12">
      <c r="C23" s="427"/>
      <c r="D23" s="433"/>
      <c r="E23" s="427"/>
      <c r="F23" s="427"/>
      <c r="G23" s="427"/>
    </row>
    <row r="24" spans="2:12">
      <c r="B24" s="403"/>
      <c r="F24" s="404"/>
      <c r="G24" s="404"/>
      <c r="H24" s="437"/>
    </row>
    <row r="25" spans="2:12" ht="18.75">
      <c r="B25" s="406" t="s">
        <v>209</v>
      </c>
      <c r="C25" s="406"/>
      <c r="D25" s="407"/>
      <c r="E25" s="407"/>
      <c r="F25" s="408" t="s">
        <v>79</v>
      </c>
      <c r="G25" s="408"/>
    </row>
    <row r="26" spans="2:12" ht="29.25" customHeight="1" thickBot="1">
      <c r="B26" s="528" t="s">
        <v>603</v>
      </c>
      <c r="C26" s="409" t="s">
        <v>15</v>
      </c>
      <c r="D26" s="409" t="s">
        <v>16</v>
      </c>
      <c r="E26" s="409" t="s">
        <v>39</v>
      </c>
      <c r="F26" s="409" t="s">
        <v>40</v>
      </c>
      <c r="G26" s="410" t="s">
        <v>81</v>
      </c>
      <c r="H26" s="487" t="s">
        <v>547</v>
      </c>
      <c r="I26" s="410" t="s">
        <v>210</v>
      </c>
      <c r="J26" s="410" t="s">
        <v>110</v>
      </c>
      <c r="K26" s="410" t="s">
        <v>54</v>
      </c>
      <c r="L26" s="410" t="s">
        <v>238</v>
      </c>
    </row>
    <row r="27" spans="2:12" ht="15.75" thickBot="1">
      <c r="B27" s="413" t="s">
        <v>147</v>
      </c>
      <c r="C27" s="413"/>
      <c r="D27" s="413"/>
      <c r="E27" s="413"/>
      <c r="F27" s="413"/>
      <c r="G27" s="413"/>
      <c r="H27" s="413" t="s">
        <v>113</v>
      </c>
      <c r="I27" s="413"/>
      <c r="J27" s="413"/>
      <c r="K27" s="413" t="s">
        <v>216</v>
      </c>
      <c r="L27" s="413" t="s">
        <v>258</v>
      </c>
    </row>
    <row r="28" spans="2:12" ht="15" customHeight="1">
      <c r="B28" s="417" t="str">
        <f>_xlfn.TEXTJOIN(",",TRUE,IF(LEFT(Regions!$C$3,1)&lt;&gt;"*",Regions!$C$3,""),IF(LEFT(Regions!$D$3,1)&lt;&gt;"*",Regions!$D$3,""))</f>
        <v>IE,National</v>
      </c>
      <c r="C28" s="417" t="str">
        <f>CONCATENATE(F28,"_INF")</f>
        <v>COMHET_INF</v>
      </c>
      <c r="D28" s="482" t="s">
        <v>543</v>
      </c>
      <c r="E28" s="529" t="s">
        <v>604</v>
      </c>
      <c r="F28" s="417" t="str">
        <f>COM_Commodities!$D$14</f>
        <v>COMHET</v>
      </c>
      <c r="G28" s="417">
        <v>0.94</v>
      </c>
      <c r="H28" s="438">
        <f>COM_Balance!M12/(I28*J28)</f>
        <v>0</v>
      </c>
      <c r="I28" s="417">
        <v>31.536000000000001</v>
      </c>
      <c r="J28" s="438">
        <f>1/3</f>
        <v>0.33333333333333331</v>
      </c>
      <c r="K28" s="416">
        <v>300</v>
      </c>
      <c r="L28" s="436">
        <v>100</v>
      </c>
    </row>
    <row r="29" spans="2:12">
      <c r="B29" s="439"/>
      <c r="C29" s="439"/>
      <c r="D29" s="440"/>
      <c r="E29" s="417"/>
      <c r="F29" s="417"/>
      <c r="G29" s="417"/>
      <c r="H29" s="417"/>
      <c r="I29" s="417"/>
      <c r="J29" s="417"/>
      <c r="K29" s="416"/>
    </row>
    <row r="30" spans="2:12">
      <c r="B30" s="403"/>
    </row>
    <row r="31" spans="2:12">
      <c r="B31" s="403"/>
    </row>
    <row r="32" spans="2:12">
      <c r="B32" s="403"/>
      <c r="D32" s="441"/>
      <c r="F32" s="404"/>
    </row>
    <row r="33" spans="2:19" ht="18.75">
      <c r="B33" s="406" t="s">
        <v>209</v>
      </c>
      <c r="C33" s="406"/>
      <c r="D33" s="407"/>
      <c r="E33" s="407"/>
      <c r="F33" s="408"/>
      <c r="G33" s="441"/>
      <c r="I33" s="441"/>
    </row>
    <row r="34" spans="2:19" ht="15.75" thickBot="1">
      <c r="B34" s="409" t="s">
        <v>603</v>
      </c>
      <c r="C34" s="409" t="s">
        <v>15</v>
      </c>
      <c r="D34" s="409" t="s">
        <v>16</v>
      </c>
      <c r="E34" s="409" t="s">
        <v>39</v>
      </c>
      <c r="F34" s="409" t="s">
        <v>40</v>
      </c>
      <c r="G34" s="410" t="s">
        <v>84</v>
      </c>
      <c r="H34" s="410" t="s">
        <v>108</v>
      </c>
      <c r="I34" s="410" t="s">
        <v>210</v>
      </c>
      <c r="J34" s="410" t="s">
        <v>103</v>
      </c>
      <c r="K34" s="410" t="s">
        <v>30</v>
      </c>
      <c r="L34" s="410" t="s">
        <v>54</v>
      </c>
      <c r="M34" s="410" t="s">
        <v>24</v>
      </c>
      <c r="N34" s="410" t="s">
        <v>217</v>
      </c>
      <c r="O34" s="410" t="s">
        <v>218</v>
      </c>
      <c r="P34" s="410" t="s">
        <v>219</v>
      </c>
      <c r="Q34" s="410" t="s">
        <v>220</v>
      </c>
      <c r="S34" s="442"/>
    </row>
    <row r="35" spans="2:19" ht="15.75" thickBot="1">
      <c r="B35" s="413" t="s">
        <v>147</v>
      </c>
      <c r="C35" s="413"/>
      <c r="D35" s="413"/>
      <c r="E35" s="413"/>
      <c r="F35" s="413"/>
      <c r="G35" s="413"/>
      <c r="H35" s="413"/>
      <c r="I35" s="413" t="s">
        <v>101</v>
      </c>
      <c r="J35" s="413"/>
      <c r="K35" s="413"/>
      <c r="L35" s="413" t="s">
        <v>102</v>
      </c>
      <c r="M35" s="413" t="s">
        <v>102</v>
      </c>
      <c r="N35" s="413"/>
      <c r="O35" s="413"/>
      <c r="P35" s="413"/>
      <c r="Q35" s="413"/>
      <c r="S35" s="442" t="s">
        <v>221</v>
      </c>
    </row>
    <row r="36" spans="2:19">
      <c r="B36" s="443" t="str">
        <f>_xlfn.TEXTJOIN(",",TRUE,IF(LEFT(Regions!$C$3,1)&lt;&gt;"*",Regions!$C$3,""),IF(LEFT(Regions!$D$3,1)&lt;&gt;"*",Regions!$D$3,""))</f>
        <v>IE,National</v>
      </c>
      <c r="C36" s="443" t="str">
        <f>CONCATENATE(F38,"_INF")</f>
        <v>COMCOO_INF</v>
      </c>
      <c r="D36" s="444" t="s">
        <v>107</v>
      </c>
      <c r="E36" s="445" t="s">
        <v>366</v>
      </c>
      <c r="F36" s="444"/>
      <c r="G36" s="443">
        <v>0.75</v>
      </c>
      <c r="H36" s="443">
        <v>0.95</v>
      </c>
      <c r="I36" s="443">
        <v>31.536000000000001</v>
      </c>
      <c r="J36" s="443">
        <v>0.98</v>
      </c>
      <c r="K36" s="443">
        <v>25</v>
      </c>
      <c r="L36" s="443">
        <v>150</v>
      </c>
      <c r="M36" s="443">
        <v>15</v>
      </c>
      <c r="N36" s="446">
        <v>1</v>
      </c>
      <c r="O36" s="446">
        <v>1</v>
      </c>
      <c r="P36" s="446">
        <v>1</v>
      </c>
      <c r="Q36" s="446">
        <v>1</v>
      </c>
    </row>
    <row r="37" spans="2:19">
      <c r="B37" s="443"/>
      <c r="C37" s="443"/>
      <c r="D37" s="447"/>
      <c r="E37" s="444" t="str">
        <f>COM_Commodities!$D$17</f>
        <v>*COOFRE</v>
      </c>
      <c r="F37" s="448"/>
      <c r="G37" s="443">
        <v>1</v>
      </c>
      <c r="H37" s="443"/>
      <c r="I37" s="443"/>
      <c r="J37" s="443"/>
      <c r="K37" s="443"/>
      <c r="L37" s="443"/>
      <c r="M37" s="443"/>
      <c r="N37" s="446">
        <v>0.8</v>
      </c>
      <c r="O37" s="446">
        <v>0.5</v>
      </c>
      <c r="P37" s="446">
        <v>0.05</v>
      </c>
      <c r="Q37" s="446">
        <v>0.35</v>
      </c>
    </row>
    <row r="38" spans="2:19">
      <c r="B38" s="443"/>
      <c r="C38" s="443"/>
      <c r="D38" s="447"/>
      <c r="E38" s="444"/>
      <c r="F38" s="444" t="str">
        <f>COM_Commodities!$D$18</f>
        <v>COMCOO</v>
      </c>
      <c r="G38" s="443"/>
      <c r="H38" s="443"/>
      <c r="I38" s="443"/>
      <c r="J38" s="443"/>
      <c r="K38" s="443"/>
      <c r="L38" s="443"/>
      <c r="M38" s="443"/>
      <c r="N38" s="443"/>
      <c r="O38" s="443"/>
      <c r="P38" s="443"/>
      <c r="Q38" s="443"/>
    </row>
    <row r="39" spans="2:19">
      <c r="B39" s="403"/>
    </row>
    <row r="40" spans="2:19">
      <c r="B40" s="403"/>
    </row>
    <row r="41" spans="2:19" ht="18.75">
      <c r="B41" s="406" t="s">
        <v>209</v>
      </c>
      <c r="C41" s="406"/>
      <c r="D41" s="407"/>
      <c r="E41" s="407"/>
      <c r="F41" s="408" t="s">
        <v>79</v>
      </c>
      <c r="G41" s="408"/>
    </row>
    <row r="42" spans="2:19" ht="15.75" thickBot="1">
      <c r="B42" s="409" t="s">
        <v>603</v>
      </c>
      <c r="C42" s="409" t="s">
        <v>15</v>
      </c>
      <c r="D42" s="409" t="s">
        <v>16</v>
      </c>
      <c r="E42" s="409" t="s">
        <v>39</v>
      </c>
      <c r="F42" s="409" t="s">
        <v>40</v>
      </c>
      <c r="G42" s="410" t="s">
        <v>81</v>
      </c>
      <c r="H42" s="487" t="s">
        <v>547</v>
      </c>
      <c r="I42" s="410" t="s">
        <v>210</v>
      </c>
      <c r="J42" s="410" t="s">
        <v>110</v>
      </c>
      <c r="K42" s="410" t="s">
        <v>54</v>
      </c>
      <c r="L42" s="410" t="s">
        <v>238</v>
      </c>
    </row>
    <row r="43" spans="2:19" ht="15.75" thickBot="1">
      <c r="B43" s="413" t="s">
        <v>147</v>
      </c>
      <c r="C43" s="413"/>
      <c r="D43" s="413"/>
      <c r="E43" s="413"/>
      <c r="F43" s="413"/>
      <c r="G43" s="413"/>
      <c r="H43" s="413" t="s">
        <v>113</v>
      </c>
      <c r="I43" s="413"/>
      <c r="J43" s="413"/>
      <c r="K43" s="413" t="s">
        <v>216</v>
      </c>
      <c r="L43" s="413" t="s">
        <v>258</v>
      </c>
    </row>
    <row r="44" spans="2:19">
      <c r="B44" s="417" t="str">
        <f>_xlfn.TEXTJOIN(",",TRUE,IF(LEFT(Regions!$C$3,1)&lt;&gt;"*",Regions!$C$3,""),IF(LEFT(Regions!$D$3,1)&lt;&gt;"*",Regions!$D$3,""))</f>
        <v>IE,National</v>
      </c>
      <c r="C44" s="417" t="str">
        <f>CONCATENATE(F44,"_INF")</f>
        <v>COMH2G_INF</v>
      </c>
      <c r="D44" s="482" t="s">
        <v>539</v>
      </c>
      <c r="E44" s="16" t="s">
        <v>533</v>
      </c>
      <c r="F44" s="403" t="str">
        <f>COM_Commodities!D19</f>
        <v>COMH2G</v>
      </c>
      <c r="G44" s="403">
        <v>1</v>
      </c>
      <c r="H44" s="403">
        <v>0</v>
      </c>
      <c r="L44" s="403">
        <v>100</v>
      </c>
    </row>
    <row r="45" spans="2:19">
      <c r="B45" s="417" t="str">
        <f>_xlfn.TEXTJOIN(",",TRUE,IF(LEFT(Regions!$C$3,1)&lt;&gt;"*",Regions!$C$3,""),IF(LEFT(Regions!$D$3,1)&lt;&gt;"*",Regions!$D$3,""))</f>
        <v>IE,National</v>
      </c>
      <c r="C45" s="417" t="str">
        <f>CONCATENATE(F45,"_INF")</f>
        <v>COMH2L_INF</v>
      </c>
      <c r="D45" s="482" t="s">
        <v>540</v>
      </c>
      <c r="E45" s="16" t="s">
        <v>538</v>
      </c>
      <c r="F45" s="403" t="str">
        <f>COM_Commodities!D20</f>
        <v>COMH2L</v>
      </c>
      <c r="G45" s="403">
        <v>1</v>
      </c>
      <c r="H45" s="403">
        <v>0</v>
      </c>
      <c r="L45" s="403">
        <v>100</v>
      </c>
    </row>
    <row r="49" spans="3:7">
      <c r="C49" s="476"/>
      <c r="D49" s="476"/>
      <c r="E49" s="476"/>
      <c r="F49" s="476"/>
      <c r="G49" s="476"/>
    </row>
    <row r="50" spans="3:7">
      <c r="C50" s="476"/>
      <c r="D50" s="476"/>
      <c r="E50" s="476"/>
      <c r="F50" s="476"/>
    </row>
    <row r="51" spans="3:7">
      <c r="C51" s="476"/>
      <c r="D51" s="476"/>
      <c r="E51" s="476"/>
      <c r="F51" s="477"/>
    </row>
    <row r="52" spans="3:7">
      <c r="C52" s="476"/>
      <c r="D52" s="476"/>
      <c r="E52" s="476"/>
      <c r="F52" s="476"/>
      <c r="G52" s="477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>
    <tabColor rgb="FFFFC000"/>
  </sheetPr>
  <dimension ref="B3:T21"/>
  <sheetViews>
    <sheetView topLeftCell="A10" zoomScale="80" zoomScaleNormal="80" workbookViewId="0">
      <selection activeCell="I39" sqref="I39"/>
    </sheetView>
  </sheetViews>
  <sheetFormatPr defaultRowHeight="12.75"/>
  <cols>
    <col min="1" max="1" width="4.85546875" customWidth="1"/>
    <col min="2" max="2" width="12.140625" style="378" bestFit="1" customWidth="1"/>
    <col min="3" max="3" width="15.85546875" customWidth="1"/>
    <col min="4" max="4" width="9.28515625" bestFit="1" customWidth="1"/>
    <col min="5" max="5" width="8.85546875" bestFit="1" customWidth="1"/>
    <col min="6" max="6" width="8.5703125" bestFit="1" customWidth="1"/>
    <col min="7" max="7" width="9.28515625" bestFit="1" customWidth="1"/>
    <col min="8" max="8" width="9.5703125" customWidth="1"/>
    <col min="9" max="9" width="10.28515625" customWidth="1"/>
    <col min="10" max="14" width="7.7109375" customWidth="1"/>
    <col min="15" max="15" width="8.28515625" bestFit="1" customWidth="1"/>
    <col min="16" max="16" width="9.42578125" bestFit="1" customWidth="1"/>
    <col min="17" max="17" width="8.7109375" bestFit="1" customWidth="1"/>
    <col min="18" max="18" width="9.140625" customWidth="1"/>
    <col min="19" max="19" width="8.5703125" customWidth="1"/>
    <col min="20" max="20" width="8.140625" customWidth="1"/>
    <col min="21" max="21" width="9.140625" customWidth="1"/>
    <col min="22" max="22" width="15.28515625" customWidth="1"/>
    <col min="23" max="23" width="11.140625" customWidth="1"/>
    <col min="24" max="257" width="11.42578125" customWidth="1"/>
  </cols>
  <sheetData>
    <row r="3" spans="2:20" ht="28.5">
      <c r="C3" s="33" t="s">
        <v>178</v>
      </c>
    </row>
    <row r="4" spans="2:20" ht="15">
      <c r="C4" s="34"/>
      <c r="D4" s="35"/>
      <c r="E4" s="36"/>
      <c r="F4" s="36"/>
    </row>
    <row r="5" spans="2:20" ht="15.75" thickBot="1">
      <c r="C5" s="37"/>
      <c r="D5" s="38" t="s">
        <v>179</v>
      </c>
      <c r="E5" s="39" t="s">
        <v>188</v>
      </c>
      <c r="F5" s="39" t="s">
        <v>189</v>
      </c>
      <c r="G5" s="39" t="s">
        <v>190</v>
      </c>
      <c r="H5" s="39" t="s">
        <v>191</v>
      </c>
      <c r="I5" s="39" t="s">
        <v>180</v>
      </c>
      <c r="J5" s="39" t="s">
        <v>181</v>
      </c>
      <c r="K5" s="39" t="s">
        <v>182</v>
      </c>
      <c r="L5" s="39" t="s">
        <v>183</v>
      </c>
      <c r="M5" s="39" t="s">
        <v>184</v>
      </c>
      <c r="N5" s="39" t="s">
        <v>192</v>
      </c>
      <c r="O5" s="39" t="s">
        <v>185</v>
      </c>
      <c r="P5" s="39" t="s">
        <v>193</v>
      </c>
      <c r="Q5" s="39" t="s">
        <v>194</v>
      </c>
      <c r="R5" s="39" t="s">
        <v>195</v>
      </c>
      <c r="S5" s="39" t="s">
        <v>196</v>
      </c>
      <c r="T5" s="39" t="s">
        <v>197</v>
      </c>
    </row>
    <row r="6" spans="2:20" ht="45">
      <c r="C6" s="48" t="s">
        <v>186</v>
      </c>
      <c r="D6" s="49" t="s">
        <v>187</v>
      </c>
      <c r="E6" s="50">
        <v>98.3</v>
      </c>
      <c r="F6" s="50">
        <v>94.6</v>
      </c>
      <c r="G6" s="51">
        <v>101.2</v>
      </c>
      <c r="H6" s="51">
        <v>101.2</v>
      </c>
      <c r="I6" s="51">
        <v>63.1</v>
      </c>
      <c r="J6" s="51">
        <v>69.3</v>
      </c>
      <c r="K6" s="51">
        <v>71.900000000000006</v>
      </c>
      <c r="L6" s="51">
        <v>74.099999999999994</v>
      </c>
      <c r="M6" s="51">
        <v>77.400000000000006</v>
      </c>
      <c r="N6" s="51">
        <v>73.3</v>
      </c>
      <c r="O6" s="51">
        <v>56.1</v>
      </c>
      <c r="P6" s="51">
        <v>56.1</v>
      </c>
      <c r="Q6" s="51">
        <v>0</v>
      </c>
      <c r="R6" s="51">
        <v>0</v>
      </c>
      <c r="S6" s="51">
        <v>85.85</v>
      </c>
      <c r="T6" s="51">
        <v>85.85</v>
      </c>
    </row>
    <row r="7" spans="2:20">
      <c r="C7" s="11"/>
      <c r="D7" s="41"/>
      <c r="E7" s="42"/>
      <c r="F7" s="42"/>
      <c r="G7" s="2"/>
      <c r="H7" s="2"/>
      <c r="I7" s="2"/>
      <c r="J7" s="2"/>
      <c r="K7" s="2"/>
      <c r="L7" s="2"/>
    </row>
    <row r="8" spans="2:20">
      <c r="C8" s="11"/>
      <c r="D8" s="41"/>
      <c r="E8" s="42"/>
      <c r="F8" s="42"/>
      <c r="G8" s="2"/>
      <c r="H8" s="2"/>
      <c r="I8" s="2"/>
      <c r="J8" s="2"/>
      <c r="K8" s="2"/>
      <c r="L8" s="2"/>
    </row>
    <row r="9" spans="2:20">
      <c r="C9" s="11"/>
      <c r="D9" s="41"/>
      <c r="E9" s="42"/>
      <c r="F9" s="42"/>
      <c r="G9" s="42"/>
      <c r="H9" s="42"/>
      <c r="I9" s="42"/>
      <c r="J9" s="42"/>
      <c r="K9" s="42"/>
      <c r="L9" s="42"/>
    </row>
    <row r="10" spans="2:20">
      <c r="C10" s="11"/>
      <c r="D10" s="41"/>
      <c r="E10" s="42"/>
      <c r="F10" s="42"/>
      <c r="G10" s="42"/>
      <c r="H10" s="42"/>
      <c r="I10" s="42"/>
      <c r="J10" s="42"/>
      <c r="K10" s="42"/>
      <c r="L10" s="42"/>
    </row>
    <row r="11" spans="2:20" ht="28.5">
      <c r="C11" s="33" t="s">
        <v>257</v>
      </c>
      <c r="D11" s="41"/>
      <c r="E11" s="42"/>
      <c r="F11" s="42"/>
      <c r="G11" s="42"/>
      <c r="H11" s="42"/>
      <c r="I11" s="42"/>
      <c r="J11" s="42"/>
      <c r="K11" s="42"/>
      <c r="L11" s="42"/>
    </row>
    <row r="13" spans="2:20" ht="15">
      <c r="C13" s="43" t="s">
        <v>85</v>
      </c>
      <c r="D13" s="44"/>
      <c r="E13" s="36"/>
      <c r="F13" s="36"/>
      <c r="G13" s="36"/>
      <c r="H13" s="46"/>
      <c r="I13" s="9"/>
      <c r="J13" s="9"/>
      <c r="K13" s="9"/>
    </row>
    <row r="14" spans="2:20" ht="15.75" thickBot="1">
      <c r="B14" s="38" t="s">
        <v>603</v>
      </c>
      <c r="C14" s="38" t="s">
        <v>17</v>
      </c>
      <c r="D14" s="39" t="str">
        <f>COM_Commodities!D6</f>
        <v>COMCOA</v>
      </c>
      <c r="E14" s="39" t="str">
        <f>COM_Commodities!D7</f>
        <v>COMLPG</v>
      </c>
      <c r="F14" s="39" t="str">
        <f>COM_Commodities!D8</f>
        <v>COMOIL</v>
      </c>
      <c r="G14" s="39" t="str">
        <f>COM_Commodities!D9</f>
        <v>COMGAS</v>
      </c>
      <c r="H14" s="47"/>
      <c r="I14" s="47"/>
      <c r="J14" s="47"/>
      <c r="K14" s="47"/>
      <c r="L14" s="2"/>
    </row>
    <row r="15" spans="2:20">
      <c r="B15" s="45" t="s">
        <v>147</v>
      </c>
      <c r="C15" s="45"/>
      <c r="D15" s="45" t="s">
        <v>187</v>
      </c>
      <c r="E15" s="45" t="s">
        <v>187</v>
      </c>
      <c r="F15" s="45" t="s">
        <v>187</v>
      </c>
      <c r="G15" s="45" t="s">
        <v>187</v>
      </c>
      <c r="H15" s="46"/>
      <c r="I15" s="46"/>
      <c r="J15" s="46"/>
      <c r="K15" s="46"/>
      <c r="L15" s="2"/>
    </row>
    <row r="16" spans="2:20" ht="15">
      <c r="B16" s="52" t="str">
        <f>COM_Commodities!C22</f>
        <v>IE,National</v>
      </c>
      <c r="C16" s="52" t="str">
        <f>COM_Commodities!D22</f>
        <v>COMCO2N</v>
      </c>
      <c r="D16" s="50">
        <f>E6</f>
        <v>98.3</v>
      </c>
      <c r="E16" s="50">
        <f>I6</f>
        <v>63.1</v>
      </c>
      <c r="F16" s="50">
        <f>L6*COM_FuelTechs!H9+COM_EmiCoeffs!M6*(1-COM_FuelTechs!H9)</f>
        <v>75.365408319560288</v>
      </c>
      <c r="G16" s="50">
        <f>O6</f>
        <v>56.1</v>
      </c>
      <c r="H16" s="40"/>
      <c r="I16" s="40"/>
      <c r="J16" s="40"/>
      <c r="K16" s="40"/>
      <c r="L16" s="2"/>
    </row>
    <row r="17" spans="2:11" ht="15">
      <c r="B17" s="52" t="str">
        <f>COM_Commodities!C23</f>
        <v>IE,National</v>
      </c>
      <c r="C17" s="52" t="str">
        <f>COM_Commodities!D23</f>
        <v>COMCH4N</v>
      </c>
      <c r="D17" s="50"/>
      <c r="E17" s="50"/>
      <c r="F17" s="50"/>
      <c r="G17" s="50"/>
      <c r="H17" s="9"/>
      <c r="I17" s="9"/>
      <c r="J17" s="9"/>
      <c r="K17" s="9"/>
    </row>
    <row r="18" spans="2:11" ht="15">
      <c r="B18" s="52" t="str">
        <f>COM_Commodities!C24</f>
        <v>IE,National</v>
      </c>
      <c r="C18" s="52" t="str">
        <f>COM_Commodities!D24</f>
        <v>COMSO2N</v>
      </c>
      <c r="D18" s="50"/>
      <c r="E18" s="50"/>
      <c r="F18" s="50"/>
      <c r="G18" s="50"/>
      <c r="H18" s="9"/>
      <c r="I18" s="9"/>
      <c r="J18" s="9"/>
      <c r="K18" s="9"/>
    </row>
    <row r="19" spans="2:11" ht="15">
      <c r="B19" s="52" t="str">
        <f>COM_Commodities!C25</f>
        <v>IE,National</v>
      </c>
      <c r="C19" s="52" t="str">
        <f>COM_Commodities!D25</f>
        <v>COMNOXN</v>
      </c>
      <c r="D19" s="50"/>
      <c r="E19" s="50"/>
      <c r="F19" s="50"/>
      <c r="G19" s="50"/>
      <c r="H19" s="9"/>
      <c r="I19" s="9"/>
      <c r="J19" s="9"/>
      <c r="K19" s="9"/>
    </row>
    <row r="20" spans="2:11" ht="15">
      <c r="B20" s="52" t="str">
        <f>COM_Commodities!C26</f>
        <v>IE,National</v>
      </c>
      <c r="C20" s="52" t="str">
        <f>COM_Commodities!D26</f>
        <v>COMPM10</v>
      </c>
      <c r="D20" s="50"/>
      <c r="E20" s="50"/>
      <c r="F20" s="50"/>
      <c r="G20" s="50"/>
      <c r="H20" s="9"/>
      <c r="I20" s="9"/>
      <c r="J20" s="9"/>
      <c r="K20" s="9"/>
    </row>
    <row r="21" spans="2:11" ht="15">
      <c r="B21" s="52" t="str">
        <f>COM_Commodities!C27</f>
        <v>IE,National</v>
      </c>
      <c r="C21" s="52" t="str">
        <f>COM_Commodities!D27</f>
        <v>COMPM25</v>
      </c>
      <c r="D21" s="50"/>
      <c r="E21" s="50"/>
      <c r="F21" s="50"/>
      <c r="G21" s="5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C000"/>
  </sheetPr>
  <dimension ref="B1:X171"/>
  <sheetViews>
    <sheetView topLeftCell="D33" zoomScale="80" zoomScaleNormal="80" workbookViewId="0">
      <selection activeCell="N16" sqref="N16"/>
    </sheetView>
  </sheetViews>
  <sheetFormatPr defaultRowHeight="12.75"/>
  <cols>
    <col min="1" max="1" width="5" customWidth="1"/>
    <col min="2" max="2" width="12.85546875" customWidth="1"/>
    <col min="3" max="3" width="12.140625" bestFit="1" customWidth="1"/>
    <col min="4" max="4" width="18.85546875" customWidth="1"/>
    <col min="5" max="5" width="14.5703125" bestFit="1" customWidth="1"/>
    <col min="6" max="6" width="11.140625" bestFit="1" customWidth="1"/>
    <col min="7" max="7" width="12.140625" bestFit="1" customWidth="1"/>
    <col min="8" max="23" width="9.5703125" customWidth="1"/>
    <col min="24" max="24" width="12.85546875" bestFit="1" customWidth="1"/>
    <col min="25" max="256" width="11.42578125" customWidth="1"/>
  </cols>
  <sheetData>
    <row r="1" spans="2:24" s="65" customFormat="1" ht="26.25">
      <c r="B1" s="83" t="s">
        <v>240</v>
      </c>
    </row>
    <row r="2" spans="2:24" s="16" customFormat="1" ht="15">
      <c r="K2" s="67"/>
      <c r="L2" s="67"/>
      <c r="M2" s="67"/>
      <c r="O2" s="67"/>
    </row>
    <row r="3" spans="2:24" s="16" customFormat="1" ht="18.75">
      <c r="B3" s="66" t="s">
        <v>252</v>
      </c>
      <c r="C3" s="64"/>
      <c r="D3" s="64"/>
      <c r="E3" s="64"/>
      <c r="G3" s="78" t="s">
        <v>233</v>
      </c>
      <c r="J3" s="86"/>
    </row>
    <row r="4" spans="2:24" s="16" customFormat="1" ht="15">
      <c r="B4" s="68" t="s">
        <v>602</v>
      </c>
      <c r="G4" s="122" t="s">
        <v>236</v>
      </c>
      <c r="H4" s="114"/>
      <c r="I4" s="114"/>
      <c r="J4" s="114"/>
    </row>
    <row r="5" spans="2:24" s="16" customFormat="1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7" t="s">
        <v>147</v>
      </c>
      <c r="G5" s="121" t="s">
        <v>235</v>
      </c>
      <c r="H5" s="121"/>
      <c r="I5" s="121"/>
      <c r="J5" s="121"/>
    </row>
    <row r="6" spans="2:24" s="16" customFormat="1" ht="15.75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24" s="16" customFormat="1" ht="15">
      <c r="B7" s="54" t="str">
        <f>COM_Balance!C33</f>
        <v>CHCS</v>
      </c>
      <c r="C7" s="105">
        <f>W39*V13</f>
        <v>12.713382917095739</v>
      </c>
      <c r="D7" s="179">
        <f>C7</f>
        <v>12.713382917095739</v>
      </c>
      <c r="E7" s="54" t="str">
        <f>COM_Balance!B33</f>
        <v>Commercial space heat  demand - Commercial Services</v>
      </c>
    </row>
    <row r="8" spans="2:24" s="16" customFormat="1" ht="15">
      <c r="B8" s="54" t="str">
        <f>COM_Balance!C34</f>
        <v>CHPS</v>
      </c>
      <c r="C8" s="105">
        <f>W71*V45</f>
        <v>11.483938732915671</v>
      </c>
      <c r="D8" s="179">
        <f>C8</f>
        <v>11.483938732915671</v>
      </c>
      <c r="E8" s="54" t="str">
        <f>COM_Balance!B34</f>
        <v>Commercial space heat demand - Public Services</v>
      </c>
    </row>
    <row r="9" spans="2:24" s="16" customFormat="1" ht="15">
      <c r="G9" s="34"/>
      <c r="H9" s="77"/>
      <c r="I9" s="77"/>
      <c r="J9" s="77"/>
      <c r="K9" s="77"/>
      <c r="L9" s="77"/>
      <c r="M9" s="75"/>
      <c r="N9" s="77"/>
      <c r="O9" s="75"/>
      <c r="P9" s="75"/>
      <c r="Q9" s="75"/>
      <c r="R9" s="75"/>
      <c r="S9" s="75"/>
    </row>
    <row r="10" spans="2:24" s="16" customFormat="1" ht="18.75">
      <c r="B10" s="66" t="str">
        <f>"Base-year technologies for commercial space heating ("&amp;COM_Balance!$S$11&amp;")"</f>
        <v>Base-year technologies for commercial space heating (Commercial Services)</v>
      </c>
      <c r="C10" s="66"/>
      <c r="D10" s="64"/>
      <c r="E10" s="64"/>
      <c r="F10" s="64"/>
      <c r="G10" s="64"/>
      <c r="H10" s="68" t="s">
        <v>79</v>
      </c>
      <c r="I10" s="101"/>
      <c r="J10" s="102"/>
      <c r="K10" s="103"/>
      <c r="L10" s="103"/>
      <c r="M10" s="104"/>
      <c r="N10" s="103"/>
      <c r="O10" s="103"/>
      <c r="P10" s="103"/>
      <c r="S10" s="90" t="s">
        <v>237</v>
      </c>
      <c r="T10" s="90"/>
      <c r="U10" s="123" t="s">
        <v>93</v>
      </c>
      <c r="V10" s="85"/>
      <c r="W10" s="85"/>
    </row>
    <row r="11" spans="2:24" s="16" customFormat="1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94</v>
      </c>
      <c r="G11" s="127" t="s">
        <v>39</v>
      </c>
      <c r="H11" s="127" t="s">
        <v>40</v>
      </c>
      <c r="I11" s="128" t="s">
        <v>81</v>
      </c>
      <c r="J11" s="128" t="s">
        <v>127</v>
      </c>
      <c r="K11" s="128" t="s">
        <v>242</v>
      </c>
      <c r="L11" s="155" t="s">
        <v>243</v>
      </c>
      <c r="M11" s="132" t="s">
        <v>114</v>
      </c>
      <c r="N11" s="128" t="s">
        <v>239</v>
      </c>
      <c r="O11" s="128" t="s">
        <v>238</v>
      </c>
      <c r="P11" s="128" t="s">
        <v>110</v>
      </c>
      <c r="Q11" s="128" t="s">
        <v>210</v>
      </c>
      <c r="R11" s="129"/>
      <c r="S11" s="125" t="s">
        <v>126</v>
      </c>
      <c r="T11" s="125" t="s">
        <v>128</v>
      </c>
      <c r="U11" s="130" t="s">
        <v>145</v>
      </c>
      <c r="V11" s="126" t="s">
        <v>99</v>
      </c>
      <c r="W11" s="126" t="s">
        <v>100</v>
      </c>
    </row>
    <row r="12" spans="2:24" s="16" customFormat="1" ht="63">
      <c r="B12" s="131" t="s">
        <v>234</v>
      </c>
      <c r="C12" s="131"/>
      <c r="D12" s="131"/>
      <c r="E12" s="131"/>
      <c r="F12" s="131" t="s">
        <v>109</v>
      </c>
      <c r="G12" s="131"/>
      <c r="H12" s="131"/>
      <c r="I12" s="131"/>
      <c r="J12" s="131"/>
      <c r="K12" s="131" t="s">
        <v>33</v>
      </c>
      <c r="L12" s="131" t="s">
        <v>213</v>
      </c>
      <c r="M12" s="133" t="s">
        <v>38</v>
      </c>
      <c r="N12" s="131" t="s">
        <v>113</v>
      </c>
      <c r="O12" s="131" t="s">
        <v>34</v>
      </c>
      <c r="P12" s="131" t="s">
        <v>63</v>
      </c>
      <c r="Q12" s="131" t="s">
        <v>112</v>
      </c>
      <c r="R12" s="129"/>
      <c r="S12" s="133" t="s">
        <v>10</v>
      </c>
      <c r="T12" s="133" t="s">
        <v>10</v>
      </c>
      <c r="U12" s="154"/>
      <c r="V12" s="133" t="s">
        <v>38</v>
      </c>
      <c r="W12" s="131" t="s">
        <v>32</v>
      </c>
    </row>
    <row r="13" spans="2:24" s="16" customFormat="1" ht="15">
      <c r="B13" s="54" t="str">
        <f>COM_Balance!$C$33</f>
        <v>CHCS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LEFT(B13,5)&amp;RIGHT(G13,3)&amp;"_00_Fur"</f>
        <v>CHCSCOA_00_Fur</v>
      </c>
      <c r="E13" s="106" t="str">
        <f>"Existing commercial - "&amp;RIGHT(B13,2)&amp;" Space Heat "&amp;RIGHT(G13,3)&amp;" Furnace"</f>
        <v>Existing commercial - CS Space Heat COA Furnace</v>
      </c>
      <c r="F13" s="111"/>
      <c r="G13" s="54" t="str">
        <f>COM_Balance!$D$13</f>
        <v>COMCOA</v>
      </c>
      <c r="H13" s="54"/>
      <c r="I13" s="308"/>
      <c r="J13" s="110"/>
      <c r="K13" s="109"/>
      <c r="L13" s="156" t="str">
        <f>IF(K13="","",5)</f>
        <v/>
      </c>
      <c r="M13" s="89">
        <f>V13</f>
        <v>1.8629318940930191E-4</v>
      </c>
      <c r="N13" s="79">
        <f>(M13*W13/P13)/Q13</f>
        <v>0</v>
      </c>
      <c r="O13" s="70">
        <v>20</v>
      </c>
      <c r="P13" s="72">
        <v>0.15</v>
      </c>
      <c r="Q13" s="117">
        <v>31.536000000000001</v>
      </c>
      <c r="S13" s="90">
        <f>IF(U13=0,0,N13*Q13*P13/U13)</f>
        <v>0</v>
      </c>
      <c r="T13" s="90">
        <f>COM_Balance!D33</f>
        <v>0</v>
      </c>
      <c r="U13" s="124">
        <f>I13</f>
        <v>0</v>
      </c>
      <c r="V13" s="112">
        <f>IF(W39=0,0,SUMPRODUCT(U13:U37,T13:T37)/W39)</f>
        <v>1.8629318940930191E-4</v>
      </c>
      <c r="W13" s="76">
        <f>IF($T$39=0,0,U13*T13/SUMPRODUCT($T$13:$T$37,$U$13:$U$37)*$W$39)</f>
        <v>0</v>
      </c>
      <c r="X13" s="91"/>
    </row>
    <row r="14" spans="2:24" s="16" customFormat="1" ht="15.75" thickBot="1">
      <c r="B14" s="54" t="str">
        <f>COM_Balance!$C$33</f>
        <v>CHCS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LEFT(B14,5)&amp;RIGHT(G14,3)&amp;"_00_Boi"</f>
        <v>CHCSLPG_00_Boi</v>
      </c>
      <c r="E14" s="106" t="str">
        <f>"Existing commercial - "&amp;RIGHT(B14,2)&amp;" Space Heat "&amp;RIGHT(G14,3)&amp;" Boiler"</f>
        <v>Existing commercial - CS Space Heat LPG Boiler</v>
      </c>
      <c r="F14" s="111"/>
      <c r="G14" s="54" t="str">
        <f>COM_Balance!$E$13</f>
        <v>COMLPG</v>
      </c>
      <c r="H14" s="54"/>
      <c r="I14" s="308">
        <v>0.8</v>
      </c>
      <c r="J14" s="110"/>
      <c r="K14" s="109"/>
      <c r="L14" s="156" t="str">
        <f t="shared" ref="L14:L38" si="0">IF(K14="","",5)</f>
        <v/>
      </c>
      <c r="M14" s="112">
        <f>$M$13</f>
        <v>1.8629318940930191E-4</v>
      </c>
      <c r="N14" s="79">
        <f>(M14*W14/P14)/Q14</f>
        <v>0.33250633976065452</v>
      </c>
      <c r="O14" s="70">
        <v>20</v>
      </c>
      <c r="P14" s="72">
        <v>0.15</v>
      </c>
      <c r="Q14" s="117">
        <v>31.536000000000001</v>
      </c>
      <c r="S14" s="90">
        <f>IF(U14=0,0,N14*Q14*P14/U14)</f>
        <v>1.96610998700475</v>
      </c>
      <c r="T14" s="90">
        <f>COM_Balance!E33</f>
        <v>1.9661099870047505</v>
      </c>
      <c r="U14" s="124">
        <f>I14</f>
        <v>0.8</v>
      </c>
      <c r="V14" s="73"/>
      <c r="W14" s="76">
        <f>IF($T$39=0,0,U14*T14/SUMPRODUCT($T$13:$T$37,$U$13:$U$37)*$W$39)</f>
        <v>8443.0783250375953</v>
      </c>
      <c r="X14" s="91"/>
    </row>
    <row r="15" spans="2:24" s="16" customFormat="1" ht="15">
      <c r="B15" s="54" t="str">
        <f>COM_Balance!$C$33</f>
        <v>CHCS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LEFT(B15,5)&amp;RIGHT(G15,3)&amp;"_00_Boi"</f>
        <v>CHCSOIL_00_Boi</v>
      </c>
      <c r="E15" s="106" t="str">
        <f>"Existing commercial - "&amp;RIGHT(B15,2)&amp;" Space Heat "&amp;RIGHT(G15,3)&amp;" Boiler"</f>
        <v>Existing commercial - CS Space Heat OIL Boiler</v>
      </c>
      <c r="F15" s="180">
        <v>1</v>
      </c>
      <c r="G15" s="54" t="str">
        <f>COM_Balance!$F$13</f>
        <v>COMOIL</v>
      </c>
      <c r="H15" s="54"/>
      <c r="I15" s="308">
        <v>0.84</v>
      </c>
      <c r="J15" s="110"/>
      <c r="K15" s="109"/>
      <c r="L15" s="156" t="str">
        <f t="shared" si="0"/>
        <v/>
      </c>
      <c r="M15" s="112">
        <f>$M$13</f>
        <v>1.8629318940930191E-4</v>
      </c>
      <c r="N15" s="79">
        <f>(M15*W15/P15)/Q15</f>
        <v>0.45401133342884736</v>
      </c>
      <c r="O15" s="70">
        <v>20</v>
      </c>
      <c r="P15" s="72">
        <v>0.15</v>
      </c>
      <c r="Q15" s="117">
        <v>31.536000000000001</v>
      </c>
      <c r="S15" s="90">
        <f>IF(U15=0,0,N15*Q15*P15/U15)</f>
        <v>2.5567323948235949</v>
      </c>
      <c r="T15" s="90">
        <f>COM_Balance!F33*F15</f>
        <v>2.5567323948235945</v>
      </c>
      <c r="U15" s="124">
        <f>I15</f>
        <v>0.84</v>
      </c>
      <c r="V15" s="73"/>
      <c r="W15" s="76">
        <f>IF($T$39=0,0,U15*T15/SUMPRODUCT($T$13:$T$37,$U$13:$U$37)*$W$39)</f>
        <v>11528.361388097979</v>
      </c>
      <c r="X15" s="91"/>
    </row>
    <row r="16" spans="2:24" s="16" customFormat="1" ht="15.75" thickBot="1">
      <c r="B16" s="54" t="str">
        <f>COM_Balance!$C$33</f>
        <v>CHCS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LEFT(B16,5)&amp;RIGHT(G16,3)&amp;"_00_DBoi"</f>
        <v>CHCSOIL_00_DBoi</v>
      </c>
      <c r="E16" s="106" t="str">
        <f>"Existing commercial - "&amp;RIGHT(B16,2)&amp;" Space Heat "&amp;RIGHT(G16,3)&amp;" Dual Boiler"</f>
        <v>Existing commercial - CS Space Heat OIL Dual Boiler</v>
      </c>
      <c r="F16" s="181">
        <f>1-F15</f>
        <v>0</v>
      </c>
      <c r="G16" s="54" t="str">
        <f>COM_Balance!$F$13</f>
        <v>COMOIL</v>
      </c>
      <c r="H16" s="54" t="str">
        <f>COM_Balance!$C$33</f>
        <v>CHCS</v>
      </c>
      <c r="I16" s="73"/>
      <c r="J16" s="92"/>
      <c r="K16" s="111">
        <f>IF(M16=0,0,$M$13/M16)</f>
        <v>0.90607580179594971</v>
      </c>
      <c r="L16" s="156">
        <f t="shared" si="0"/>
        <v>5</v>
      </c>
      <c r="M16" s="112">
        <f>$M$13+COM_CW!$I$13</f>
        <v>2.05604419674432E-4</v>
      </c>
      <c r="N16" s="79">
        <f>(M16*W16/P16)/Q16</f>
        <v>0</v>
      </c>
      <c r="O16" s="70">
        <v>20</v>
      </c>
      <c r="P16" s="72">
        <v>0.25</v>
      </c>
      <c r="Q16" s="117">
        <v>31.536000000000001</v>
      </c>
      <c r="S16" s="90">
        <f>IF(U16=0,0,N16*Q16*P16/U16)*K16</f>
        <v>0</v>
      </c>
      <c r="T16" s="90">
        <f>COM_Balance!F33*F16</f>
        <v>0</v>
      </c>
      <c r="U16" s="124">
        <f>J16</f>
        <v>0</v>
      </c>
      <c r="V16" s="73"/>
      <c r="W16" s="76">
        <f>IF($T$39=0,0,U16*T16/SUMPRODUCT($T$13:$T$37,$U$13:$U$37)*$W$39)</f>
        <v>0</v>
      </c>
      <c r="X16" s="91"/>
    </row>
    <row r="17" spans="2:24" s="16" customFormat="1" ht="15.75" thickBot="1">
      <c r="B17" s="54"/>
      <c r="C17" s="54"/>
      <c r="D17" s="54"/>
      <c r="E17" s="54"/>
      <c r="F17" s="111"/>
      <c r="G17" s="54"/>
      <c r="H17" s="54" t="str">
        <f>COM_Balance!$C$39</f>
        <v>CWCS</v>
      </c>
      <c r="I17" s="73"/>
      <c r="J17" s="92"/>
      <c r="K17" s="109"/>
      <c r="L17" s="156" t="str">
        <f t="shared" si="0"/>
        <v/>
      </c>
      <c r="M17" s="112"/>
      <c r="N17" s="115"/>
      <c r="O17" s="54"/>
      <c r="P17" s="54"/>
      <c r="Q17" s="54"/>
      <c r="S17" s="116"/>
      <c r="T17" s="116"/>
      <c r="U17" s="124"/>
      <c r="V17" s="73"/>
      <c r="W17" s="76"/>
      <c r="X17" s="91"/>
    </row>
    <row r="18" spans="2:24" s="16" customFormat="1" ht="15">
      <c r="B18" s="54" t="str">
        <f>COM_Balance!$C$33</f>
        <v>CHCS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LEFT(B18,5)&amp;RIGHT(G18,3)&amp;"_00_Boi"</f>
        <v>CHCSGAS_00_Boi</v>
      </c>
      <c r="E18" s="106" t="str">
        <f>"Existing commercial - "&amp;RIGHT(B18,2)&amp;" Space Heat "&amp;RIGHT(G18,3)&amp;" Boiler"</f>
        <v>Existing commercial - CS Space Heat GAS Boiler</v>
      </c>
      <c r="F18" s="180">
        <v>1</v>
      </c>
      <c r="G18" s="54" t="str">
        <f>COM_Balance!$G$13</f>
        <v>COMGAS</v>
      </c>
      <c r="H18" s="54"/>
      <c r="I18" s="308">
        <v>0.8</v>
      </c>
      <c r="J18" s="110"/>
      <c r="K18" s="109"/>
      <c r="L18" s="156" t="str">
        <f t="shared" si="0"/>
        <v/>
      </c>
      <c r="M18" s="112">
        <f>$M$13</f>
        <v>1.8629318940930191E-4</v>
      </c>
      <c r="N18" s="79">
        <f>(M18*W18/P18)/Q18</f>
        <v>1.2745831172040467</v>
      </c>
      <c r="O18" s="70">
        <v>20</v>
      </c>
      <c r="P18" s="72">
        <v>0.15</v>
      </c>
      <c r="Q18" s="117">
        <v>31.536000000000001</v>
      </c>
      <c r="S18" s="90">
        <f>IF(U18=0,0,N18*Q18*P18/U18)</f>
        <v>7.536609972027529</v>
      </c>
      <c r="T18" s="90">
        <f>COM_Balance!G33*F18</f>
        <v>7.5366099720275299</v>
      </c>
      <c r="U18" s="124">
        <f>I18</f>
        <v>0.8</v>
      </c>
      <c r="V18" s="73"/>
      <c r="W18" s="76">
        <f>IF($T$39=0,0,U18*T18/SUMPRODUCT($T$13:$T$37,$U$13:$U$37)*$W$39)</f>
        <v>32364.510998709498</v>
      </c>
      <c r="X18" s="91"/>
    </row>
    <row r="19" spans="2:24" s="16" customFormat="1" ht="15">
      <c r="B19" s="54" t="str">
        <f>COM_Balance!$C$33</f>
        <v>CHCS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LEFT(B19,5)&amp;RIGHT(G19,3)&amp;"_00_HP"</f>
        <v>CHCSGAS_00_HP</v>
      </c>
      <c r="E19" s="106" t="str">
        <f>"Existing commercial - "&amp;RIGHT(B19,2)&amp;" Space Heat "&amp;RIGHT(G19,3)&amp;" Heat Pump"</f>
        <v>Existing commercial - CS Space Heat GAS Heat Pump</v>
      </c>
      <c r="F19" s="182"/>
      <c r="G19" s="54" t="str">
        <f>COM_Balance!$G$13</f>
        <v>COMGAS</v>
      </c>
      <c r="H19" s="54" t="str">
        <f>COM_Balance!$C$33</f>
        <v>CHCS</v>
      </c>
      <c r="I19" s="73"/>
      <c r="J19" s="92">
        <v>4</v>
      </c>
      <c r="K19" s="111">
        <f>IF(M19=0,0,$M$13/M19)</f>
        <v>0.2657795583324104</v>
      </c>
      <c r="L19" s="156">
        <f t="shared" si="0"/>
        <v>5</v>
      </c>
      <c r="M19" s="112">
        <f>$M$13+COM_CC!$K$13</f>
        <v>7.0093121750283401E-4</v>
      </c>
      <c r="N19" s="79">
        <f>(M19*W19/P19)/Q19</f>
        <v>0</v>
      </c>
      <c r="O19" s="70">
        <v>20</v>
      </c>
      <c r="P19" s="72">
        <v>0.15</v>
      </c>
      <c r="Q19" s="117">
        <v>31.536000000000001</v>
      </c>
      <c r="S19" s="90">
        <f>IF(U19=0,0,N19*Q19*P19/U19)*K19</f>
        <v>0</v>
      </c>
      <c r="T19" s="90">
        <f>COM_Balance!G33*F19</f>
        <v>0</v>
      </c>
      <c r="U19" s="124">
        <f>J19</f>
        <v>4</v>
      </c>
      <c r="V19" s="73"/>
      <c r="W19" s="76">
        <f>IF($T$39=0,0,U19*T19/SUMPRODUCT($T$13:$T$37,$U$13:$U$37)*$W$39)</f>
        <v>0</v>
      </c>
      <c r="X19" s="91"/>
    </row>
    <row r="20" spans="2:24" s="16" customFormat="1" ht="15">
      <c r="B20" s="54"/>
      <c r="C20" s="54"/>
      <c r="D20" s="54"/>
      <c r="E20" s="54"/>
      <c r="F20" s="182"/>
      <c r="G20" s="54"/>
      <c r="H20" s="54" t="str">
        <f>COM_Balance!$C$36</f>
        <v>CCCS</v>
      </c>
      <c r="I20" s="73"/>
      <c r="J20" s="92">
        <v>3.2</v>
      </c>
      <c r="K20" s="109"/>
      <c r="L20" s="156" t="str">
        <f t="shared" si="0"/>
        <v/>
      </c>
      <c r="M20" s="112"/>
      <c r="N20" s="115"/>
      <c r="O20" s="54"/>
      <c r="P20" s="54"/>
      <c r="Q20" s="54"/>
      <c r="S20" s="116"/>
      <c r="T20" s="116"/>
      <c r="U20" s="124"/>
      <c r="V20" s="73"/>
      <c r="W20" s="76"/>
      <c r="X20" s="91"/>
    </row>
    <row r="21" spans="2:24" s="16" customFormat="1" ht="15.75" thickBot="1">
      <c r="B21" s="54" t="str">
        <f>COM_Balance!$C$33</f>
        <v>CHCS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LEFT(B21,5)&amp;RIGHT(G21,3)&amp;"_00_DBoi"</f>
        <v>CHCSGAS_00_DBoi</v>
      </c>
      <c r="E21" s="106" t="str">
        <f>"Existing commercial - "&amp;RIGHT(B21,2)&amp;" Space Heat "&amp;RIGHT(G21,3)&amp;" Dual Boiler"</f>
        <v>Existing commercial - CS Space Heat GAS Dual Boiler</v>
      </c>
      <c r="F21" s="181">
        <f>1-SUM(F18:F19)</f>
        <v>0</v>
      </c>
      <c r="G21" s="54" t="str">
        <f>COM_Balance!$G$13</f>
        <v>COMGAS</v>
      </c>
      <c r="H21" s="54" t="str">
        <f>COM_Balance!$C$33</f>
        <v>CHCS</v>
      </c>
      <c r="I21" s="73"/>
      <c r="J21" s="92"/>
      <c r="K21" s="111">
        <f>IF(M21=0,0,$M$13/M21)</f>
        <v>0.90607580179594971</v>
      </c>
      <c r="L21" s="156">
        <f t="shared" si="0"/>
        <v>5</v>
      </c>
      <c r="M21" s="112">
        <f>$M$13+COM_CW!$I$13</f>
        <v>2.05604419674432E-4</v>
      </c>
      <c r="N21" s="79">
        <f>(M21*W21/P21)/Q21</f>
        <v>0</v>
      </c>
      <c r="O21" s="70">
        <v>20</v>
      </c>
      <c r="P21" s="72">
        <v>0.25</v>
      </c>
      <c r="Q21" s="117">
        <v>31.536000000000001</v>
      </c>
      <c r="S21" s="90">
        <f>IF(U21=0,0,N21*Q21*P21/U21)*K21</f>
        <v>0</v>
      </c>
      <c r="T21" s="90">
        <f>COM_Balance!G33*F21</f>
        <v>0</v>
      </c>
      <c r="U21" s="124">
        <f>J21</f>
        <v>0</v>
      </c>
      <c r="V21" s="73"/>
      <c r="W21" s="76">
        <f>IF($T$39=0,0,U21*T21/SUMPRODUCT($T$13:$T$37,$U$13:$U$37)*$W$39)</f>
        <v>0</v>
      </c>
      <c r="X21" s="91"/>
    </row>
    <row r="22" spans="2:24" s="16" customFormat="1" ht="15.75" thickBot="1">
      <c r="B22" s="54"/>
      <c r="C22" s="54"/>
      <c r="D22" s="54"/>
      <c r="E22" s="54"/>
      <c r="F22" s="111"/>
      <c r="G22" s="54"/>
      <c r="H22" s="54" t="str">
        <f>COM_Balance!$C$39</f>
        <v>CWCS</v>
      </c>
      <c r="I22" s="73"/>
      <c r="J22" s="92"/>
      <c r="K22" s="109"/>
      <c r="L22" s="156" t="str">
        <f t="shared" si="0"/>
        <v/>
      </c>
      <c r="M22" s="112"/>
      <c r="N22" s="115"/>
      <c r="O22" s="54"/>
      <c r="P22" s="54"/>
      <c r="Q22" s="54"/>
      <c r="S22" s="116"/>
      <c r="T22" s="116"/>
      <c r="U22" s="124"/>
      <c r="V22" s="73"/>
      <c r="W22" s="76"/>
      <c r="X22" s="91"/>
    </row>
    <row r="23" spans="2:24" s="16" customFormat="1" ht="15">
      <c r="B23" s="54" t="str">
        <f>COM_Balance!$C$33</f>
        <v>CHCS</v>
      </c>
      <c r="C23" s="54" t="str">
        <f>_xlfn.TEXTJOIN(",",TRUE,IF(LEFT(Regions!$C$3,1)&lt;&gt;"*",Regions!$C$3,""),IF(LEFT(Regions!$D$3,1)&lt;&gt;"*",Regions!$D$3,""))</f>
        <v>IE,National</v>
      </c>
      <c r="D23" s="54" t="str">
        <f>LEFT(B23,5)&amp;RIGHT(G23,3)&amp;"_00_Boi"</f>
        <v>CHCSBIO_00_Boi</v>
      </c>
      <c r="E23" s="106" t="str">
        <f>"Existing commercial - "&amp;RIGHT(B23,2)&amp;" Space Heat "&amp;RIGHT(G23,3)&amp;" Boiler"</f>
        <v>Existing commercial - CS Space Heat BIO Boiler</v>
      </c>
      <c r="F23" s="180">
        <v>1</v>
      </c>
      <c r="G23" s="54" t="str">
        <f>COM_Balance!$H$13</f>
        <v>COMBIO</v>
      </c>
      <c r="H23" s="54"/>
      <c r="I23" s="308">
        <v>0.85</v>
      </c>
      <c r="J23" s="110"/>
      <c r="K23" s="109"/>
      <c r="L23" s="156" t="str">
        <f t="shared" si="0"/>
        <v/>
      </c>
      <c r="M23" s="112">
        <f>$M$13</f>
        <v>1.8629318940930191E-4</v>
      </c>
      <c r="N23" s="79">
        <f>(M23*W23/P23)/Q23</f>
        <v>3.3049768955736282E-2</v>
      </c>
      <c r="O23" s="70">
        <v>20</v>
      </c>
      <c r="P23" s="72">
        <v>0.15</v>
      </c>
      <c r="Q23" s="117">
        <v>31.536000000000001</v>
      </c>
      <c r="S23" s="90">
        <f>IF(U23=0,0,N23*Q23*P23/U23)</f>
        <v>0.18392779655084107</v>
      </c>
      <c r="T23" s="90">
        <f>COM_Balance!H33*F23</f>
        <v>0.18392779655084107</v>
      </c>
      <c r="U23" s="124">
        <f>I23</f>
        <v>0.85</v>
      </c>
      <c r="V23" s="73"/>
      <c r="W23" s="76">
        <f>IF($T$39=0,0,U23*T23/SUMPRODUCT($T$13:$T$37,$U$13:$U$37)*$W$39)</f>
        <v>839.20742118342127</v>
      </c>
      <c r="X23" s="91"/>
    </row>
    <row r="24" spans="2:24" s="16" customFormat="1" ht="15.75" thickBot="1">
      <c r="B24" s="54" t="str">
        <f>COM_Balance!$C$33</f>
        <v>CHCS</v>
      </c>
      <c r="C24" s="54" t="str">
        <f>_xlfn.TEXTJOIN(",",TRUE,IF(LEFT(Regions!$C$3,1)&lt;&gt;"*",Regions!$C$3,""),IF(LEFT(Regions!$D$3,1)&lt;&gt;"*",Regions!$D$3,""))</f>
        <v>IE,National</v>
      </c>
      <c r="D24" s="54" t="str">
        <f>LEFT(B24,5)&amp;RIGHT(G24,3)&amp;"_00_DBoi"</f>
        <v>CHCSBIO_00_DBoi</v>
      </c>
      <c r="E24" s="106" t="str">
        <f>"Existing commercial - "&amp;RIGHT(B24,2)&amp;" Space Heat "&amp;RIGHT(G24,3)&amp;" Dual Boiler"</f>
        <v>Existing commercial - CS Space Heat BIO Dual Boiler</v>
      </c>
      <c r="F24" s="181">
        <f>1-F23</f>
        <v>0</v>
      </c>
      <c r="G24" s="54" t="str">
        <f>COM_Balance!$H$13</f>
        <v>COMBIO</v>
      </c>
      <c r="H24" s="54" t="str">
        <f>COM_Balance!$C$33</f>
        <v>CHCS</v>
      </c>
      <c r="I24" s="73"/>
      <c r="J24" s="92"/>
      <c r="K24" s="111">
        <f>IF(M24=0,0,$M$13/M24)</f>
        <v>0.90607580179594971</v>
      </c>
      <c r="L24" s="156">
        <f t="shared" si="0"/>
        <v>5</v>
      </c>
      <c r="M24" s="112">
        <f>$M$13+COM_CW!$I$13</f>
        <v>2.05604419674432E-4</v>
      </c>
      <c r="N24" s="79">
        <f>(M24*W24/P24)/Q24</f>
        <v>0</v>
      </c>
      <c r="O24" s="70">
        <v>20</v>
      </c>
      <c r="P24" s="72">
        <v>0.25</v>
      </c>
      <c r="Q24" s="117">
        <v>31.536000000000001</v>
      </c>
      <c r="S24" s="90">
        <f>IF(U24=0,0,N24*Q24*P24/U24)*K24</f>
        <v>0</v>
      </c>
      <c r="T24" s="90">
        <f>COM_Balance!H33*F24</f>
        <v>0</v>
      </c>
      <c r="U24" s="124">
        <f>J24</f>
        <v>0</v>
      </c>
      <c r="V24" s="73"/>
      <c r="W24" s="76">
        <f>IF($T$39=0,0,U24*T24/SUMPRODUCT($T$13:$T$37,$U$13:$U$37)*$W$39)</f>
        <v>0</v>
      </c>
      <c r="X24" s="91"/>
    </row>
    <row r="25" spans="2:24" s="16" customFormat="1" ht="15.75" thickBot="1">
      <c r="B25" s="54"/>
      <c r="C25" s="54"/>
      <c r="D25" s="54"/>
      <c r="E25" s="54"/>
      <c r="F25" s="111"/>
      <c r="G25" s="54"/>
      <c r="H25" s="54" t="str">
        <f>COM_Balance!$C$39</f>
        <v>CWCS</v>
      </c>
      <c r="I25" s="73"/>
      <c r="J25" s="92"/>
      <c r="K25" s="109"/>
      <c r="L25" s="156" t="str">
        <f t="shared" si="0"/>
        <v/>
      </c>
      <c r="M25" s="112"/>
      <c r="N25" s="115"/>
      <c r="O25" s="54"/>
      <c r="P25" s="54"/>
      <c r="Q25" s="54"/>
      <c r="S25" s="116"/>
      <c r="T25" s="116"/>
      <c r="U25" s="124"/>
      <c r="V25" s="73"/>
      <c r="W25" s="76"/>
      <c r="X25" s="91"/>
    </row>
    <row r="26" spans="2:24" s="16" customFormat="1" ht="15">
      <c r="B26" s="54" t="str">
        <f>COM_Balance!$C$33</f>
        <v>CHCS</v>
      </c>
      <c r="C26" s="54" t="str">
        <f>_xlfn.TEXTJOIN(",",TRUE,IF(LEFT(Regions!$C$3,1)&lt;&gt;"*",Regions!$C$3,""),IF(LEFT(Regions!$D$3,1)&lt;&gt;"*",Regions!$D$3,""))</f>
        <v>IE,National</v>
      </c>
      <c r="D26" s="54" t="str">
        <f>LEFT(B26,5)&amp;RIGHT(G26,3)&amp;"_00_Boi"</f>
        <v>CHCSBGS_00_Boi</v>
      </c>
      <c r="E26" s="106" t="str">
        <f>"Existing commercial - "&amp;RIGHT(B26,2)&amp;" Space Heat "&amp;RIGHT(G26,3)&amp;" Boiler"</f>
        <v>Existing commercial - CS Space Heat BGS Boiler</v>
      </c>
      <c r="F26" s="180">
        <v>1</v>
      </c>
      <c r="G26" s="54" t="str">
        <f>COM_Balance!$I$13</f>
        <v>COMBGS</v>
      </c>
      <c r="H26" s="54"/>
      <c r="I26" s="308">
        <v>0.8</v>
      </c>
      <c r="J26" s="92"/>
      <c r="K26" s="109"/>
      <c r="L26" s="156"/>
      <c r="M26" s="112">
        <f>$M$13</f>
        <v>1.8629318940930191E-4</v>
      </c>
      <c r="N26" s="79">
        <f>(M26*W26/P26)/Q26</f>
        <v>1.7401678665301856E-2</v>
      </c>
      <c r="O26" s="70">
        <v>20</v>
      </c>
      <c r="P26" s="72">
        <v>0.15</v>
      </c>
      <c r="Q26" s="117">
        <v>31.536000000000001</v>
      </c>
      <c r="S26" s="90">
        <f>IF(U26=0,0,N26*Q26*P26/U26)</f>
        <v>0.10289612594792986</v>
      </c>
      <c r="T26" s="90">
        <f>COM_Balance!I33*F26</f>
        <v>0.10289612594792985</v>
      </c>
      <c r="U26" s="124">
        <f>I26</f>
        <v>0.8</v>
      </c>
      <c r="V26" s="73"/>
      <c r="W26" s="76">
        <f>IF($T$39=0,0,U26*T26/SUMPRODUCT($T$13:$T$37,$U$13:$U$37)*$W$39)</f>
        <v>441.86747255417202</v>
      </c>
      <c r="X26" s="91"/>
    </row>
    <row r="27" spans="2:24" s="16" customFormat="1" ht="15.75" thickBot="1">
      <c r="B27" s="54" t="str">
        <f>COM_Balance!$C$33</f>
        <v>CHCS</v>
      </c>
      <c r="C27" s="54" t="str">
        <f>_xlfn.TEXTJOIN(",",TRUE,IF(LEFT(Regions!$C$3,1)&lt;&gt;"*",Regions!$C$3,""),IF(LEFT(Regions!$D$3,1)&lt;&gt;"*",Regions!$D$3,""))</f>
        <v>IE,National</v>
      </c>
      <c r="D27" s="54" t="str">
        <f>LEFT(B27,5)&amp;RIGHT(G27,3)&amp;"_00_DBoi"</f>
        <v>CHCSBGS_00_DBoi</v>
      </c>
      <c r="E27" s="106" t="str">
        <f>"Existing commercial - "&amp;RIGHT(B27,2)&amp;" Space Heat "&amp;RIGHT(G27,3)&amp;" Dual Boiler"</f>
        <v>Existing commercial - CS Space Heat BGS Dual Boiler</v>
      </c>
      <c r="F27" s="181">
        <f>1-F26</f>
        <v>0</v>
      </c>
      <c r="G27" s="54" t="str">
        <f>COM_Balance!$I$13</f>
        <v>COMBGS</v>
      </c>
      <c r="H27" s="54" t="str">
        <f>COM_Balance!$C$33</f>
        <v>CHCS</v>
      </c>
      <c r="I27" s="73"/>
      <c r="J27" s="92"/>
      <c r="K27" s="111">
        <f>IF(M27=0,0,$M$13/M27)</f>
        <v>0.90607580179594971</v>
      </c>
      <c r="L27" s="156">
        <f>IF(K27="","",5)</f>
        <v>5</v>
      </c>
      <c r="M27" s="112">
        <f>$M$13+COM_CW!$I$13</f>
        <v>2.05604419674432E-4</v>
      </c>
      <c r="N27" s="79">
        <f>(M27*W27/P27)/Q27</f>
        <v>0</v>
      </c>
      <c r="O27" s="70">
        <v>20</v>
      </c>
      <c r="P27" s="72">
        <v>0.25</v>
      </c>
      <c r="Q27" s="117">
        <v>31.536000000000001</v>
      </c>
      <c r="S27" s="90">
        <f>IF(U27=0,0,N27*Q27*P27/U27)*K27</f>
        <v>0</v>
      </c>
      <c r="T27" s="90">
        <f>COM_Balance!I33*F27</f>
        <v>0</v>
      </c>
      <c r="U27" s="124">
        <f>J27</f>
        <v>0</v>
      </c>
      <c r="V27" s="73"/>
      <c r="W27" s="76">
        <f>IF($T$39=0,0,U27*T27/SUMPRODUCT($T$13:$T$37,$U$13:$U$37)*$W$39)</f>
        <v>0</v>
      </c>
      <c r="X27" s="91"/>
    </row>
    <row r="28" spans="2:24" s="16" customFormat="1" ht="15">
      <c r="B28" s="54"/>
      <c r="C28" s="54"/>
      <c r="D28" s="54"/>
      <c r="E28" s="54"/>
      <c r="F28" s="111"/>
      <c r="G28" s="54"/>
      <c r="H28" s="54" t="str">
        <f>COM_Balance!$C$39</f>
        <v>CWCS</v>
      </c>
      <c r="I28" s="73"/>
      <c r="J28" s="92"/>
      <c r="K28" s="109"/>
      <c r="L28" s="156"/>
      <c r="M28" s="112"/>
      <c r="N28" s="115"/>
      <c r="O28" s="54"/>
      <c r="P28" s="54"/>
      <c r="Q28" s="54"/>
      <c r="S28" s="116"/>
      <c r="T28" s="116"/>
      <c r="U28" s="124"/>
      <c r="V28" s="73"/>
      <c r="W28" s="76"/>
      <c r="X28" s="91"/>
    </row>
    <row r="29" spans="2:24" s="16" customFormat="1" ht="15">
      <c r="B29" s="54" t="str">
        <f>COM_Balance!$C$33</f>
        <v>CHCS</v>
      </c>
      <c r="C29" s="54" t="str">
        <f>_xlfn.TEXTJOIN(",",TRUE,IF(LEFT(Regions!$C$3,1)&lt;&gt;"*",Regions!$C$3,""),IF(LEFT(Regions!$D$3,1)&lt;&gt;"*",Regions!$D$3,""))</f>
        <v>IE,National</v>
      </c>
      <c r="D29" s="54" t="str">
        <f>LEFT(B29,5)&amp;RIGHT(G29,3)&amp;"_00"</f>
        <v>CHCSSOL_00</v>
      </c>
      <c r="E29" s="106" t="str">
        <f>"Existing commercial - "&amp;RIGHT(B29,2)&amp;" Space Heat "&amp;RIGHT(G29,3)&amp;" Thermal"</f>
        <v>Existing commercial - CS Space Heat SOL Thermal</v>
      </c>
      <c r="F29" s="111"/>
      <c r="G29" s="54" t="str">
        <f>COM_Balance!$J$13</f>
        <v>COMSOL</v>
      </c>
      <c r="H29" s="54"/>
      <c r="I29" s="88">
        <v>1</v>
      </c>
      <c r="J29" s="110"/>
      <c r="K29" s="109"/>
      <c r="L29" s="156" t="str">
        <f t="shared" si="0"/>
        <v/>
      </c>
      <c r="M29" s="112">
        <f>$M$13</f>
        <v>1.8629318940930191E-4</v>
      </c>
      <c r="N29" s="79">
        <f>(M29*W29/P29)/Q29</f>
        <v>8.8417028085538906E-4</v>
      </c>
      <c r="O29" s="70">
        <v>20</v>
      </c>
      <c r="P29" s="72">
        <v>0.15</v>
      </c>
      <c r="Q29" s="117">
        <v>31.536000000000001</v>
      </c>
      <c r="S29" s="90">
        <f>IF(U29=0,0,N29*Q29*P29/U29)</f>
        <v>4.1824790965583327E-3</v>
      </c>
      <c r="T29" s="90">
        <f>COM_Balance!J33</f>
        <v>4.1824790965583336E-3</v>
      </c>
      <c r="U29" s="124">
        <f>I29</f>
        <v>1</v>
      </c>
      <c r="V29" s="73"/>
      <c r="W29" s="76">
        <f>IF($T$39=0,0,U29*T29/SUMPRODUCT($T$13:$T$37,$U$13:$U$37)*$W$39)</f>
        <v>22.45105744241177</v>
      </c>
      <c r="X29" s="91"/>
    </row>
    <row r="30" spans="2:24" s="16" customFormat="1" ht="15.75" thickBot="1">
      <c r="B30" s="54" t="str">
        <f>COM_Balance!$C$33</f>
        <v>CHCS</v>
      </c>
      <c r="C30" s="54" t="str">
        <f>_xlfn.TEXTJOIN(",",TRUE,IF(LEFT(Regions!$C$3,1)&lt;&gt;"*",Regions!$C$3,""),IF(LEFT(Regions!$D$3,1)&lt;&gt;"*",Regions!$D$3,""))</f>
        <v>IE,National</v>
      </c>
      <c r="D30" s="54" t="str">
        <f>LEFT(B30,5)&amp;RIGHT(G30,3)&amp;"_00"</f>
        <v>CHCSGEO_00</v>
      </c>
      <c r="E30" s="106" t="str">
        <f>"Existing commercial - "&amp;RIGHT(B30,2)&amp;" Space Heat "&amp;RIGHT(G30,3)</f>
        <v>Existing commercial - CS Space Heat GEO</v>
      </c>
      <c r="F30" s="111"/>
      <c r="G30" s="54" t="str">
        <f>COM_Balance!$K$13</f>
        <v>COMGEO</v>
      </c>
      <c r="H30" s="54"/>
      <c r="I30" s="88">
        <v>1</v>
      </c>
      <c r="J30" s="110"/>
      <c r="K30" s="109"/>
      <c r="L30" s="156" t="str">
        <f t="shared" si="0"/>
        <v/>
      </c>
      <c r="M30" s="112">
        <f>$M$13</f>
        <v>1.8629318940930191E-4</v>
      </c>
      <c r="N30" s="79">
        <f>(M30*W30/P30)/Q30</f>
        <v>0.13876475498239238</v>
      </c>
      <c r="O30" s="70">
        <v>20</v>
      </c>
      <c r="P30" s="72">
        <v>0.15</v>
      </c>
      <c r="Q30" s="117">
        <v>31.536000000000001</v>
      </c>
      <c r="S30" s="90">
        <f>IF(U30=0,0,N30*Q30*P30/U30)</f>
        <v>0.65641279696870891</v>
      </c>
      <c r="T30" s="90">
        <f>COM_Balance!K33</f>
        <v>0.65641279696870891</v>
      </c>
      <c r="U30" s="124">
        <f>I30</f>
        <v>1</v>
      </c>
      <c r="V30" s="73"/>
      <c r="W30" s="76">
        <f>IF($T$39=0,0,U30*T30/SUMPRODUCT($T$13:$T$37,$U$13:$U$37)*$W$39)</f>
        <v>3523.546937223316</v>
      </c>
      <c r="X30" s="91"/>
    </row>
    <row r="31" spans="2:24" s="16" customFormat="1" ht="15">
      <c r="B31" s="54" t="str">
        <f>COM_Balance!$C$33</f>
        <v>CHCS</v>
      </c>
      <c r="C31" s="54" t="str">
        <f>_xlfn.TEXTJOIN(",",TRUE,IF(LEFT(Regions!$C$3,1)&lt;&gt;"*",Regions!$C$3,""),IF(LEFT(Regions!$D$3,1)&lt;&gt;"*",Regions!$D$3,""))</f>
        <v>IE,National</v>
      </c>
      <c r="D31" s="54" t="str">
        <f>LEFT(B31,5)&amp;RIGHT(G31,3)&amp;"_00_Rad"</f>
        <v>CHCSELC_00_Rad</v>
      </c>
      <c r="E31" s="106" t="str">
        <f>"Existing commercial - "&amp;RIGHT(B31,2)&amp;" Space Heat "&amp;RIGHT(G31,3)&amp;" Radiator"</f>
        <v>Existing commercial - CS Space Heat ELC Radiator</v>
      </c>
      <c r="F31" s="180">
        <v>1</v>
      </c>
      <c r="G31" s="54" t="str">
        <f>COM_Balance!$L$13</f>
        <v>COMELC</v>
      </c>
      <c r="H31" s="54"/>
      <c r="I31" s="308">
        <v>0.89</v>
      </c>
      <c r="J31" s="110"/>
      <c r="K31" s="109"/>
      <c r="L31" s="156" t="str">
        <f t="shared" si="0"/>
        <v/>
      </c>
      <c r="M31" s="112">
        <f>$M$13</f>
        <v>1.8629318940930191E-4</v>
      </c>
      <c r="N31" s="79">
        <f>(M31*W31/P31)/Q31</f>
        <v>0.43639035479584598</v>
      </c>
      <c r="O31" s="70">
        <v>20</v>
      </c>
      <c r="P31" s="72">
        <v>0.15</v>
      </c>
      <c r="Q31" s="117">
        <v>31.536000000000001</v>
      </c>
      <c r="S31" s="90">
        <f>IF(U31=0,0,N31*Q31*P31/U31)</f>
        <v>2.3194392520519886</v>
      </c>
      <c r="T31" s="90">
        <f>COM_Balance!L33*F31</f>
        <v>2.3194392520519891</v>
      </c>
      <c r="U31" s="124">
        <f>I31</f>
        <v>0.89</v>
      </c>
      <c r="V31" s="73"/>
      <c r="W31" s="76">
        <f>IF($T$39=0,0,U31*T31/SUMPRODUCT($T$13:$T$37,$U$13:$U$37)*$W$39)</f>
        <v>11080.925399751604</v>
      </c>
      <c r="X31" s="91"/>
    </row>
    <row r="32" spans="2:24" s="16" customFormat="1" ht="15">
      <c r="B32" s="54" t="str">
        <f>COM_Balance!$C$33</f>
        <v>CHCS</v>
      </c>
      <c r="C32" s="54" t="str">
        <f>_xlfn.TEXTJOIN(",",TRUE,IF(LEFT(Regions!$C$3,1)&lt;&gt;"*",Regions!$C$3,""),IF(LEFT(Regions!$D$3,1)&lt;&gt;"*",Regions!$D$3,""))</f>
        <v>IE,National</v>
      </c>
      <c r="D32" s="54" t="str">
        <f>LEFT(B32,5)&amp;RIGHT(G32,3)&amp;"_00_HP"</f>
        <v>CHCSELC_00_HP</v>
      </c>
      <c r="E32" s="106" t="str">
        <f>"Existing commercial - "&amp;RIGHT(B32,2)&amp;" Space Heat "&amp;RIGHT(G32,3)&amp;" Heat Pump"</f>
        <v>Existing commercial - CS Space Heat ELC Heat Pump</v>
      </c>
      <c r="F32" s="182"/>
      <c r="G32" s="54" t="str">
        <f>COM_Balance!$L$13</f>
        <v>COMELC</v>
      </c>
      <c r="H32" s="54" t="str">
        <f>COM_Balance!$C$33</f>
        <v>CHCS</v>
      </c>
      <c r="I32" s="73"/>
      <c r="J32" s="92">
        <v>4</v>
      </c>
      <c r="K32" s="111">
        <f>IF(M32=0,0,$M$13/M32)</f>
        <v>0.2657795583324104</v>
      </c>
      <c r="L32" s="156">
        <f t="shared" si="0"/>
        <v>5</v>
      </c>
      <c r="M32" s="112">
        <f>$M$13+COM_CC!$K$13</f>
        <v>7.0093121750283401E-4</v>
      </c>
      <c r="N32" s="79">
        <f>(M32*W32/P32)/Q32</f>
        <v>0</v>
      </c>
      <c r="O32" s="70">
        <v>20</v>
      </c>
      <c r="P32" s="72">
        <v>0.15</v>
      </c>
      <c r="Q32" s="117">
        <v>31.536000000000001</v>
      </c>
      <c r="S32" s="90">
        <f>IF(U32=0,0,N32*Q32*P32/U32)*K32</f>
        <v>0</v>
      </c>
      <c r="T32" s="90">
        <f>COM_Balance!L33*F32</f>
        <v>0</v>
      </c>
      <c r="U32" s="124">
        <f>J32</f>
        <v>4</v>
      </c>
      <c r="V32" s="73"/>
      <c r="W32" s="76">
        <f>IF($T$39=0,0,U32*T32/SUMPRODUCT($T$13:$T$37,$U$13:$U$37)*$W$39)</f>
        <v>0</v>
      </c>
      <c r="X32" s="91"/>
    </row>
    <row r="33" spans="2:24" s="16" customFormat="1" ht="15">
      <c r="B33" s="54"/>
      <c r="C33" s="54"/>
      <c r="D33" s="54"/>
      <c r="E33" s="54"/>
      <c r="F33" s="182"/>
      <c r="G33" s="54"/>
      <c r="H33" s="54" t="str">
        <f>COM_Balance!$C$36</f>
        <v>CCCS</v>
      </c>
      <c r="I33" s="73"/>
      <c r="J33" s="92">
        <v>3.2</v>
      </c>
      <c r="K33" s="109"/>
      <c r="L33" s="156" t="str">
        <f t="shared" si="0"/>
        <v/>
      </c>
      <c r="M33" s="112"/>
      <c r="N33" s="115"/>
      <c r="O33" s="54"/>
      <c r="P33" s="54"/>
      <c r="Q33" s="54"/>
      <c r="S33" s="116"/>
      <c r="T33" s="116"/>
      <c r="U33" s="124"/>
      <c r="V33" s="73"/>
      <c r="W33" s="76"/>
      <c r="X33" s="91"/>
    </row>
    <row r="34" spans="2:24" s="16" customFormat="1" ht="15.75" thickBot="1">
      <c r="B34" s="54" t="str">
        <f>COM_Balance!$C$33</f>
        <v>CHCS</v>
      </c>
      <c r="C34" s="54" t="str">
        <f>_xlfn.TEXTJOIN(",",TRUE,IF(LEFT(Regions!$C$3,1)&lt;&gt;"*",Regions!$C$3,""),IF(LEFT(Regions!$D$3,1)&lt;&gt;"*",Regions!$D$3,""))</f>
        <v>IE,National</v>
      </c>
      <c r="D34" s="54" t="str">
        <f>LEFT(B34,5)&amp;RIGHT(G34,3)&amp;"_00_DBoi"</f>
        <v>CHCSELC_00_DBoi</v>
      </c>
      <c r="E34" s="106" t="str">
        <f>"Existing commercial - "&amp;RIGHT(B34,2)&amp;" Space Heat "&amp;RIGHT(G34,3)&amp;" Dual Boiler"</f>
        <v>Existing commercial - CS Space Heat ELC Dual Boiler</v>
      </c>
      <c r="F34" s="181">
        <f>1-SUM(F31:F32)</f>
        <v>0</v>
      </c>
      <c r="G34" s="54" t="str">
        <f>COM_Balance!$L$13</f>
        <v>COMELC</v>
      </c>
      <c r="H34" s="54" t="str">
        <f>COM_Balance!$C$33</f>
        <v>CHCS</v>
      </c>
      <c r="I34" s="73"/>
      <c r="J34" s="92"/>
      <c r="K34" s="111">
        <f>IF(M34=0,0,$M$13/M34)</f>
        <v>0.90607580179594971</v>
      </c>
      <c r="L34" s="156">
        <f t="shared" si="0"/>
        <v>5</v>
      </c>
      <c r="M34" s="112">
        <f>$M$13+COM_CW!$I$13</f>
        <v>2.05604419674432E-4</v>
      </c>
      <c r="N34" s="79">
        <f>(M34*W34/P34)/Q34</f>
        <v>0</v>
      </c>
      <c r="O34" s="70">
        <v>20</v>
      </c>
      <c r="P34" s="72">
        <v>0.25</v>
      </c>
      <c r="Q34" s="117">
        <v>31.536000000000001</v>
      </c>
      <c r="S34" s="90">
        <f>IF(U34=0,0,N34*Q34*P34/U34)*K34</f>
        <v>0</v>
      </c>
      <c r="T34" s="90">
        <f>COM_Balance!L33*F34</f>
        <v>0</v>
      </c>
      <c r="U34" s="124">
        <f>J34</f>
        <v>0</v>
      </c>
      <c r="V34" s="73"/>
      <c r="W34" s="76">
        <f>IF($T$39=0,0,U34*T34/SUMPRODUCT($T$13:$T$37,$U$13:$U$37)*$W$39)</f>
        <v>0</v>
      </c>
      <c r="X34" s="91"/>
    </row>
    <row r="35" spans="2:24" s="16" customFormat="1" ht="15">
      <c r="B35" s="54"/>
      <c r="C35" s="54"/>
      <c r="D35" s="54"/>
      <c r="E35" s="54"/>
      <c r="F35" s="307"/>
      <c r="G35" s="54"/>
      <c r="H35" s="54" t="str">
        <f>COM_Balance!$C$39</f>
        <v>CWCS</v>
      </c>
      <c r="I35" s="73"/>
      <c r="J35" s="92"/>
      <c r="K35" s="109"/>
      <c r="L35" s="156" t="str">
        <f t="shared" si="0"/>
        <v/>
      </c>
      <c r="M35" s="112"/>
      <c r="N35" s="115"/>
      <c r="O35" s="54"/>
      <c r="P35" s="54"/>
      <c r="Q35" s="54"/>
      <c r="S35" s="116"/>
      <c r="T35" s="116"/>
      <c r="U35" s="124"/>
      <c r="V35" s="73"/>
      <c r="W35" s="76"/>
      <c r="X35" s="91"/>
    </row>
    <row r="36" spans="2:24" s="16" customFormat="1" ht="15">
      <c r="B36" s="54" t="str">
        <f>COM_Balance!$C$33</f>
        <v>CHCS</v>
      </c>
      <c r="C36" s="54" t="str">
        <f>_xlfn.TEXTJOIN(",",TRUE,IF(LEFT(Regions!$C$3,1)&lt;&gt;"*",Regions!$C$3,""),IF(LEFT(Regions!$D$3,1)&lt;&gt;"*",Regions!$D$3,""))</f>
        <v>IE,National</v>
      </c>
      <c r="D36" s="54" t="str">
        <f>LEFT(B36,5)&amp;RIGHT(G36,3)&amp;"_00_DH"</f>
        <v>CHCSHET_00_DH</v>
      </c>
      <c r="E36" s="106" t="str">
        <f>"Existing commercial - "&amp;RIGHT(B36,2)&amp;" Space Heat "&amp;RIGHT(G36,3)&amp;" Heat Exchanger"</f>
        <v>Existing commercial - CS Space Heat HET Heat Exchanger</v>
      </c>
      <c r="F36" s="307"/>
      <c r="G36" s="54" t="str">
        <f>COM_Balance!$M$13</f>
        <v>COMHET</v>
      </c>
      <c r="H36" s="54" t="str">
        <f>COM_Balance!$C$33</f>
        <v>CHCS</v>
      </c>
      <c r="I36" s="113"/>
      <c r="J36" s="92">
        <v>0.95</v>
      </c>
      <c r="K36" s="111">
        <f>IF(M36=0,0,$M$13/M36)</f>
        <v>0.90607580179594971</v>
      </c>
      <c r="L36" s="156">
        <f t="shared" si="0"/>
        <v>5</v>
      </c>
      <c r="M36" s="112">
        <f>$M$13+COM_CW!$I$13</f>
        <v>2.05604419674432E-4</v>
      </c>
      <c r="N36" s="93">
        <f>(M36*W36/P36)/Q36</f>
        <v>0</v>
      </c>
      <c r="O36" s="71">
        <v>20</v>
      </c>
      <c r="P36" s="72">
        <v>0.25</v>
      </c>
      <c r="Q36" s="54">
        <v>31.536000000000001</v>
      </c>
      <c r="S36" s="90">
        <f>IF(U36=0,0,N36*Q36*P36/U36)*K36</f>
        <v>0</v>
      </c>
      <c r="T36" s="90">
        <f>COM_Balance!M33</f>
        <v>0</v>
      </c>
      <c r="U36" s="124">
        <f>J36</f>
        <v>0.95</v>
      </c>
      <c r="V36" s="73"/>
      <c r="W36" s="76">
        <f>IF($T$39=0,0,U36*T36/SUMPRODUCT($T$13:$T$37,$U$13:$U$37)*$W$39)</f>
        <v>0</v>
      </c>
      <c r="X36" s="91"/>
    </row>
    <row r="37" spans="2:24" s="16" customFormat="1" ht="15">
      <c r="B37" s="107"/>
      <c r="C37" s="107"/>
      <c r="D37" s="54"/>
      <c r="E37" s="57"/>
      <c r="F37" s="307"/>
      <c r="G37" s="54"/>
      <c r="H37" s="54" t="str">
        <f>COM_Balance!$C$39</f>
        <v>CWCS</v>
      </c>
      <c r="I37" s="113"/>
      <c r="J37" s="92">
        <v>0.9</v>
      </c>
      <c r="K37" s="110"/>
      <c r="L37" s="156" t="str">
        <f t="shared" si="0"/>
        <v/>
      </c>
      <c r="M37" s="74"/>
      <c r="N37" s="74"/>
      <c r="O37" s="74"/>
      <c r="P37" s="74"/>
      <c r="Q37" s="74"/>
      <c r="S37" s="74"/>
      <c r="T37" s="74"/>
      <c r="U37" s="124"/>
      <c r="V37" s="73"/>
      <c r="W37" s="76"/>
    </row>
    <row r="38" spans="2:24" s="16" customFormat="1" ht="15">
      <c r="B38" s="107" t="s">
        <v>23</v>
      </c>
      <c r="C38" s="107"/>
      <c r="D38" s="54"/>
      <c r="E38" s="54"/>
      <c r="F38" s="111"/>
      <c r="G38" s="54"/>
      <c r="H38" s="54"/>
      <c r="I38" s="54"/>
      <c r="J38" s="54"/>
      <c r="K38" s="54"/>
      <c r="L38" s="156" t="str">
        <f t="shared" si="0"/>
        <v/>
      </c>
      <c r="M38" s="73"/>
      <c r="N38" s="76"/>
      <c r="O38" s="54"/>
      <c r="P38" s="54"/>
      <c r="Q38" s="54"/>
      <c r="S38" s="76"/>
      <c r="T38" s="54"/>
      <c r="U38" s="124"/>
      <c r="V38" s="73"/>
      <c r="W38" s="54"/>
    </row>
    <row r="39" spans="2:24" s="16" customFormat="1" ht="15">
      <c r="B39" s="108" t="s">
        <v>83</v>
      </c>
      <c r="C39" s="108"/>
      <c r="D39" s="54"/>
      <c r="E39" s="54"/>
      <c r="F39" s="54"/>
      <c r="G39" s="54"/>
      <c r="H39" s="54"/>
      <c r="I39" s="54"/>
      <c r="J39" s="54"/>
      <c r="K39" s="54"/>
      <c r="L39" s="54"/>
      <c r="M39" s="73"/>
      <c r="N39" s="115">
        <f>SUM(N13:N37)</f>
        <v>2.6875915180736798</v>
      </c>
      <c r="O39" s="54"/>
      <c r="P39" s="54"/>
      <c r="Q39" s="54"/>
      <c r="S39" s="76">
        <f>SUM(S13:S37)</f>
        <v>15.326310804471904</v>
      </c>
      <c r="T39" s="76">
        <f>SUM(T13:T37)</f>
        <v>15.326310804471904</v>
      </c>
      <c r="U39" s="124"/>
      <c r="V39" s="73"/>
      <c r="W39" s="115">
        <f>COM_Balance!C62</f>
        <v>68243.948999999993</v>
      </c>
    </row>
    <row r="40" spans="2:24" s="16" customFormat="1" ht="15">
      <c r="M40" s="94"/>
      <c r="N40" s="95"/>
      <c r="V40" s="94"/>
    </row>
    <row r="41" spans="2:24" s="16" customFormat="1" ht="15">
      <c r="I41" s="95"/>
      <c r="J41" s="95"/>
      <c r="M41" s="94"/>
      <c r="N41" s="95"/>
      <c r="V41" s="94"/>
    </row>
    <row r="42" spans="2:24" s="16" customFormat="1" ht="18.75">
      <c r="B42" s="66" t="str">
        <f>"Base-year technologies for commercial space heating ("&amp;COM_Balance!$S$12&amp;")"</f>
        <v>Base-year technologies for commercial space heating (Public Services)</v>
      </c>
      <c r="C42" s="66"/>
      <c r="D42" s="64"/>
      <c r="E42" s="64"/>
      <c r="F42" s="64"/>
      <c r="G42" s="64"/>
      <c r="H42" s="68" t="s">
        <v>79</v>
      </c>
      <c r="I42" s="101"/>
      <c r="J42" s="102"/>
      <c r="K42" s="103"/>
      <c r="L42" s="103"/>
      <c r="M42" s="104"/>
      <c r="N42" s="103"/>
      <c r="O42" s="103"/>
      <c r="P42" s="103"/>
      <c r="S42" s="90" t="s">
        <v>237</v>
      </c>
      <c r="T42" s="90"/>
      <c r="U42" s="84" t="s">
        <v>93</v>
      </c>
      <c r="V42" s="85"/>
      <c r="W42" s="85"/>
    </row>
    <row r="43" spans="2:24" s="16" customFormat="1" ht="45.75" thickBot="1">
      <c r="B43" s="127" t="s">
        <v>22</v>
      </c>
      <c r="C43" s="127" t="s">
        <v>603</v>
      </c>
      <c r="D43" s="127" t="s">
        <v>15</v>
      </c>
      <c r="E43" s="127" t="s">
        <v>16</v>
      </c>
      <c r="F43" s="127" t="s">
        <v>94</v>
      </c>
      <c r="G43" s="127" t="s">
        <v>39</v>
      </c>
      <c r="H43" s="127" t="s">
        <v>40</v>
      </c>
      <c r="I43" s="128" t="s">
        <v>81</v>
      </c>
      <c r="J43" s="128" t="s">
        <v>127</v>
      </c>
      <c r="K43" s="128" t="s">
        <v>242</v>
      </c>
      <c r="L43" s="155" t="s">
        <v>243</v>
      </c>
      <c r="M43" s="132" t="s">
        <v>114</v>
      </c>
      <c r="N43" s="128" t="s">
        <v>239</v>
      </c>
      <c r="O43" s="128" t="s">
        <v>238</v>
      </c>
      <c r="P43" s="128" t="s">
        <v>110</v>
      </c>
      <c r="Q43" s="128" t="s">
        <v>210</v>
      </c>
      <c r="S43" s="125" t="s">
        <v>126</v>
      </c>
      <c r="T43" s="125" t="s">
        <v>128</v>
      </c>
      <c r="U43" s="130" t="s">
        <v>145</v>
      </c>
      <c r="V43" s="126" t="s">
        <v>99</v>
      </c>
      <c r="W43" s="126" t="s">
        <v>100</v>
      </c>
    </row>
    <row r="44" spans="2:24" s="16" customFormat="1" ht="63">
      <c r="B44" s="131" t="s">
        <v>234</v>
      </c>
      <c r="C44" s="131"/>
      <c r="D44" s="131"/>
      <c r="E44" s="131"/>
      <c r="F44" s="131" t="s">
        <v>109</v>
      </c>
      <c r="G44" s="131"/>
      <c r="H44" s="131"/>
      <c r="I44" s="131"/>
      <c r="J44" s="131"/>
      <c r="K44" s="131" t="s">
        <v>33</v>
      </c>
      <c r="L44" s="131" t="s">
        <v>213</v>
      </c>
      <c r="M44" s="133" t="s">
        <v>38</v>
      </c>
      <c r="N44" s="131" t="s">
        <v>113</v>
      </c>
      <c r="O44" s="131" t="s">
        <v>34</v>
      </c>
      <c r="P44" s="131" t="s">
        <v>63</v>
      </c>
      <c r="Q44" s="131" t="s">
        <v>112</v>
      </c>
      <c r="S44" s="133" t="s">
        <v>10</v>
      </c>
      <c r="T44" s="133" t="s">
        <v>10</v>
      </c>
      <c r="U44" s="154"/>
      <c r="V44" s="133" t="s">
        <v>38</v>
      </c>
      <c r="W44" s="131" t="s">
        <v>32</v>
      </c>
    </row>
    <row r="45" spans="2:24" s="16" customFormat="1" ht="15">
      <c r="B45" s="54" t="str">
        <f>$B$8</f>
        <v>CHPS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LEFT(B45,5)&amp;RIGHT(G45,3)&amp;"_00_Fur"</f>
        <v>CHPSCOA_00_Fur</v>
      </c>
      <c r="E45" s="106" t="str">
        <f>"Existing commercial - "&amp;RIGHT(B45,2)&amp;" Space Heat "&amp;RIGHT(G45,3)&amp;" Furnace"</f>
        <v>Existing commercial - PS Space Heat COA Furnace</v>
      </c>
      <c r="F45" s="54"/>
      <c r="G45" s="54" t="str">
        <f>COM_Balance!$D$13</f>
        <v>COMCOA</v>
      </c>
      <c r="H45" s="54"/>
      <c r="I45" s="88"/>
      <c r="J45" s="110"/>
      <c r="K45" s="109"/>
      <c r="L45" s="156" t="str">
        <f t="shared" ref="L45:L71" si="1">IF(K45="","",5)</f>
        <v/>
      </c>
      <c r="M45" s="89">
        <f>V45</f>
        <v>2.3734356753668038E-4</v>
      </c>
      <c r="N45" s="79">
        <f>(M45*W45/P45)/Q45</f>
        <v>0</v>
      </c>
      <c r="O45" s="70">
        <v>20</v>
      </c>
      <c r="P45" s="72">
        <v>0.15</v>
      </c>
      <c r="Q45" s="117">
        <v>31.536000000000001</v>
      </c>
      <c r="S45" s="90">
        <f>IF(U45=0,0,N45*Q45*P45/U45)</f>
        <v>0</v>
      </c>
      <c r="T45" s="90">
        <f>COM_Balance!D34</f>
        <v>0</v>
      </c>
      <c r="U45" s="124">
        <f>I45</f>
        <v>0</v>
      </c>
      <c r="V45" s="112">
        <f>IF(W71=0,0,SUMPRODUCT(U45:U69,T45:T69)/W71)</f>
        <v>2.3734356753668038E-4</v>
      </c>
      <c r="W45" s="76">
        <f>IF($T$71=0,0,U45*T45/SUMPRODUCT($T$45:$T$69,$U$45:$U$69)*$W$71)</f>
        <v>0</v>
      </c>
    </row>
    <row r="46" spans="2:24" s="16" customFormat="1" ht="15.75" thickBot="1">
      <c r="B46" s="54" t="str">
        <f t="shared" ref="B46:B68" si="2">$B$8</f>
        <v>CHPS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LEFT(B46,5)&amp;RIGHT(G46,3)&amp;"_00_Boi"</f>
        <v>CHPSLPG_00_Boi</v>
      </c>
      <c r="E46" s="106" t="str">
        <f>"Existing commercial - "&amp;RIGHT(B46,2)&amp;" Space Heat "&amp;RIGHT(G46,3)&amp;" Boiler"</f>
        <v>Existing commercial - PS Space Heat LPG Boiler</v>
      </c>
      <c r="F46" s="54"/>
      <c r="G46" s="54" t="str">
        <f>COM_Balance!$E$13</f>
        <v>COMLPG</v>
      </c>
      <c r="H46" s="54"/>
      <c r="I46" s="88">
        <v>0.8</v>
      </c>
      <c r="J46" s="110"/>
      <c r="K46" s="109"/>
      <c r="L46" s="156" t="str">
        <f t="shared" si="1"/>
        <v/>
      </c>
      <c r="M46" s="112">
        <f>$M$45</f>
        <v>2.3734356753668038E-4</v>
      </c>
      <c r="N46" s="79">
        <f>(M46*W46/P46)/Q46</f>
        <v>9.9685100412571864E-2</v>
      </c>
      <c r="O46" s="70">
        <v>20</v>
      </c>
      <c r="P46" s="72">
        <v>0.15</v>
      </c>
      <c r="Q46" s="117">
        <v>31.536000000000001</v>
      </c>
      <c r="S46" s="90">
        <f>IF(U46=0,0,N46*Q46*P46/U46)</f>
        <v>0.58943799873953739</v>
      </c>
      <c r="T46" s="90">
        <f>COM_Balance!E34</f>
        <v>0.58943799873953739</v>
      </c>
      <c r="U46" s="124">
        <f>I46</f>
        <v>0.8</v>
      </c>
      <c r="V46" s="73"/>
      <c r="W46" s="76">
        <f>IF($T$71=0,0,U46*T46/SUMPRODUCT($T$45:$T$69,$U$45:$U$69)*$W$71)</f>
        <v>1986.7839852822383</v>
      </c>
    </row>
    <row r="47" spans="2:24" s="16" customFormat="1" ht="15">
      <c r="B47" s="54" t="str">
        <f t="shared" si="2"/>
        <v>CHPS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LEFT(B47,5)&amp;RIGHT(G47,3)&amp;"_00_Boi"</f>
        <v>CHPSOIL_00_Boi</v>
      </c>
      <c r="E47" s="106" t="str">
        <f>"Existing commercial - "&amp;RIGHT(B47,2)&amp;" Space Heat "&amp;RIGHT(G47,3)&amp;" Boiler"</f>
        <v>Existing commercial - PS Space Heat OIL Boiler</v>
      </c>
      <c r="F47" s="118">
        <v>1</v>
      </c>
      <c r="G47" s="54" t="str">
        <f>COM_Balance!$F$13</f>
        <v>COMOIL</v>
      </c>
      <c r="H47" s="54"/>
      <c r="I47" s="88">
        <v>0.84</v>
      </c>
      <c r="J47" s="110"/>
      <c r="K47" s="109"/>
      <c r="L47" s="156" t="str">
        <f t="shared" si="1"/>
        <v/>
      </c>
      <c r="M47" s="112">
        <f>$M$45</f>
        <v>2.3734356753668038E-4</v>
      </c>
      <c r="N47" s="79">
        <f>(M47*W47/P47)/Q47</f>
        <v>0.80762313953380893</v>
      </c>
      <c r="O47" s="70">
        <v>20</v>
      </c>
      <c r="P47" s="72">
        <v>0.15</v>
      </c>
      <c r="Q47" s="117">
        <v>31.536000000000001</v>
      </c>
      <c r="S47" s="90">
        <f>IF(U47=0,0,N47*Q47*P47/U47)</f>
        <v>4.5480720229175358</v>
      </c>
      <c r="T47" s="90">
        <f>COM_Balance!F34*F47</f>
        <v>4.5480720229175358</v>
      </c>
      <c r="U47" s="124">
        <f>I47</f>
        <v>0.84</v>
      </c>
      <c r="V47" s="73"/>
      <c r="W47" s="76">
        <f>IF($T$71=0,0,U47*T47/SUMPRODUCT($T$45:$T$69,$U$45:$U$69)*$W$71)</f>
        <v>16096.414741302426</v>
      </c>
    </row>
    <row r="48" spans="2:24" s="16" customFormat="1" ht="15.75" thickBot="1">
      <c r="B48" s="54" t="str">
        <f t="shared" si="2"/>
        <v>CHPS</v>
      </c>
      <c r="C48" s="54" t="str">
        <f>_xlfn.TEXTJOIN(",",TRUE,IF(LEFT(Regions!$C$3,1)&lt;&gt;"*",Regions!$C$3,""),IF(LEFT(Regions!$D$3,1)&lt;&gt;"*",Regions!$D$3,""))</f>
        <v>IE,National</v>
      </c>
      <c r="D48" s="54" t="str">
        <f>LEFT(B48,5)&amp;RIGHT(G48,3)&amp;"_00_DBoi"</f>
        <v>CHPSOIL_00_DBoi</v>
      </c>
      <c r="E48" s="106" t="str">
        <f>"Existing commercial - "&amp;RIGHT(B48,2)&amp;" Space Heat "&amp;RIGHT(G48,3)&amp;" Dual Boiler"</f>
        <v>Existing commercial - PS Space Heat OIL Dual Boiler</v>
      </c>
      <c r="F48" s="119">
        <f>1-F47</f>
        <v>0</v>
      </c>
      <c r="G48" s="54" t="str">
        <f>COM_Balance!$F$13</f>
        <v>COMOIL</v>
      </c>
      <c r="H48" s="54" t="str">
        <f>COM_Balance!C34</f>
        <v>CHPS</v>
      </c>
      <c r="I48" s="73"/>
      <c r="J48" s="92"/>
      <c r="K48" s="111">
        <f>IF(M48=0,0,$M$45/M48)</f>
        <v>0.90303494058038614</v>
      </c>
      <c r="L48" s="156">
        <f t="shared" si="1"/>
        <v>5</v>
      </c>
      <c r="M48" s="112">
        <f>$M$45+COM_CW!$I$39</f>
        <v>2.6282877535628709E-4</v>
      </c>
      <c r="N48" s="79">
        <f>(M48*W48/P48)/Q48</f>
        <v>0</v>
      </c>
      <c r="O48" s="70">
        <v>20</v>
      </c>
      <c r="P48" s="72">
        <v>0.25</v>
      </c>
      <c r="Q48" s="117">
        <v>31.536000000000001</v>
      </c>
      <c r="S48" s="90">
        <f>IF(U48=0,0,N48*Q48*P48/U48)*K48</f>
        <v>0</v>
      </c>
      <c r="T48" s="90">
        <f>COM_Balance!F34*F48</f>
        <v>0</v>
      </c>
      <c r="U48" s="124">
        <f>J48</f>
        <v>0</v>
      </c>
      <c r="V48" s="73"/>
      <c r="W48" s="76">
        <f>IF($T$71=0,0,U48*T48/SUMPRODUCT($T$45:$T$69,$U$45:$U$69)*$W$71)</f>
        <v>0</v>
      </c>
    </row>
    <row r="49" spans="2:23" s="16" customFormat="1" ht="15.75" thickBot="1">
      <c r="B49" s="54"/>
      <c r="C49" s="54"/>
      <c r="D49" s="54"/>
      <c r="E49" s="54"/>
      <c r="F49" s="54"/>
      <c r="G49" s="54"/>
      <c r="H49" s="54" t="str">
        <f>COM_Balance!C40</f>
        <v>CWPS</v>
      </c>
      <c r="I49" s="73"/>
      <c r="J49" s="92"/>
      <c r="K49" s="109"/>
      <c r="L49" s="156" t="str">
        <f t="shared" si="1"/>
        <v/>
      </c>
      <c r="M49" s="112"/>
      <c r="N49" s="115"/>
      <c r="O49" s="54"/>
      <c r="P49" s="54"/>
      <c r="Q49" s="54"/>
      <c r="S49" s="116"/>
      <c r="T49" s="116"/>
      <c r="U49" s="124"/>
      <c r="V49" s="73"/>
      <c r="W49" s="76"/>
    </row>
    <row r="50" spans="2:23" s="16" customFormat="1" ht="15">
      <c r="B50" s="54" t="str">
        <f t="shared" si="2"/>
        <v>CHPS</v>
      </c>
      <c r="C50" s="54" t="str">
        <f>_xlfn.TEXTJOIN(",",TRUE,IF(LEFT(Regions!$C$3,1)&lt;&gt;"*",Regions!$C$3,""),IF(LEFT(Regions!$D$3,1)&lt;&gt;"*",Regions!$D$3,""))</f>
        <v>IE,National</v>
      </c>
      <c r="D50" s="54" t="str">
        <f>LEFT(B50,5)&amp;RIGHT(G50,3)&amp;"_00_Boi"</f>
        <v>CHPSGAS_00_Boi</v>
      </c>
      <c r="E50" s="106" t="str">
        <f>"Existing commercial - "&amp;RIGHT(B50,2)&amp;" Space Heat "&amp;RIGHT(G50,3)&amp;" Boiler"</f>
        <v>Existing commercial - PS Space Heat GAS Boiler</v>
      </c>
      <c r="F50" s="118">
        <v>1</v>
      </c>
      <c r="G50" s="54" t="str">
        <f>COM_Balance!$G$13</f>
        <v>COMGAS</v>
      </c>
      <c r="H50" s="54"/>
      <c r="I50" s="88">
        <v>0.8</v>
      </c>
      <c r="J50" s="110"/>
      <c r="K50" s="109"/>
      <c r="L50" s="156" t="str">
        <f t="shared" si="1"/>
        <v/>
      </c>
      <c r="M50" s="112">
        <f>$M$45</f>
        <v>2.3734356753668038E-4</v>
      </c>
      <c r="N50" s="79">
        <f>(M50*W50/P50)/Q50</f>
        <v>1.1906603216559883</v>
      </c>
      <c r="O50" s="70">
        <v>20</v>
      </c>
      <c r="P50" s="72">
        <v>0.15</v>
      </c>
      <c r="Q50" s="117">
        <v>31.536000000000001</v>
      </c>
      <c r="S50" s="90">
        <f>IF(U50=0,0,N50*Q50*P50/U50)</f>
        <v>7.0403744819518588</v>
      </c>
      <c r="T50" s="90">
        <f>COM_Balance!G34*F50</f>
        <v>7.040374481951857</v>
      </c>
      <c r="U50" s="124">
        <f>I50</f>
        <v>0.8</v>
      </c>
      <c r="V50" s="73"/>
      <c r="W50" s="76">
        <f>IF($T$71=0,0,U50*T50/SUMPRODUCT($T$45:$T$69,$U$45:$U$69)*$W$71)</f>
        <v>23730.57607592858</v>
      </c>
    </row>
    <row r="51" spans="2:23" s="16" customFormat="1" ht="15">
      <c r="B51" s="54" t="str">
        <f t="shared" si="2"/>
        <v>CHPS</v>
      </c>
      <c r="C51" s="54" t="str">
        <f>_xlfn.TEXTJOIN(",",TRUE,IF(LEFT(Regions!$C$3,1)&lt;&gt;"*",Regions!$C$3,""),IF(LEFT(Regions!$D$3,1)&lt;&gt;"*",Regions!$D$3,""))</f>
        <v>IE,National</v>
      </c>
      <c r="D51" s="54" t="str">
        <f>LEFT(B51,5)&amp;RIGHT(G51,3)&amp;"_00_HP"</f>
        <v>CHPSGAS_00_HP</v>
      </c>
      <c r="E51" s="106" t="str">
        <f>"Existing commercial - "&amp;RIGHT(B51,2)&amp;" Space Heat "&amp;RIGHT(G51,3)&amp;" Heat Pump"</f>
        <v>Existing commercial - PS Space Heat GAS Heat Pump</v>
      </c>
      <c r="F51" s="120"/>
      <c r="G51" s="54" t="str">
        <f>COM_Balance!$G$13</f>
        <v>COMGAS</v>
      </c>
      <c r="H51" s="54" t="str">
        <f>COM_Balance!C34</f>
        <v>CHPS</v>
      </c>
      <c r="I51" s="73"/>
      <c r="J51" s="92">
        <v>4</v>
      </c>
      <c r="K51" s="111">
        <f>IF(M51=0,0,$M$45/M51)</f>
        <v>0.40061556959790995</v>
      </c>
      <c r="L51" s="156">
        <f t="shared" si="1"/>
        <v>5</v>
      </c>
      <c r="M51" s="112">
        <f>$M$45+COM_CC!$K$30</f>
        <v>5.9244718764899103E-4</v>
      </c>
      <c r="N51" s="79">
        <f>(M51*W51/P51)/Q51</f>
        <v>0</v>
      </c>
      <c r="O51" s="70">
        <v>20</v>
      </c>
      <c r="P51" s="72">
        <v>0.15</v>
      </c>
      <c r="Q51" s="117">
        <v>31.536000000000001</v>
      </c>
      <c r="S51" s="90">
        <f>IF(U51=0,0,N51*Q51*P51/U51)*K51</f>
        <v>0</v>
      </c>
      <c r="T51" s="90">
        <f>COM_Balance!G34*F51</f>
        <v>0</v>
      </c>
      <c r="U51" s="124">
        <f>J51</f>
        <v>4</v>
      </c>
      <c r="V51" s="73"/>
      <c r="W51" s="76">
        <f>IF($T$71=0,0,U51*T51/SUMPRODUCT($T$45:$T$69,$U$45:$U$69)*$W$71)</f>
        <v>0</v>
      </c>
    </row>
    <row r="52" spans="2:23" s="16" customFormat="1" ht="15">
      <c r="B52" s="54"/>
      <c r="C52" s="54"/>
      <c r="D52" s="54"/>
      <c r="E52" s="54"/>
      <c r="F52" s="120"/>
      <c r="G52" s="54"/>
      <c r="H52" s="54" t="str">
        <f>COM_Balance!$C$37</f>
        <v>CCPS</v>
      </c>
      <c r="I52" s="73"/>
      <c r="J52" s="92">
        <v>3.2</v>
      </c>
      <c r="K52" s="109"/>
      <c r="L52" s="156" t="str">
        <f t="shared" si="1"/>
        <v/>
      </c>
      <c r="M52" s="112"/>
      <c r="N52" s="115"/>
      <c r="O52" s="54"/>
      <c r="P52" s="54"/>
      <c r="Q52" s="54"/>
      <c r="S52" s="116"/>
      <c r="T52" s="116"/>
      <c r="U52" s="124"/>
      <c r="V52" s="73"/>
      <c r="W52" s="76"/>
    </row>
    <row r="53" spans="2:23" s="16" customFormat="1" ht="15.75" thickBot="1">
      <c r="B53" s="54" t="str">
        <f t="shared" si="2"/>
        <v>CHPS</v>
      </c>
      <c r="C53" s="54" t="str">
        <f>_xlfn.TEXTJOIN(",",TRUE,IF(LEFT(Regions!$C$3,1)&lt;&gt;"*",Regions!$C$3,""),IF(LEFT(Regions!$D$3,1)&lt;&gt;"*",Regions!$D$3,""))</f>
        <v>IE,National</v>
      </c>
      <c r="D53" s="54" t="str">
        <f>LEFT(B53,5)&amp;RIGHT(G53,3)&amp;"_00_DBoi"</f>
        <v>CHPSGAS_00_DBoi</v>
      </c>
      <c r="E53" s="106" t="str">
        <f>"Existing commercial - "&amp;RIGHT(B53,2)&amp;" Space Heat "&amp;RIGHT(G53,3)&amp;" Dual Boiler"</f>
        <v>Existing commercial - PS Space Heat GAS Dual Boiler</v>
      </c>
      <c r="F53" s="119">
        <f>1-SUM(F50:F51)</f>
        <v>0</v>
      </c>
      <c r="G53" s="54" t="str">
        <f>COM_Balance!$G$13</f>
        <v>COMGAS</v>
      </c>
      <c r="H53" s="54" t="str">
        <f>COM_Balance!$C$34</f>
        <v>CHPS</v>
      </c>
      <c r="I53" s="73"/>
      <c r="J53" s="92"/>
      <c r="K53" s="111">
        <f>IF(M53=0,0,$M$45/M53)</f>
        <v>0.90303494058038614</v>
      </c>
      <c r="L53" s="156">
        <f t="shared" si="1"/>
        <v>5</v>
      </c>
      <c r="M53" s="112">
        <f>$M$45+COM_CW!$I$39</f>
        <v>2.6282877535628709E-4</v>
      </c>
      <c r="N53" s="79">
        <f>(M53*W53/P53)/Q53</f>
        <v>0</v>
      </c>
      <c r="O53" s="70">
        <v>20</v>
      </c>
      <c r="P53" s="72">
        <v>0.25</v>
      </c>
      <c r="Q53" s="117">
        <v>31.536000000000001</v>
      </c>
      <c r="S53" s="90">
        <f>IF(U53=0,0,N53*Q53*P53/U53)*K53</f>
        <v>0</v>
      </c>
      <c r="T53" s="90">
        <f>COM_Balance!G34*F53</f>
        <v>0</v>
      </c>
      <c r="U53" s="124">
        <f>J53</f>
        <v>0</v>
      </c>
      <c r="V53" s="73"/>
      <c r="W53" s="76">
        <f>IF($T$71=0,0,U53*T53/SUMPRODUCT($T$45:$T$69,$U$45:$U$69)*$W$71)</f>
        <v>0</v>
      </c>
    </row>
    <row r="54" spans="2:23" s="16" customFormat="1" ht="15.75" thickBot="1">
      <c r="B54" s="54"/>
      <c r="C54" s="54"/>
      <c r="D54" s="54"/>
      <c r="E54" s="54"/>
      <c r="F54" s="54"/>
      <c r="G54" s="54"/>
      <c r="H54" s="54" t="str">
        <f>COM_Balance!$C$40</f>
        <v>CWPS</v>
      </c>
      <c r="I54" s="73"/>
      <c r="J54" s="92"/>
      <c r="K54" s="109"/>
      <c r="L54" s="156" t="str">
        <f t="shared" si="1"/>
        <v/>
      </c>
      <c r="M54" s="112"/>
      <c r="N54" s="115"/>
      <c r="O54" s="54"/>
      <c r="P54" s="54"/>
      <c r="Q54" s="54"/>
      <c r="S54" s="116"/>
      <c r="T54" s="116"/>
      <c r="U54" s="124"/>
      <c r="V54" s="73"/>
      <c r="W54" s="76"/>
    </row>
    <row r="55" spans="2:23" s="16" customFormat="1" ht="15">
      <c r="B55" s="54" t="str">
        <f t="shared" si="2"/>
        <v>CHPS</v>
      </c>
      <c r="C55" s="54" t="str">
        <f>_xlfn.TEXTJOIN(",",TRUE,IF(LEFT(Regions!$C$3,1)&lt;&gt;"*",Regions!$C$3,""),IF(LEFT(Regions!$D$3,1)&lt;&gt;"*",Regions!$D$3,""))</f>
        <v>IE,National</v>
      </c>
      <c r="D55" s="54" t="str">
        <f>LEFT(B55,5)&amp;RIGHT(G55,3)&amp;"_00_Boi"</f>
        <v>CHPSBIO_00_Boi</v>
      </c>
      <c r="E55" s="106" t="str">
        <f>"Existing commercial - "&amp;RIGHT(B55,2)&amp;" Space Heat "&amp;RIGHT(G55,3)&amp;" Boiler"</f>
        <v>Existing commercial - PS Space Heat BIO Boiler</v>
      </c>
      <c r="F55" s="118">
        <v>1</v>
      </c>
      <c r="G55" s="54" t="str">
        <f>COM_Balance!$H$13</f>
        <v>COMBIO</v>
      </c>
      <c r="H55" s="54"/>
      <c r="I55" s="88">
        <v>0.85</v>
      </c>
      <c r="J55" s="110"/>
      <c r="K55" s="109"/>
      <c r="L55" s="156" t="str">
        <f t="shared" si="1"/>
        <v/>
      </c>
      <c r="M55" s="112">
        <f>$M$45</f>
        <v>2.3734356753668038E-4</v>
      </c>
      <c r="N55" s="79">
        <f>(M55*W55/P55)/Q55</f>
        <v>8.5458489678498631E-2</v>
      </c>
      <c r="O55" s="70">
        <v>20</v>
      </c>
      <c r="P55" s="72">
        <v>0.15</v>
      </c>
      <c r="Q55" s="117">
        <v>31.536000000000001</v>
      </c>
      <c r="S55" s="90">
        <f>IF(U55=0,0,N55*Q55*P55/U55)</f>
        <v>0.47559157597078811</v>
      </c>
      <c r="T55" s="90">
        <f>COM_Balance!H34*F55</f>
        <v>0.47559157597078811</v>
      </c>
      <c r="U55" s="124">
        <f>I55</f>
        <v>0.85</v>
      </c>
      <c r="V55" s="73"/>
      <c r="W55" s="76">
        <f>IF($T$71=0,0,U55*T55/SUMPRODUCT($T$45:$T$69,$U$45:$U$69)*$W$71)</f>
        <v>1703.2390798317904</v>
      </c>
    </row>
    <row r="56" spans="2:23" s="16" customFormat="1" ht="15.75" thickBot="1">
      <c r="B56" s="54" t="str">
        <f t="shared" si="2"/>
        <v>CHPS</v>
      </c>
      <c r="C56" s="54" t="str">
        <f>_xlfn.TEXTJOIN(",",TRUE,IF(LEFT(Regions!$C$3,1)&lt;&gt;"*",Regions!$C$3,""),IF(LEFT(Regions!$D$3,1)&lt;&gt;"*",Regions!$D$3,""))</f>
        <v>IE,National</v>
      </c>
      <c r="D56" s="54" t="str">
        <f>LEFT(B56,5)&amp;RIGHT(G56,3)&amp;"_00_DBoi"</f>
        <v>CHPSBIO_00_DBoi</v>
      </c>
      <c r="E56" s="106" t="str">
        <f>"Existing commercial - "&amp;RIGHT(B56,2)&amp;" Space Heat "&amp;RIGHT(G56,3)&amp;" Dual Boiler"</f>
        <v>Existing commercial - PS Space Heat BIO Dual Boiler</v>
      </c>
      <c r="F56" s="119">
        <f>1-F55</f>
        <v>0</v>
      </c>
      <c r="G56" s="54" t="str">
        <f>COM_Balance!$H$13</f>
        <v>COMBIO</v>
      </c>
      <c r="H56" s="54" t="str">
        <f>COM_Balance!$C$34</f>
        <v>CHPS</v>
      </c>
      <c r="I56" s="73"/>
      <c r="J56" s="92"/>
      <c r="K56" s="111">
        <f>IF(M56=0,0,$M$45/M56)</f>
        <v>0.90303494058038614</v>
      </c>
      <c r="L56" s="156">
        <f t="shared" si="1"/>
        <v>5</v>
      </c>
      <c r="M56" s="112">
        <f>$M$45+COM_CW!$I$39</f>
        <v>2.6282877535628709E-4</v>
      </c>
      <c r="N56" s="79">
        <f>(M56*W56/P56)/Q56</f>
        <v>0</v>
      </c>
      <c r="O56" s="70">
        <v>20</v>
      </c>
      <c r="P56" s="72">
        <v>0.25</v>
      </c>
      <c r="Q56" s="117">
        <v>31.536000000000001</v>
      </c>
      <c r="S56" s="90">
        <f>IF(U56=0,0,N56*Q56*P56/U56)*K56</f>
        <v>0</v>
      </c>
      <c r="T56" s="90">
        <f>COM_Balance!H34*F56</f>
        <v>0</v>
      </c>
      <c r="U56" s="124">
        <f>J56</f>
        <v>0</v>
      </c>
      <c r="V56" s="73"/>
      <c r="W56" s="76">
        <f>IF($T$71=0,0,U56*T56/SUMPRODUCT($T$45:$T$69,$U$45:$U$69)*$W$71)</f>
        <v>0</v>
      </c>
    </row>
    <row r="57" spans="2:23" s="16" customFormat="1" ht="15.75" thickBot="1">
      <c r="B57" s="54"/>
      <c r="C57" s="54"/>
      <c r="D57" s="54"/>
      <c r="E57" s="54"/>
      <c r="F57" s="54"/>
      <c r="G57" s="54"/>
      <c r="H57" s="54" t="str">
        <f>COM_Balance!$C$40</f>
        <v>CWPS</v>
      </c>
      <c r="I57" s="73"/>
      <c r="J57" s="92"/>
      <c r="K57" s="109"/>
      <c r="L57" s="156" t="str">
        <f t="shared" si="1"/>
        <v/>
      </c>
      <c r="M57" s="112"/>
      <c r="N57" s="115"/>
      <c r="O57" s="54"/>
      <c r="P57" s="54"/>
      <c r="Q57" s="54"/>
      <c r="S57" s="116"/>
      <c r="T57" s="116"/>
      <c r="U57" s="124"/>
      <c r="V57" s="73"/>
      <c r="W57" s="76"/>
    </row>
    <row r="58" spans="2:23" s="16" customFormat="1" ht="15">
      <c r="B58" s="54" t="str">
        <f t="shared" si="2"/>
        <v>CHPS</v>
      </c>
      <c r="C58" s="54" t="str">
        <f>_xlfn.TEXTJOIN(",",TRUE,IF(LEFT(Regions!$C$3,1)&lt;&gt;"*",Regions!$C$3,""),IF(LEFT(Regions!$D$3,1)&lt;&gt;"*",Regions!$D$3,""))</f>
        <v>IE,National</v>
      </c>
      <c r="D58" s="54" t="str">
        <f>LEFT(B58,5)&amp;RIGHT(G58,3)&amp;"_00_Boi"</f>
        <v>CHPSBGS_00_Boi</v>
      </c>
      <c r="E58" s="106" t="str">
        <f>"Existing commercial - "&amp;RIGHT(B58,2)&amp;" Space Heat "&amp;RIGHT(G58,3)&amp;" Boiler"</f>
        <v>Existing commercial - PS Space Heat BGS Boiler</v>
      </c>
      <c r="F58" s="118">
        <v>1</v>
      </c>
      <c r="G58" s="54" t="str">
        <f>COM_Balance!$I$13</f>
        <v>COMBGS</v>
      </c>
      <c r="H58" s="54"/>
      <c r="I58" s="308">
        <v>0.8</v>
      </c>
      <c r="J58" s="92"/>
      <c r="K58" s="109"/>
      <c r="L58" s="156"/>
      <c r="M58" s="112">
        <f>$M$13</f>
        <v>1.8629318940930191E-4</v>
      </c>
      <c r="N58" s="79">
        <f>(M58*W58/P58)/Q58</f>
        <v>3.0771630692251219E-2</v>
      </c>
      <c r="O58" s="70">
        <v>20</v>
      </c>
      <c r="P58" s="72">
        <v>0.15</v>
      </c>
      <c r="Q58" s="117">
        <v>31.536000000000001</v>
      </c>
      <c r="S58" s="90">
        <f>IF(U58=0,0,N58*Q58*P58/U58)</f>
        <v>0.18195265228328145</v>
      </c>
      <c r="T58" s="90">
        <f>COM_Balance!$I$34*F58</f>
        <v>0.18195265228328145</v>
      </c>
      <c r="U58" s="124">
        <f>I58</f>
        <v>0.8</v>
      </c>
      <c r="V58" s="73"/>
      <c r="W58" s="76">
        <f>IF($T$39=0,0,U58*T58/SUMPRODUCT($T$13:$T$37,$U$13:$U$37)*$W$39)</f>
        <v>781.36040446874779</v>
      </c>
    </row>
    <row r="59" spans="2:23" s="16" customFormat="1" ht="15.75" thickBot="1">
      <c r="B59" s="54" t="str">
        <f t="shared" si="2"/>
        <v>CHPS</v>
      </c>
      <c r="C59" s="54" t="str">
        <f>_xlfn.TEXTJOIN(",",TRUE,IF(LEFT(Regions!$C$3,1)&lt;&gt;"*",Regions!$C$3,""),IF(LEFT(Regions!$D$3,1)&lt;&gt;"*",Regions!$D$3,""))</f>
        <v>IE,National</v>
      </c>
      <c r="D59" s="54" t="str">
        <f>LEFT(B59,5)&amp;RIGHT(G59,3)&amp;"_00_DBoi"</f>
        <v>CHPSBGS_00_DBoi</v>
      </c>
      <c r="E59" s="106" t="str">
        <f>"Existing commercial - "&amp;RIGHT(B59,2)&amp;" Space Heat "&amp;RIGHT(G59,3)&amp;" Dual Boiler"</f>
        <v>Existing commercial - PS Space Heat BGS Dual Boiler</v>
      </c>
      <c r="F59" s="119">
        <f>1-F58</f>
        <v>0</v>
      </c>
      <c r="G59" s="54" t="str">
        <f>COM_Balance!$I$13</f>
        <v>COMBGS</v>
      </c>
      <c r="H59" s="54" t="str">
        <f>COM_Balance!$C$34</f>
        <v>CHPS</v>
      </c>
      <c r="I59" s="73"/>
      <c r="J59" s="92"/>
      <c r="K59" s="111">
        <f>IF(M59=0,0,$M$13/M59)</f>
        <v>0.90607580179594971</v>
      </c>
      <c r="L59" s="156">
        <f>IF(K59="","",5)</f>
        <v>5</v>
      </c>
      <c r="M59" s="112">
        <f>$M$13+COM_CW!$I$13</f>
        <v>2.05604419674432E-4</v>
      </c>
      <c r="N59" s="79">
        <f>(M59*W59/P59)/Q59</f>
        <v>0</v>
      </c>
      <c r="O59" s="70">
        <v>20</v>
      </c>
      <c r="P59" s="72">
        <v>0.25</v>
      </c>
      <c r="Q59" s="117">
        <v>31.536000000000001</v>
      </c>
      <c r="S59" s="90">
        <f>IF(U59=0,0,N59*Q59*P59/U59)*K59</f>
        <v>0</v>
      </c>
      <c r="T59" s="90">
        <f>COM_Balance!$I$34*F59</f>
        <v>0</v>
      </c>
      <c r="U59" s="124">
        <f>J59</f>
        <v>0</v>
      </c>
      <c r="V59" s="73"/>
      <c r="W59" s="76">
        <f>IF($T$39=0,0,U59*T59/SUMPRODUCT($T$13:$T$37,$U$13:$U$37)*$W$39)</f>
        <v>0</v>
      </c>
    </row>
    <row r="60" spans="2:23" s="16" customFormat="1" ht="15">
      <c r="B60" s="54"/>
      <c r="C60" s="54"/>
      <c r="D60" s="54"/>
      <c r="E60" s="54"/>
      <c r="F60" s="54"/>
      <c r="G60" s="54"/>
      <c r="H60" s="54" t="str">
        <f>COM_Balance!$C$40</f>
        <v>CWPS</v>
      </c>
      <c r="I60" s="73"/>
      <c r="J60" s="92"/>
      <c r="K60" s="109"/>
      <c r="L60" s="156"/>
      <c r="M60" s="112"/>
      <c r="N60" s="115"/>
      <c r="O60" s="54"/>
      <c r="P60" s="54"/>
      <c r="Q60" s="54"/>
      <c r="S60" s="116"/>
      <c r="T60" s="116"/>
      <c r="U60" s="124"/>
      <c r="V60" s="73"/>
      <c r="W60" s="76"/>
    </row>
    <row r="61" spans="2:23" s="16" customFormat="1" ht="15">
      <c r="B61" s="54" t="str">
        <f t="shared" si="2"/>
        <v>CHPS</v>
      </c>
      <c r="C61" s="54" t="str">
        <f>_xlfn.TEXTJOIN(",",TRUE,IF(LEFT(Regions!$C$3,1)&lt;&gt;"*",Regions!$C$3,""),IF(LEFT(Regions!$D$3,1)&lt;&gt;"*",Regions!$D$3,""))</f>
        <v>IE,National</v>
      </c>
      <c r="D61" s="54" t="str">
        <f>LEFT(B61,5)&amp;RIGHT(G61,3)&amp;"_00"</f>
        <v>CHPSSOL_00</v>
      </c>
      <c r="E61" s="106" t="str">
        <f>"Existing commercial - "&amp;RIGHT(B61,2)&amp;" Space Heat "&amp;RIGHT(G61,3)</f>
        <v>Existing commercial - PS Space Heat SOL</v>
      </c>
      <c r="F61" s="54"/>
      <c r="G61" s="54" t="str">
        <f>COM_Balance!$J$13</f>
        <v>COMSOL</v>
      </c>
      <c r="H61" s="54"/>
      <c r="I61" s="88">
        <v>1</v>
      </c>
      <c r="J61" s="110"/>
      <c r="K61" s="109"/>
      <c r="L61" s="156" t="str">
        <f t="shared" si="1"/>
        <v/>
      </c>
      <c r="M61" s="112">
        <f>$M$45</f>
        <v>2.3734356753668038E-4</v>
      </c>
      <c r="N61" s="79">
        <f>(M61*W61/P61)/Q61</f>
        <v>0</v>
      </c>
      <c r="O61" s="70">
        <v>20</v>
      </c>
      <c r="P61" s="72">
        <v>0.15</v>
      </c>
      <c r="Q61" s="117">
        <v>31.536000000000001</v>
      </c>
      <c r="S61" s="90">
        <f>IF(U61=0,0,N61*Q61*P61/U61)</f>
        <v>0</v>
      </c>
      <c r="T61" s="90">
        <f>COM_Balance!J34</f>
        <v>0</v>
      </c>
      <c r="U61" s="124">
        <f>I61</f>
        <v>1</v>
      </c>
      <c r="V61" s="73"/>
      <c r="W61" s="76">
        <f>IF($T$71=0,0,U61*T61/SUMPRODUCT($T$45:$T$69,$U$45:$U$69)*$W$71)</f>
        <v>0</v>
      </c>
    </row>
    <row r="62" spans="2:23" s="16" customFormat="1" ht="15.75" thickBot="1">
      <c r="B62" s="54" t="str">
        <f t="shared" si="2"/>
        <v>CHPS</v>
      </c>
      <c r="C62" s="54" t="str">
        <f>_xlfn.TEXTJOIN(",",TRUE,IF(LEFT(Regions!$C$3,1)&lt;&gt;"*",Regions!$C$3,""),IF(LEFT(Regions!$D$3,1)&lt;&gt;"*",Regions!$D$3,""))</f>
        <v>IE,National</v>
      </c>
      <c r="D62" s="54" t="str">
        <f>LEFT(B62,5)&amp;RIGHT(G62,3)&amp;"_00"</f>
        <v>CHPSGEO_00</v>
      </c>
      <c r="E62" s="106" t="str">
        <f>"Existing commercial - "&amp;RIGHT(B62,2)&amp;" Space Heat "&amp;RIGHT(G62,3)</f>
        <v>Existing commercial - PS Space Heat GEO</v>
      </c>
      <c r="F62" s="54"/>
      <c r="G62" s="54" t="str">
        <f>COM_Balance!$K$13</f>
        <v>COMGEO</v>
      </c>
      <c r="H62" s="54"/>
      <c r="I62" s="88">
        <v>1</v>
      </c>
      <c r="J62" s="110"/>
      <c r="K62" s="109"/>
      <c r="L62" s="156" t="str">
        <f t="shared" si="1"/>
        <v/>
      </c>
      <c r="M62" s="112">
        <f>$M$45</f>
        <v>2.3734356753668038E-4</v>
      </c>
      <c r="N62" s="79">
        <f>(M62*W62/P62)/Q62</f>
        <v>0</v>
      </c>
      <c r="O62" s="70">
        <v>20</v>
      </c>
      <c r="P62" s="72">
        <v>0.15</v>
      </c>
      <c r="Q62" s="117">
        <v>31.536000000000001</v>
      </c>
      <c r="S62" s="90">
        <f>IF(U62=0,0,N62*Q62*P62/U62)</f>
        <v>0</v>
      </c>
      <c r="T62" s="90">
        <f>COM_Balance!K34</f>
        <v>0</v>
      </c>
      <c r="U62" s="124">
        <f>I62</f>
        <v>1</v>
      </c>
      <c r="V62" s="73"/>
      <c r="W62" s="76">
        <f>IF($T$71=0,0,U62*T62/SUMPRODUCT($T$45:$T$69,$U$45:$U$69)*$W$71)</f>
        <v>0</v>
      </c>
    </row>
    <row r="63" spans="2:23" s="16" customFormat="1" ht="15">
      <c r="B63" s="54" t="str">
        <f t="shared" si="2"/>
        <v>CHPS</v>
      </c>
      <c r="C63" s="54" t="str">
        <f>_xlfn.TEXTJOIN(",",TRUE,IF(LEFT(Regions!$C$3,1)&lt;&gt;"*",Regions!$C$3,""),IF(LEFT(Regions!$D$3,1)&lt;&gt;"*",Regions!$D$3,""))</f>
        <v>IE,National</v>
      </c>
      <c r="D63" s="54" t="str">
        <f>LEFT(B63,5)&amp;RIGHT(G63,3)&amp;"_00_Rad"</f>
        <v>CHPSELC_00_Rad</v>
      </c>
      <c r="E63" s="106" t="str">
        <f>"Existing commercial - "&amp;RIGHT(B63,2)&amp;" Space Heat "&amp;RIGHT(G63,3)&amp;" Radiator"</f>
        <v>Existing commercial - PS Space Heat ELC Radiator</v>
      </c>
      <c r="F63" s="118">
        <v>1</v>
      </c>
      <c r="G63" s="54" t="str">
        <f>COM_Balance!$L$13</f>
        <v>COMELC</v>
      </c>
      <c r="H63" s="54"/>
      <c r="I63" s="88">
        <v>0.89</v>
      </c>
      <c r="J63" s="110"/>
      <c r="K63" s="109"/>
      <c r="L63" s="156" t="str">
        <f t="shared" si="1"/>
        <v/>
      </c>
      <c r="M63" s="112">
        <f>$M$45</f>
        <v>2.3734356753668038E-4</v>
      </c>
      <c r="N63" s="79">
        <f>(M63*W63/P63)/Q63</f>
        <v>0.21349004052723441</v>
      </c>
      <c r="O63" s="70">
        <v>20</v>
      </c>
      <c r="P63" s="72">
        <v>0.15</v>
      </c>
      <c r="Q63" s="117">
        <v>31.536000000000001</v>
      </c>
      <c r="S63" s="90">
        <f>IF(U63=0,0,N63*Q63*P63/U63)</f>
        <v>1.1347115592247525</v>
      </c>
      <c r="T63" s="90">
        <f>COM_Balance!L34*F63</f>
        <v>1.1347115592247525</v>
      </c>
      <c r="U63" s="124">
        <f>I63</f>
        <v>0.89</v>
      </c>
      <c r="V63" s="73"/>
      <c r="W63" s="76">
        <f>IF($T$71=0,0,U63*T63/SUMPRODUCT($T$45:$T$69,$U$45:$U$69)*$W$71)</f>
        <v>4254.9848651531511</v>
      </c>
    </row>
    <row r="64" spans="2:23" s="16" customFormat="1" ht="15">
      <c r="B64" s="54" t="str">
        <f t="shared" si="2"/>
        <v>CHPS</v>
      </c>
      <c r="C64" s="54" t="str">
        <f>_xlfn.TEXTJOIN(",",TRUE,IF(LEFT(Regions!$C$3,1)&lt;&gt;"*",Regions!$C$3,""),IF(LEFT(Regions!$D$3,1)&lt;&gt;"*",Regions!$D$3,""))</f>
        <v>IE,National</v>
      </c>
      <c r="D64" s="54" t="str">
        <f>LEFT(B64,5)&amp;RIGHT(G64,3)&amp;"_00_HP"</f>
        <v>CHPSELC_00_HP</v>
      </c>
      <c r="E64" s="106" t="str">
        <f>"Existing commercial - "&amp;RIGHT(B64,2)&amp;" Space Heat "&amp;RIGHT(G64,3)&amp;" Heat Pump"</f>
        <v>Existing commercial - PS Space Heat ELC Heat Pump</v>
      </c>
      <c r="F64" s="120"/>
      <c r="G64" s="54" t="str">
        <f>COM_Balance!$L$13</f>
        <v>COMELC</v>
      </c>
      <c r="H64" s="54" t="str">
        <f>COM_Balance!$C$34</f>
        <v>CHPS</v>
      </c>
      <c r="I64" s="73"/>
      <c r="J64" s="92">
        <v>4</v>
      </c>
      <c r="K64" s="111">
        <f>IF(M64=0,0,$M$45/M64)</f>
        <v>0.40061556959790995</v>
      </c>
      <c r="L64" s="156">
        <f t="shared" si="1"/>
        <v>5</v>
      </c>
      <c r="M64" s="112">
        <f>$M$45+COM_CC!$K$30</f>
        <v>5.9244718764899103E-4</v>
      </c>
      <c r="N64" s="79">
        <f>(M64*W64/P64)/Q64</f>
        <v>0</v>
      </c>
      <c r="O64" s="70">
        <v>20</v>
      </c>
      <c r="P64" s="72">
        <v>0.15</v>
      </c>
      <c r="Q64" s="117">
        <v>31.536000000000001</v>
      </c>
      <c r="S64" s="90">
        <f>IF(U64=0,0,N64*Q64*P64/U64)*K64</f>
        <v>0</v>
      </c>
      <c r="T64" s="90">
        <f>COM_Balance!L34*F64</f>
        <v>0</v>
      </c>
      <c r="U64" s="124">
        <f>J64</f>
        <v>4</v>
      </c>
      <c r="V64" s="73"/>
      <c r="W64" s="76">
        <f>IF($T$71=0,0,U64*T64/SUMPRODUCT($T$45:$T$69,$U$45:$U$69)*$W$71)</f>
        <v>0</v>
      </c>
    </row>
    <row r="65" spans="2:23" s="16" customFormat="1" ht="15">
      <c r="B65" s="54"/>
      <c r="C65" s="54"/>
      <c r="D65" s="54"/>
      <c r="E65" s="54"/>
      <c r="F65" s="120"/>
      <c r="G65" s="54"/>
      <c r="H65" s="54" t="str">
        <f>COM_Balance!$C$37</f>
        <v>CCPS</v>
      </c>
      <c r="I65" s="73"/>
      <c r="J65" s="92">
        <v>3.2</v>
      </c>
      <c r="K65" s="109"/>
      <c r="L65" s="156" t="str">
        <f t="shared" si="1"/>
        <v/>
      </c>
      <c r="M65" s="112"/>
      <c r="N65" s="115"/>
      <c r="O65" s="54"/>
      <c r="P65" s="54"/>
      <c r="Q65" s="54"/>
      <c r="S65" s="116"/>
      <c r="T65" s="116"/>
      <c r="U65" s="124"/>
      <c r="V65" s="73"/>
      <c r="W65" s="76"/>
    </row>
    <row r="66" spans="2:23" s="16" customFormat="1" ht="15.75" thickBot="1">
      <c r="B66" s="54" t="str">
        <f t="shared" si="2"/>
        <v>CHPS</v>
      </c>
      <c r="C66" s="54" t="str">
        <f>_xlfn.TEXTJOIN(",",TRUE,IF(LEFT(Regions!$C$3,1)&lt;&gt;"*",Regions!$C$3,""),IF(LEFT(Regions!$D$3,1)&lt;&gt;"*",Regions!$D$3,""))</f>
        <v>IE,National</v>
      </c>
      <c r="D66" s="54" t="str">
        <f>LEFT(B66,5)&amp;RIGHT(G66,3)&amp;"_00_DBoi"</f>
        <v>CHPSELC_00_DBoi</v>
      </c>
      <c r="E66" s="106" t="str">
        <f>"Existing commercial - "&amp;RIGHT(B66,2)&amp;" Space Heat "&amp;RIGHT(G66,3)&amp;" Dual Boiler"</f>
        <v>Existing commercial - PS Space Heat ELC Dual Boiler</v>
      </c>
      <c r="F66" s="119">
        <f>1-SUM(F63:F64)</f>
        <v>0</v>
      </c>
      <c r="G66" s="54" t="str">
        <f>COM_Balance!$L$13</f>
        <v>COMELC</v>
      </c>
      <c r="H66" s="54" t="str">
        <f>COM_Balance!$C$34</f>
        <v>CHPS</v>
      </c>
      <c r="I66" s="73"/>
      <c r="J66" s="92"/>
      <c r="K66" s="111">
        <f>IF(M66=0,0,$M$45/M66)</f>
        <v>0.90303494058038614</v>
      </c>
      <c r="L66" s="156">
        <f t="shared" si="1"/>
        <v>5</v>
      </c>
      <c r="M66" s="112">
        <f>$M$45+COM_CW!$I$39</f>
        <v>2.6282877535628709E-4</v>
      </c>
      <c r="N66" s="79">
        <f>(M66*W66/P66)/Q66</f>
        <v>0</v>
      </c>
      <c r="O66" s="70">
        <v>20</v>
      </c>
      <c r="P66" s="72">
        <v>0.25</v>
      </c>
      <c r="Q66" s="117">
        <v>31.536000000000001</v>
      </c>
      <c r="S66" s="90">
        <f>IF(U66=0,0,N66*Q66*P66/U66)*K66</f>
        <v>0</v>
      </c>
      <c r="T66" s="90">
        <f>COM_Balance!L34*F66</f>
        <v>0</v>
      </c>
      <c r="U66" s="124">
        <f>J66</f>
        <v>0</v>
      </c>
      <c r="V66" s="73"/>
      <c r="W66" s="76">
        <f>IF($T$71=0,0,U66*T66/SUMPRODUCT($T$45:$T$69,$U$45:$U$69)*$W$71)</f>
        <v>0</v>
      </c>
    </row>
    <row r="67" spans="2:23" s="16" customFormat="1" ht="15">
      <c r="B67" s="54"/>
      <c r="C67" s="54"/>
      <c r="D67" s="54"/>
      <c r="E67" s="54"/>
      <c r="F67" s="57"/>
      <c r="G67" s="54"/>
      <c r="H67" s="54" t="str">
        <f>COM_Balance!$C$40</f>
        <v>CWPS</v>
      </c>
      <c r="I67" s="73"/>
      <c r="J67" s="92"/>
      <c r="K67" s="109"/>
      <c r="L67" s="156" t="str">
        <f t="shared" si="1"/>
        <v/>
      </c>
      <c r="M67" s="112"/>
      <c r="N67" s="115"/>
      <c r="O67" s="54"/>
      <c r="P67" s="54"/>
      <c r="Q67" s="54"/>
      <c r="S67" s="116"/>
      <c r="T67" s="116"/>
      <c r="U67" s="124"/>
      <c r="V67" s="73"/>
      <c r="W67" s="76"/>
    </row>
    <row r="68" spans="2:23" s="16" customFormat="1" ht="15">
      <c r="B68" s="54" t="str">
        <f t="shared" si="2"/>
        <v>CHPS</v>
      </c>
      <c r="C68" s="54" t="str">
        <f>_xlfn.TEXTJOIN(",",TRUE,IF(LEFT(Regions!$C$3,1)&lt;&gt;"*",Regions!$C$3,""),IF(LEFT(Regions!$D$3,1)&lt;&gt;"*",Regions!$D$3,""))</f>
        <v>IE,National</v>
      </c>
      <c r="D68" s="54" t="str">
        <f>LEFT(B68,5)&amp;RIGHT(G68,3)&amp;"_00_DH"</f>
        <v>CHPSHET_00_DH</v>
      </c>
      <c r="E68" s="106" t="str">
        <f>"Existing commercial - "&amp;RIGHT(B68,2)&amp;" Space Heat "&amp;RIGHT(G68,3)&amp;" Heat Exchanger"</f>
        <v>Existing commercial - PS Space Heat HET Heat Exchanger</v>
      </c>
      <c r="F68" s="57"/>
      <c r="G68" s="54" t="str">
        <f>COM_Balance!$M$13</f>
        <v>COMHET</v>
      </c>
      <c r="H68" s="54" t="str">
        <f>COM_Balance!$C$34</f>
        <v>CHPS</v>
      </c>
      <c r="I68" s="113"/>
      <c r="J68" s="92">
        <v>0.95</v>
      </c>
      <c r="K68" s="111">
        <f>IF(M68=0,0,$M$45/M68)</f>
        <v>0.90303494058038614</v>
      </c>
      <c r="L68" s="156">
        <f t="shared" si="1"/>
        <v>5</v>
      </c>
      <c r="M68" s="112">
        <f>$M$45+COM_CW!$I$39</f>
        <v>2.6282877535628709E-4</v>
      </c>
      <c r="N68" s="93">
        <f>(M68*W68/P68)/Q68</f>
        <v>0</v>
      </c>
      <c r="O68" s="71">
        <v>20</v>
      </c>
      <c r="P68" s="72">
        <v>0.25</v>
      </c>
      <c r="Q68" s="54">
        <v>31.536000000000001</v>
      </c>
      <c r="S68" s="90">
        <f>IF(U68=0,0,N68*Q68*P68/U68)*K68</f>
        <v>0</v>
      </c>
      <c r="T68" s="90">
        <f>COM_Balance!M34</f>
        <v>0</v>
      </c>
      <c r="U68" s="124">
        <f>J68</f>
        <v>0.95</v>
      </c>
      <c r="V68" s="73"/>
      <c r="W68" s="76">
        <f>IF($T$71=0,0,U68*T68/SUMPRODUCT($T$45:$T$69,$U$45:$U$69)*$W$71)</f>
        <v>0</v>
      </c>
    </row>
    <row r="69" spans="2:23" s="16" customFormat="1" ht="15">
      <c r="B69" s="107"/>
      <c r="C69" s="107"/>
      <c r="D69" s="54"/>
      <c r="E69" s="57"/>
      <c r="F69" s="57"/>
      <c r="G69" s="54"/>
      <c r="H69" s="54" t="str">
        <f>COM_Balance!$C$40</f>
        <v>CWPS</v>
      </c>
      <c r="I69" s="113"/>
      <c r="J69" s="92">
        <v>0.9</v>
      </c>
      <c r="K69" s="110"/>
      <c r="L69" s="156" t="str">
        <f t="shared" si="1"/>
        <v/>
      </c>
      <c r="M69" s="74"/>
      <c r="N69" s="74"/>
      <c r="O69" s="74"/>
      <c r="P69" s="74"/>
      <c r="Q69" s="74"/>
      <c r="S69" s="74"/>
      <c r="T69" s="74"/>
      <c r="U69" s="124"/>
      <c r="V69" s="73"/>
      <c r="W69" s="76"/>
    </row>
    <row r="70" spans="2:23" s="16" customFormat="1" ht="15">
      <c r="B70" s="107" t="s">
        <v>23</v>
      </c>
      <c r="C70" s="107"/>
      <c r="D70" s="54"/>
      <c r="E70" s="54"/>
      <c r="F70" s="54"/>
      <c r="G70" s="54"/>
      <c r="H70" s="54"/>
      <c r="I70" s="54"/>
      <c r="J70" s="54"/>
      <c r="K70" s="54"/>
      <c r="L70" s="156" t="str">
        <f t="shared" si="1"/>
        <v/>
      </c>
      <c r="M70" s="73"/>
      <c r="N70" s="76"/>
      <c r="O70" s="54"/>
      <c r="P70" s="54"/>
      <c r="Q70" s="54"/>
      <c r="S70" s="76"/>
      <c r="T70" s="54"/>
      <c r="U70" s="124"/>
      <c r="V70" s="73"/>
      <c r="W70" s="54"/>
    </row>
    <row r="71" spans="2:23" s="16" customFormat="1" ht="15">
      <c r="B71" s="108" t="s">
        <v>83</v>
      </c>
      <c r="C71" s="108"/>
      <c r="D71" s="54"/>
      <c r="E71" s="54"/>
      <c r="F71" s="54"/>
      <c r="G71" s="54"/>
      <c r="H71" s="54"/>
      <c r="I71" s="54"/>
      <c r="J71" s="54"/>
      <c r="K71" s="54"/>
      <c r="L71" s="156" t="str">
        <f t="shared" si="1"/>
        <v/>
      </c>
      <c r="M71" s="73"/>
      <c r="N71" s="115">
        <f>SUM(N45:N69)</f>
        <v>2.4276887225003536</v>
      </c>
      <c r="O71" s="54"/>
      <c r="P71" s="54"/>
      <c r="Q71" s="54"/>
      <c r="S71" s="76">
        <f>SUM(S45:S69)</f>
        <v>13.970140291087755</v>
      </c>
      <c r="T71" s="76">
        <f>SUM(T45:T69)</f>
        <v>13.970140291087752</v>
      </c>
      <c r="U71" s="124"/>
      <c r="V71" s="73"/>
      <c r="W71" s="115">
        <f>COM_Balance!C63</f>
        <v>48385.295848141664</v>
      </c>
    </row>
    <row r="72" spans="2:23" s="16" customFormat="1" ht="15">
      <c r="U72" s="94"/>
    </row>
    <row r="73" spans="2:23" s="16" customFormat="1" ht="15">
      <c r="T73" s="94"/>
    </row>
    <row r="74" spans="2:23" s="16" customFormat="1" ht="15">
      <c r="T74" s="94"/>
    </row>
    <row r="75" spans="2:23" s="16" customFormat="1" ht="15">
      <c r="T75" s="94"/>
    </row>
    <row r="76" spans="2:23" s="16" customFormat="1" ht="15">
      <c r="T76" s="94"/>
    </row>
    <row r="77" spans="2:23" s="16" customFormat="1" ht="15">
      <c r="T77" s="94"/>
    </row>
    <row r="78" spans="2:23" s="16" customFormat="1" ht="15">
      <c r="T78" s="94"/>
    </row>
    <row r="79" spans="2:23" s="16" customFormat="1" ht="15">
      <c r="T79" s="94"/>
    </row>
    <row r="80" spans="2:23" s="16" customFormat="1" ht="15">
      <c r="T80" s="94"/>
    </row>
    <row r="81" spans="20:20" s="16" customFormat="1" ht="15">
      <c r="T81" s="94"/>
    </row>
    <row r="82" spans="20:20" s="16" customFormat="1" ht="15">
      <c r="T82" s="94"/>
    </row>
    <row r="83" spans="20:20" s="16" customFormat="1" ht="15">
      <c r="T83" s="94"/>
    </row>
    <row r="84" spans="20:20" s="16" customFormat="1" ht="15">
      <c r="T84" s="94"/>
    </row>
    <row r="85" spans="20:20" s="16" customFormat="1" ht="15">
      <c r="T85" s="94"/>
    </row>
    <row r="86" spans="20:20" s="16" customFormat="1" ht="15">
      <c r="T86" s="94"/>
    </row>
    <row r="87" spans="20:20" s="16" customFormat="1" ht="15">
      <c r="T87" s="94"/>
    </row>
    <row r="88" spans="20:20" s="16" customFormat="1" ht="15">
      <c r="T88" s="94"/>
    </row>
    <row r="89" spans="20:20" s="16" customFormat="1" ht="15">
      <c r="T89" s="94"/>
    </row>
    <row r="90" spans="20:20" s="16" customFormat="1" ht="15">
      <c r="T90" s="94"/>
    </row>
    <row r="91" spans="20:20" s="16" customFormat="1" ht="15">
      <c r="T91" s="94"/>
    </row>
    <row r="92" spans="20:20" s="16" customFormat="1" ht="15">
      <c r="T92" s="94"/>
    </row>
    <row r="93" spans="20:20" s="16" customFormat="1" ht="15">
      <c r="T93" s="94"/>
    </row>
    <row r="94" spans="20:20" s="16" customFormat="1" ht="15">
      <c r="T94" s="94"/>
    </row>
    <row r="95" spans="20:20" s="16" customFormat="1" ht="15">
      <c r="T95" s="94"/>
    </row>
    <row r="96" spans="20:20" s="16" customFormat="1" ht="15">
      <c r="T96" s="94"/>
    </row>
    <row r="97" spans="20:20" s="16" customFormat="1" ht="15">
      <c r="T97" s="94"/>
    </row>
    <row r="98" spans="20:20" s="16" customFormat="1" ht="15">
      <c r="T98" s="94"/>
    </row>
    <row r="99" spans="20:20" s="16" customFormat="1" ht="15">
      <c r="T99" s="94"/>
    </row>
    <row r="100" spans="20:20" s="16" customFormat="1" ht="15">
      <c r="T100" s="94"/>
    </row>
    <row r="101" spans="20:20" s="16" customFormat="1" ht="15">
      <c r="T101" s="94"/>
    </row>
    <row r="102" spans="20:20" s="16" customFormat="1" ht="15">
      <c r="T102" s="94"/>
    </row>
    <row r="103" spans="20:20" s="16" customFormat="1" ht="15">
      <c r="T103" s="94"/>
    </row>
    <row r="104" spans="20:20" s="16" customFormat="1" ht="15">
      <c r="T104" s="94"/>
    </row>
    <row r="105" spans="20:20" s="16" customFormat="1" ht="15">
      <c r="T105" s="94"/>
    </row>
    <row r="106" spans="20:20" s="16" customFormat="1" ht="15">
      <c r="T106" s="94"/>
    </row>
    <row r="107" spans="20:20" s="16" customFormat="1" ht="15">
      <c r="T107" s="94"/>
    </row>
    <row r="108" spans="20:20" s="16" customFormat="1" ht="15">
      <c r="T108" s="94"/>
    </row>
    <row r="109" spans="20:20" s="16" customFormat="1" ht="15">
      <c r="T109" s="94"/>
    </row>
    <row r="110" spans="20:20" s="16" customFormat="1" ht="15">
      <c r="T110" s="94"/>
    </row>
    <row r="111" spans="20:20" s="16" customFormat="1" ht="15">
      <c r="T111" s="94"/>
    </row>
    <row r="112" spans="20:20" s="16" customFormat="1" ht="15">
      <c r="T112" s="94"/>
    </row>
    <row r="113" spans="20:20" s="16" customFormat="1" ht="15">
      <c r="T113" s="94"/>
    </row>
    <row r="114" spans="20:20" s="16" customFormat="1" ht="15">
      <c r="T114" s="94"/>
    </row>
    <row r="115" spans="20:20" s="16" customFormat="1" ht="15">
      <c r="T115" s="94"/>
    </row>
    <row r="116" spans="20:20" s="16" customFormat="1" ht="15">
      <c r="T116" s="94"/>
    </row>
    <row r="117" spans="20:20" s="16" customFormat="1" ht="15">
      <c r="T117" s="94"/>
    </row>
    <row r="118" spans="20:20" s="16" customFormat="1" ht="15">
      <c r="T118" s="94"/>
    </row>
    <row r="119" spans="20:20" s="16" customFormat="1" ht="15">
      <c r="T119" s="94"/>
    </row>
    <row r="120" spans="20:20" s="16" customFormat="1" ht="15">
      <c r="T120" s="94"/>
    </row>
    <row r="121" spans="20:20" s="16" customFormat="1" ht="15">
      <c r="T121" s="94"/>
    </row>
    <row r="122" spans="20:20" s="16" customFormat="1" ht="15">
      <c r="T122" s="94"/>
    </row>
    <row r="123" spans="20:20" s="16" customFormat="1" ht="15">
      <c r="T123" s="94"/>
    </row>
    <row r="124" spans="20:20" s="16" customFormat="1" ht="15">
      <c r="T124" s="94"/>
    </row>
    <row r="125" spans="20:20" s="16" customFormat="1" ht="15">
      <c r="T125" s="94"/>
    </row>
    <row r="126" spans="20:20" s="16" customFormat="1" ht="15">
      <c r="T126" s="94"/>
    </row>
    <row r="127" spans="20:20" s="16" customFormat="1" ht="15">
      <c r="T127" s="94"/>
    </row>
    <row r="128" spans="20:20" s="16" customFormat="1" ht="15">
      <c r="T128" s="94"/>
    </row>
    <row r="129" spans="20:20" s="16" customFormat="1" ht="15">
      <c r="T129" s="94"/>
    </row>
    <row r="130" spans="20:20" s="16" customFormat="1" ht="15">
      <c r="T130" s="94"/>
    </row>
    <row r="131" spans="20:20" s="16" customFormat="1" ht="15">
      <c r="T131" s="94"/>
    </row>
    <row r="132" spans="20:20" s="16" customFormat="1" ht="15">
      <c r="T132" s="94"/>
    </row>
    <row r="133" spans="20:20" s="16" customFormat="1" ht="15">
      <c r="T133" s="94"/>
    </row>
    <row r="134" spans="20:20" s="16" customFormat="1" ht="15">
      <c r="T134" s="94"/>
    </row>
    <row r="135" spans="20:20" s="16" customFormat="1" ht="15">
      <c r="T135" s="94"/>
    </row>
    <row r="136" spans="20:20" s="16" customFormat="1" ht="15">
      <c r="T136" s="94"/>
    </row>
    <row r="137" spans="20:20" s="16" customFormat="1" ht="15">
      <c r="T137" s="94"/>
    </row>
    <row r="138" spans="20:20" s="16" customFormat="1" ht="15">
      <c r="T138" s="94"/>
    </row>
    <row r="139" spans="20:20" s="16" customFormat="1" ht="15">
      <c r="T139" s="94"/>
    </row>
    <row r="140" spans="20:20" s="16" customFormat="1" ht="15">
      <c r="T140" s="94"/>
    </row>
    <row r="141" spans="20:20" s="16" customFormat="1" ht="15">
      <c r="T141" s="94"/>
    </row>
    <row r="142" spans="20:20" s="16" customFormat="1" ht="15">
      <c r="T142" s="94"/>
    </row>
    <row r="143" spans="20:20" s="16" customFormat="1" ht="15">
      <c r="T143" s="94"/>
    </row>
    <row r="144" spans="20:20" s="16" customFormat="1" ht="15">
      <c r="T144" s="94"/>
    </row>
    <row r="145" spans="20:20" s="16" customFormat="1" ht="15">
      <c r="T145" s="94"/>
    </row>
    <row r="146" spans="20:20" s="16" customFormat="1" ht="15">
      <c r="T146" s="94"/>
    </row>
    <row r="147" spans="20:20" s="16" customFormat="1" ht="15">
      <c r="T147" s="94"/>
    </row>
    <row r="148" spans="20:20" s="16" customFormat="1" ht="15">
      <c r="T148" s="94"/>
    </row>
    <row r="149" spans="20:20" s="16" customFormat="1" ht="15">
      <c r="T149" s="94"/>
    </row>
    <row r="150" spans="20:20" s="16" customFormat="1" ht="15">
      <c r="T150" s="94"/>
    </row>
    <row r="151" spans="20:20" s="16" customFormat="1" ht="15">
      <c r="T151" s="94"/>
    </row>
    <row r="152" spans="20:20" s="16" customFormat="1" ht="15">
      <c r="T152" s="94"/>
    </row>
    <row r="153" spans="20:20" s="16" customFormat="1" ht="15">
      <c r="T153" s="94"/>
    </row>
    <row r="154" spans="20:20" s="16" customFormat="1" ht="15">
      <c r="T154" s="94"/>
    </row>
    <row r="155" spans="20:20" s="16" customFormat="1" ht="15">
      <c r="T155" s="94"/>
    </row>
    <row r="156" spans="20:20" s="16" customFormat="1" ht="15">
      <c r="T156" s="94"/>
    </row>
    <row r="157" spans="20:20" s="16" customFormat="1" ht="15">
      <c r="T157" s="94"/>
    </row>
    <row r="158" spans="20:20" s="16" customFormat="1" ht="15">
      <c r="T158" s="94"/>
    </row>
    <row r="159" spans="20:20" s="16" customFormat="1" ht="15">
      <c r="T159" s="94"/>
    </row>
    <row r="160" spans="20:20" s="16" customFormat="1" ht="15">
      <c r="T160" s="94"/>
    </row>
    <row r="161" spans="20:20" s="16" customFormat="1" ht="15">
      <c r="T161" s="94"/>
    </row>
    <row r="162" spans="20:20" s="16" customFormat="1" ht="15">
      <c r="T162" s="94"/>
    </row>
    <row r="163" spans="20:20" s="16" customFormat="1" ht="15">
      <c r="T163" s="94"/>
    </row>
    <row r="164" spans="20:20" s="16" customFormat="1" ht="15">
      <c r="T164" s="94"/>
    </row>
    <row r="165" spans="20:20" s="16" customFormat="1" ht="15">
      <c r="T165" s="94"/>
    </row>
    <row r="166" spans="20:20">
      <c r="T166" s="8"/>
    </row>
    <row r="167" spans="20:20">
      <c r="T167" s="8"/>
    </row>
    <row r="168" spans="20:20">
      <c r="T168" s="8"/>
    </row>
    <row r="169" spans="20:20">
      <c r="T169" s="8"/>
    </row>
    <row r="170" spans="20:20">
      <c r="T170" s="8"/>
    </row>
    <row r="171" spans="20:20">
      <c r="T171" s="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C000"/>
  </sheetPr>
  <dimension ref="B1:W84"/>
  <sheetViews>
    <sheetView topLeftCell="C1" zoomScale="90" zoomScaleNormal="90" workbookViewId="0">
      <selection activeCell="M39" sqref="M39"/>
    </sheetView>
  </sheetViews>
  <sheetFormatPr defaultColWidth="9.140625" defaultRowHeight="15"/>
  <cols>
    <col min="1" max="1" width="5" style="16" customWidth="1"/>
    <col min="2" max="2" width="12.85546875" style="16" customWidth="1"/>
    <col min="3" max="3" width="10.7109375" style="16" bestFit="1" customWidth="1"/>
    <col min="4" max="4" width="17.5703125" style="16" bestFit="1" customWidth="1"/>
    <col min="5" max="5" width="53.28515625" style="16" bestFit="1" customWidth="1"/>
    <col min="6" max="12" width="12.5703125" style="16" customWidth="1"/>
    <col min="13" max="13" width="12.5703125" style="1" customWidth="1"/>
    <col min="14" max="19" width="12.5703125" style="16" customWidth="1"/>
    <col min="20" max="21" width="12.5703125" style="69" customWidth="1"/>
    <col min="22" max="22" width="11.42578125" style="69" customWidth="1"/>
    <col min="23" max="255" width="11.42578125" style="16" customWidth="1"/>
    <col min="256" max="16384" width="9.140625" style="16"/>
  </cols>
  <sheetData>
    <row r="1" spans="2:23" ht="26.25">
      <c r="B1" s="83" t="s">
        <v>241</v>
      </c>
      <c r="C1" s="65"/>
      <c r="D1" s="65"/>
      <c r="E1" s="65"/>
      <c r="M1" s="16"/>
      <c r="N1" s="69"/>
      <c r="T1" s="16"/>
      <c r="W1" s="69"/>
    </row>
    <row r="2" spans="2:23">
      <c r="M2" s="16"/>
      <c r="N2" s="69"/>
      <c r="T2" s="16"/>
      <c r="W2" s="69"/>
    </row>
    <row r="3" spans="2:23" ht="18.75">
      <c r="B3" s="66" t="s">
        <v>251</v>
      </c>
      <c r="C3" s="64"/>
      <c r="D3" s="64"/>
      <c r="E3" s="64"/>
      <c r="G3" s="78" t="s">
        <v>233</v>
      </c>
      <c r="K3" s="86"/>
      <c r="M3" s="16"/>
      <c r="N3" s="69"/>
      <c r="T3" s="16"/>
      <c r="W3" s="69"/>
    </row>
    <row r="4" spans="2:23">
      <c r="B4" s="68" t="s">
        <v>602</v>
      </c>
      <c r="F4" s="75"/>
      <c r="G4" s="122" t="s">
        <v>236</v>
      </c>
      <c r="H4" s="114"/>
      <c r="J4" s="86"/>
      <c r="K4" s="87"/>
      <c r="L4" s="75"/>
      <c r="M4" s="75"/>
      <c r="N4" s="69"/>
      <c r="O4" s="75"/>
      <c r="P4" s="75"/>
      <c r="Q4" s="75"/>
      <c r="R4" s="75"/>
      <c r="S4" s="75"/>
      <c r="T4" s="16"/>
      <c r="W4" s="69"/>
    </row>
    <row r="5" spans="2:23" ht="16.5" thickBot="1">
      <c r="B5" s="96" t="s">
        <v>17</v>
      </c>
      <c r="C5" s="185" t="str">
        <f>Regions!C3</f>
        <v>IE</v>
      </c>
      <c r="D5" s="185" t="str">
        <f>Regions!D3</f>
        <v>National</v>
      </c>
      <c r="E5" s="99"/>
      <c r="F5" s="75"/>
      <c r="G5" s="121" t="s">
        <v>235</v>
      </c>
      <c r="H5" s="121"/>
      <c r="J5" s="87"/>
      <c r="K5" s="87"/>
      <c r="L5" s="86"/>
      <c r="M5" s="86"/>
      <c r="N5" s="69"/>
      <c r="O5" s="86"/>
      <c r="P5" s="86"/>
      <c r="Q5" s="86"/>
      <c r="R5" s="75"/>
      <c r="S5" s="75"/>
      <c r="T5" s="16"/>
      <c r="W5" s="69"/>
    </row>
    <row r="6" spans="2:23" ht="15.75">
      <c r="B6" s="22" t="s">
        <v>147</v>
      </c>
      <c r="C6" s="22" t="s">
        <v>10</v>
      </c>
      <c r="D6" s="188" t="str">
        <f>C6</f>
        <v>PJ</v>
      </c>
      <c r="E6" s="98" t="s">
        <v>232</v>
      </c>
      <c r="F6" s="75"/>
      <c r="G6" s="87"/>
      <c r="H6" s="87"/>
      <c r="J6" s="87"/>
      <c r="K6" s="87"/>
      <c r="L6" s="86"/>
      <c r="M6" s="86"/>
      <c r="N6" s="69"/>
      <c r="O6" s="86"/>
      <c r="P6" s="86"/>
      <c r="Q6" s="86"/>
      <c r="R6" s="75"/>
      <c r="S6" s="75"/>
      <c r="T6" s="16"/>
      <c r="W6" s="69"/>
    </row>
    <row r="7" spans="2:23">
      <c r="B7" s="54" t="str">
        <f>COM_Commodities!D32</f>
        <v>CWCS</v>
      </c>
      <c r="C7" s="179">
        <f>S13*SUM(T13:T31)</f>
        <v>1.3178746133407939</v>
      </c>
      <c r="D7" s="179">
        <f>C7</f>
        <v>1.3178746133407939</v>
      </c>
      <c r="E7" s="54" t="str">
        <f>COM_Commodities!E32</f>
        <v>Commercial water heating demand - Commercial Services</v>
      </c>
      <c r="F7" s="75"/>
      <c r="G7" s="87"/>
      <c r="H7" s="87"/>
      <c r="I7" s="87"/>
      <c r="J7" s="87"/>
      <c r="K7" s="87"/>
      <c r="L7" s="87"/>
      <c r="M7" s="87"/>
      <c r="N7" s="69"/>
      <c r="O7" s="87"/>
      <c r="P7" s="87"/>
      <c r="Q7" s="87"/>
      <c r="R7" s="136"/>
      <c r="S7" s="75"/>
      <c r="T7" s="16"/>
      <c r="W7" s="69"/>
    </row>
    <row r="8" spans="2:23">
      <c r="B8" s="54" t="str">
        <f>COM_Commodities!D33</f>
        <v>CWPS</v>
      </c>
      <c r="C8" s="179">
        <f>S39*SUM(T39:T57)</f>
        <v>1.2331093201030436</v>
      </c>
      <c r="D8" s="179">
        <f>C8</f>
        <v>1.2331093201030436</v>
      </c>
      <c r="E8" s="54" t="str">
        <f>COM_Commodities!E33</f>
        <v>Commercial water heating demand - Public Services</v>
      </c>
      <c r="F8" s="75"/>
      <c r="G8" s="87"/>
      <c r="H8" s="87"/>
      <c r="I8" s="87"/>
      <c r="J8" s="87"/>
      <c r="K8" s="87"/>
      <c r="L8" s="87"/>
      <c r="M8" s="87"/>
      <c r="N8" s="69"/>
      <c r="O8" s="87"/>
      <c r="P8" s="87"/>
      <c r="Q8" s="87"/>
      <c r="R8" s="136"/>
      <c r="S8" s="75"/>
      <c r="T8" s="16"/>
      <c r="W8" s="69"/>
    </row>
    <row r="9" spans="2:23">
      <c r="B9" s="137"/>
      <c r="C9" s="137"/>
      <c r="D9" s="137"/>
      <c r="E9" s="137"/>
      <c r="F9" s="137"/>
      <c r="M9" s="69"/>
    </row>
    <row r="10" spans="2:23" ht="18.75">
      <c r="B10" s="66" t="str">
        <f>"Base-year technologies for commercial water heating ("&amp;COM_Balance!$S$11&amp;")"</f>
        <v>Base-year technologies for commercial water heating (Commercial Services)</v>
      </c>
      <c r="C10" s="66"/>
      <c r="D10" s="64"/>
      <c r="E10" s="64"/>
      <c r="F10" s="64"/>
      <c r="G10" s="68" t="s">
        <v>79</v>
      </c>
      <c r="H10" s="101"/>
      <c r="I10" s="103"/>
      <c r="J10" s="103"/>
      <c r="K10" s="104"/>
      <c r="L10" s="103"/>
      <c r="M10" s="16"/>
      <c r="N10" s="69"/>
      <c r="O10" s="90" t="s">
        <v>237</v>
      </c>
      <c r="P10" s="90"/>
      <c r="Q10" s="90"/>
      <c r="R10" s="123" t="s">
        <v>93</v>
      </c>
      <c r="S10" s="134"/>
      <c r="T10" s="85"/>
      <c r="W10" s="69"/>
    </row>
    <row r="11" spans="2:23" ht="45.75" thickBot="1">
      <c r="B11" s="127" t="s">
        <v>22</v>
      </c>
      <c r="C11" s="127" t="s">
        <v>603</v>
      </c>
      <c r="D11" s="127" t="s">
        <v>15</v>
      </c>
      <c r="E11" s="127" t="s">
        <v>16</v>
      </c>
      <c r="F11" s="127" t="s">
        <v>39</v>
      </c>
      <c r="G11" s="127" t="s">
        <v>40</v>
      </c>
      <c r="H11" s="128" t="s">
        <v>81</v>
      </c>
      <c r="I11" s="128" t="s">
        <v>114</v>
      </c>
      <c r="J11" s="128" t="s">
        <v>239</v>
      </c>
      <c r="K11" s="128" t="s">
        <v>238</v>
      </c>
      <c r="L11" s="128" t="s">
        <v>110</v>
      </c>
      <c r="M11" s="128" t="s">
        <v>210</v>
      </c>
      <c r="N11" s="69"/>
      <c r="O11" s="125" t="s">
        <v>126</v>
      </c>
      <c r="P11" s="125" t="s">
        <v>128</v>
      </c>
      <c r="Q11" s="125" t="s">
        <v>129</v>
      </c>
      <c r="R11" s="166" t="s">
        <v>145</v>
      </c>
      <c r="S11" s="125" t="s">
        <v>99</v>
      </c>
      <c r="T11" s="125" t="s">
        <v>100</v>
      </c>
      <c r="W11" s="69"/>
    </row>
    <row r="12" spans="2:23" ht="47.25">
      <c r="B12" s="131" t="s">
        <v>234</v>
      </c>
      <c r="C12" s="131"/>
      <c r="D12" s="131"/>
      <c r="E12" s="131"/>
      <c r="F12" s="131"/>
      <c r="G12" s="131"/>
      <c r="H12" s="131"/>
      <c r="I12" s="131" t="s">
        <v>38</v>
      </c>
      <c r="J12" s="131" t="s">
        <v>113</v>
      </c>
      <c r="K12" s="131" t="s">
        <v>34</v>
      </c>
      <c r="L12" s="131" t="s">
        <v>63</v>
      </c>
      <c r="M12" s="131" t="s">
        <v>112</v>
      </c>
      <c r="N12" s="69"/>
      <c r="O12" s="133" t="s">
        <v>10</v>
      </c>
      <c r="P12" s="133" t="s">
        <v>10</v>
      </c>
      <c r="Q12" s="133" t="s">
        <v>10</v>
      </c>
      <c r="R12" s="154"/>
      <c r="S12" s="133" t="s">
        <v>38</v>
      </c>
      <c r="T12" s="133" t="s">
        <v>32</v>
      </c>
      <c r="W12" s="69"/>
    </row>
    <row r="13" spans="2:23">
      <c r="B13" s="54" t="str">
        <f t="shared" ref="B13:B21" si="0">$B$7</f>
        <v>CWCS</v>
      </c>
      <c r="C13" s="54" t="str">
        <f>_xlfn.TEXTJOIN(",",TRUE,IF(LEFT(Regions!$C$3,1)&lt;&gt;"*",Regions!$C$3,""),IF(LEFT(Regions!$D$3,1)&lt;&gt;"*",Regions!$D$3,""))</f>
        <v>IE,National</v>
      </c>
      <c r="D13" s="54" t="str">
        <f>LEFT(B13,5)&amp;RIGHT(F13,3)&amp;"_00_Fur"</f>
        <v>CWCSCOA_00_Fur</v>
      </c>
      <c r="E13" s="106" t="str">
        <f>"Existing commercial - "&amp;RIGHT(B13,2)&amp;" Water Heat "&amp;RIGHT(F13,3)&amp;" Furnace"</f>
        <v>Existing commercial - CS Water Heat COA Furnace</v>
      </c>
      <c r="F13" s="54" t="str">
        <f>COM_Balance!$D$13</f>
        <v>COMCOA</v>
      </c>
      <c r="G13" s="54"/>
      <c r="H13" s="157"/>
      <c r="I13" s="167">
        <f>S13</f>
        <v>1.9311230265130085E-5</v>
      </c>
      <c r="J13" s="164">
        <f>(I13*T13/L13)/M13</f>
        <v>0</v>
      </c>
      <c r="K13" s="72">
        <v>15</v>
      </c>
      <c r="L13" s="72">
        <v>0.15</v>
      </c>
      <c r="M13" s="117">
        <v>31.536000000000001</v>
      </c>
      <c r="N13" s="69"/>
      <c r="O13" s="90">
        <f t="shared" ref="O13:O21" si="1">IF(H13=0,0,J13*M13*L13/H13)</f>
        <v>0</v>
      </c>
      <c r="P13" s="90">
        <f>COM_Balance!D39</f>
        <v>0</v>
      </c>
      <c r="Q13" s="90">
        <f>P13</f>
        <v>0</v>
      </c>
      <c r="R13" s="124">
        <f t="shared" ref="R13:R21" si="2">H13</f>
        <v>0</v>
      </c>
      <c r="S13" s="112">
        <f>IF(T33=0,0,SUMPRODUCT(R13:R21,P13:P21)/(T33))</f>
        <v>1.9311230265130085E-5</v>
      </c>
      <c r="T13" s="76">
        <f t="shared" ref="T13:T21" si="3">IF($Q$33=0,0,R13*Q13/SUMPRODUCT($Q$13:$Q$21,$R$13:$R$21)*$T$33)</f>
        <v>0</v>
      </c>
      <c r="W13" s="69"/>
    </row>
    <row r="14" spans="2:23">
      <c r="B14" s="54" t="str">
        <f t="shared" si="0"/>
        <v>CWCS</v>
      </c>
      <c r="C14" s="54" t="str">
        <f>_xlfn.TEXTJOIN(",",TRUE,IF(LEFT(Regions!$C$3,1)&lt;&gt;"*",Regions!$C$3,""),IF(LEFT(Regions!$D$3,1)&lt;&gt;"*",Regions!$D$3,""))</f>
        <v>IE,National</v>
      </c>
      <c r="D14" s="54" t="str">
        <f>LEFT(B14,5)&amp;RIGHT(F14,3)&amp;"_00_Boi"</f>
        <v>CWCSLPG_00_Boi</v>
      </c>
      <c r="E14" s="106" t="str">
        <f>"Existing commercial - "&amp;RIGHT(B14,2)&amp;" Water Heat "&amp;RIGHT(F14,3)&amp;" Boiler"</f>
        <v>Existing commercial - CS Water Heat LPG Boiler</v>
      </c>
      <c r="F14" s="54" t="str">
        <f>COM_Balance!$E$13</f>
        <v>COMLPG</v>
      </c>
      <c r="G14" s="54"/>
      <c r="H14" s="157">
        <v>0.8</v>
      </c>
      <c r="I14" s="112">
        <f>I13</f>
        <v>1.9311230265130085E-5</v>
      </c>
      <c r="J14" s="164">
        <f t="shared" ref="J14:J21" si="4">(I14*T14/L14)/M14</f>
        <v>3.6071065727190182E-2</v>
      </c>
      <c r="K14" s="72">
        <v>15</v>
      </c>
      <c r="L14" s="72">
        <v>0.15</v>
      </c>
      <c r="M14" s="117">
        <v>31.536000000000001</v>
      </c>
      <c r="N14" s="69"/>
      <c r="O14" s="90">
        <f t="shared" si="1"/>
        <v>0.21328821164487555</v>
      </c>
      <c r="P14" s="90">
        <f>COM_Balance!E39</f>
        <v>0.21328821164487552</v>
      </c>
      <c r="Q14" s="90">
        <f>P14</f>
        <v>0.21328821164487552</v>
      </c>
      <c r="R14" s="124">
        <f t="shared" si="2"/>
        <v>0.8</v>
      </c>
      <c r="S14" s="112"/>
      <c r="T14" s="76">
        <f t="shared" si="3"/>
        <v>8835.8207619741734</v>
      </c>
      <c r="W14" s="69"/>
    </row>
    <row r="15" spans="2:23">
      <c r="B15" s="54" t="str">
        <f t="shared" si="0"/>
        <v>CWCS</v>
      </c>
      <c r="C15" s="54" t="str">
        <f>_xlfn.TEXTJOIN(",",TRUE,IF(LEFT(Regions!$C$3,1)&lt;&gt;"*",Regions!$C$3,""),IF(LEFT(Regions!$D$3,1)&lt;&gt;"*",Regions!$D$3,""))</f>
        <v>IE,National</v>
      </c>
      <c r="D15" s="54" t="str">
        <f>LEFT(B15,5)&amp;RIGHT(F15,3)&amp;"_00_Boi"</f>
        <v>CWCSOIL_00_Boi</v>
      </c>
      <c r="E15" s="106" t="str">
        <f>"Existing commercial - "&amp;RIGHT(B15,2)&amp;" Water Heat "&amp;RIGHT(F15,3)&amp;" Boiler"</f>
        <v>Existing commercial - CS Water Heat OIL Boiler</v>
      </c>
      <c r="F15" s="54" t="str">
        <f>COM_Balance!$F$13</f>
        <v>COMOIL</v>
      </c>
      <c r="G15" s="54"/>
      <c r="H15" s="157">
        <v>0.8</v>
      </c>
      <c r="I15" s="112">
        <f t="shared" ref="I15:I21" si="5">I14</f>
        <v>1.9311230265130085E-5</v>
      </c>
      <c r="J15" s="164">
        <f t="shared" si="4"/>
        <v>4.6906868318702756E-2</v>
      </c>
      <c r="K15" s="72">
        <v>15</v>
      </c>
      <c r="L15" s="72">
        <v>0.15</v>
      </c>
      <c r="M15" s="117">
        <v>31.536000000000001</v>
      </c>
      <c r="N15" s="69"/>
      <c r="O15" s="90">
        <f t="shared" si="1"/>
        <v>0.2773603123684894</v>
      </c>
      <c r="P15" s="90">
        <f>COM_Balance!F39</f>
        <v>0.2773603123684894</v>
      </c>
      <c r="Q15" s="90">
        <f>P15-O25</f>
        <v>0.2773603123684894</v>
      </c>
      <c r="R15" s="124">
        <f t="shared" si="2"/>
        <v>0.8</v>
      </c>
      <c r="S15" s="112"/>
      <c r="T15" s="76">
        <f t="shared" si="3"/>
        <v>11490.114656001531</v>
      </c>
      <c r="W15" s="69"/>
    </row>
    <row r="16" spans="2:23">
      <c r="B16" s="54" t="str">
        <f t="shared" si="0"/>
        <v>CWCS</v>
      </c>
      <c r="C16" s="54" t="str">
        <f>_xlfn.TEXTJOIN(",",TRUE,IF(LEFT(Regions!$C$3,1)&lt;&gt;"*",Regions!$C$3,""),IF(LEFT(Regions!$D$3,1)&lt;&gt;"*",Regions!$D$3,""))</f>
        <v>IE,National</v>
      </c>
      <c r="D16" s="54" t="str">
        <f>LEFT(B16,5)&amp;RIGHT(F16,3)&amp;"_00_Boi"</f>
        <v>CWCSGAS_00_Boi</v>
      </c>
      <c r="E16" s="106" t="str">
        <f>"Existing commercial - "&amp;RIGHT(B16,2)&amp;" Water Heat "&amp;RIGHT(F16,3)&amp;" Boiler"</f>
        <v>Existing commercial - CS Water Heat GAS Boiler</v>
      </c>
      <c r="F16" s="54" t="str">
        <f>COM_Balance!$G$13</f>
        <v>COMGAS</v>
      </c>
      <c r="G16" s="54"/>
      <c r="H16" s="157">
        <v>0.8</v>
      </c>
      <c r="I16" s="112">
        <f t="shared" si="5"/>
        <v>1.9311230265130085E-5</v>
      </c>
      <c r="J16" s="164">
        <f t="shared" si="4"/>
        <v>0.13826975879175221</v>
      </c>
      <c r="K16" s="72">
        <v>15</v>
      </c>
      <c r="L16" s="72">
        <v>0.15</v>
      </c>
      <c r="M16" s="117">
        <v>31.536000000000001</v>
      </c>
      <c r="N16" s="69"/>
      <c r="O16" s="90">
        <f t="shared" si="1"/>
        <v>0.81758908373563088</v>
      </c>
      <c r="P16" s="90">
        <f>COM_Balance!G39</f>
        <v>0.81758908373563077</v>
      </c>
      <c r="Q16" s="90">
        <f>P16-O27</f>
        <v>0.81758908373563077</v>
      </c>
      <c r="R16" s="124">
        <f t="shared" si="2"/>
        <v>0.8</v>
      </c>
      <c r="S16" s="112"/>
      <c r="T16" s="76">
        <f t="shared" si="3"/>
        <v>33869.994713363682</v>
      </c>
      <c r="W16" s="69"/>
    </row>
    <row r="17" spans="2:23">
      <c r="B17" s="54" t="str">
        <f t="shared" si="0"/>
        <v>CWCS</v>
      </c>
      <c r="C17" s="54" t="str">
        <f>_xlfn.TEXTJOIN(",",TRUE,IF(LEFT(Regions!$C$3,1)&lt;&gt;"*",Regions!$C$3,""),IF(LEFT(Regions!$D$3,1)&lt;&gt;"*",Regions!$D$3,""))</f>
        <v>IE,National</v>
      </c>
      <c r="D17" s="54" t="str">
        <f>LEFT(B17,5)&amp;RIGHT(F17,3)&amp;"_00_Boi"</f>
        <v>CWCSBIO_00_Boi</v>
      </c>
      <c r="E17" s="106" t="str">
        <f>"Existing commercial - "&amp;RIGHT(B17,2)&amp;" Water Heat "&amp;RIGHT(F17,3)&amp;" Boiler"</f>
        <v>Existing commercial - CS Water Heat BIO Boiler</v>
      </c>
      <c r="F17" s="54" t="str">
        <f>COM_Balance!$H$13</f>
        <v>COMBIO</v>
      </c>
      <c r="G17" s="54"/>
      <c r="H17" s="157">
        <v>0.8</v>
      </c>
      <c r="I17" s="112">
        <f t="shared" si="5"/>
        <v>1.9311230265130085E-5</v>
      </c>
      <c r="J17" s="164">
        <f t="shared" si="4"/>
        <v>3.3744153085503957E-3</v>
      </c>
      <c r="K17" s="72">
        <v>15</v>
      </c>
      <c r="L17" s="72">
        <v>0.15</v>
      </c>
      <c r="M17" s="117">
        <v>31.536000000000001</v>
      </c>
      <c r="N17" s="69"/>
      <c r="O17" s="90">
        <f t="shared" si="1"/>
        <v>1.995291771945849E-2</v>
      </c>
      <c r="P17" s="90">
        <f>COM_Balance!H39</f>
        <v>1.995291771945849E-2</v>
      </c>
      <c r="Q17" s="90">
        <f>P17-O29</f>
        <v>1.995291771945849E-2</v>
      </c>
      <c r="R17" s="124">
        <f t="shared" si="2"/>
        <v>0.8</v>
      </c>
      <c r="S17" s="112"/>
      <c r="T17" s="76">
        <f t="shared" si="3"/>
        <v>826.58297562686471</v>
      </c>
      <c r="W17" s="69"/>
    </row>
    <row r="18" spans="2:23">
      <c r="B18" s="54" t="str">
        <f t="shared" si="0"/>
        <v>CWCS</v>
      </c>
      <c r="C18" s="54" t="str">
        <f>_xlfn.TEXTJOIN(",",TRUE,IF(LEFT(Regions!$C$3,1)&lt;&gt;"*",Regions!$C$3,""),IF(LEFT(Regions!$D$3,1)&lt;&gt;"*",Regions!$D$3,""))</f>
        <v>IE,National</v>
      </c>
      <c r="D18" s="54" t="str">
        <f>LEFT(B18,5)&amp;RIGHT(F18,3)&amp;"_00_Boi"</f>
        <v>CWCSBGS_00_Boi</v>
      </c>
      <c r="E18" s="106" t="str">
        <f>"Existing commercial - "&amp;RIGHT(B18,2)&amp;" Water Heat "&amp;RIGHT(F18,3)&amp;" Boiler"</f>
        <v>Existing commercial - CS Water Heat BGS Boiler</v>
      </c>
      <c r="F18" s="54" t="str">
        <f>COM_Balance!$I$13</f>
        <v>COMBGS</v>
      </c>
      <c r="G18" s="54"/>
      <c r="H18" s="157">
        <v>0.8</v>
      </c>
      <c r="I18" s="112">
        <f t="shared" si="5"/>
        <v>1.9311230265130085E-5</v>
      </c>
      <c r="J18" s="164">
        <f>(I18*T18/L18)/M18</f>
        <v>1.887774817621151E-3</v>
      </c>
      <c r="K18" s="72">
        <v>15</v>
      </c>
      <c r="L18" s="72">
        <v>0.15</v>
      </c>
      <c r="M18" s="117">
        <v>31.536000000000001</v>
      </c>
      <c r="N18" s="69"/>
      <c r="O18" s="90">
        <f>IF(H18=0,0,J18*M18*L18/H18)</f>
        <v>1.1162412496593865E-2</v>
      </c>
      <c r="P18" s="90">
        <f>COM_Balance!I39</f>
        <v>1.1162412496593865E-2</v>
      </c>
      <c r="Q18" s="90">
        <f>P18-O30</f>
        <v>1.1162412496593865E-2</v>
      </c>
      <c r="R18" s="124">
        <f>H18</f>
        <v>0.8</v>
      </c>
      <c r="S18" s="112"/>
      <c r="T18" s="76">
        <f t="shared" si="3"/>
        <v>462.42160000544828</v>
      </c>
      <c r="W18" s="69"/>
    </row>
    <row r="19" spans="2:23">
      <c r="B19" s="54" t="str">
        <f t="shared" si="0"/>
        <v>CWCS</v>
      </c>
      <c r="C19" s="54" t="str">
        <f>_xlfn.TEXTJOIN(",",TRUE,IF(LEFT(Regions!$C$3,1)&lt;&gt;"*",Regions!$C$3,""),IF(LEFT(Regions!$D$3,1)&lt;&gt;"*",Regions!$D$3,""))</f>
        <v>IE,National</v>
      </c>
      <c r="D19" s="54" t="str">
        <f>LEFT(B19,5)&amp;RIGHT(F19,3)&amp;"_00"</f>
        <v>CWCSSOL_00</v>
      </c>
      <c r="E19" s="106" t="str">
        <f>"Existing commercial - "&amp;RIGHT(B19,2)&amp;" Water Heat "&amp;RIGHT(F19,3)&amp;" Thermal"</f>
        <v>Existing commercial - CS Water Heat SOL Thermal</v>
      </c>
      <c r="F19" s="54" t="str">
        <f>COM_Balance!$J$13</f>
        <v>COMSOL</v>
      </c>
      <c r="G19" s="54"/>
      <c r="H19" s="157">
        <v>1</v>
      </c>
      <c r="I19" s="112">
        <f>I17</f>
        <v>1.9311230265130085E-5</v>
      </c>
      <c r="J19" s="164">
        <f t="shared" si="4"/>
        <v>5.89446853903593E-4</v>
      </c>
      <c r="K19" s="72">
        <v>15</v>
      </c>
      <c r="L19" s="72">
        <v>0.15</v>
      </c>
      <c r="M19" s="117">
        <v>31.536000000000001</v>
      </c>
      <c r="N19" s="69"/>
      <c r="O19" s="90">
        <f t="shared" si="1"/>
        <v>2.7883193977055565E-3</v>
      </c>
      <c r="P19" s="90">
        <f>COM_Balance!J39</f>
        <v>2.788319397705556E-3</v>
      </c>
      <c r="Q19" s="90">
        <f>P19</f>
        <v>2.788319397705556E-3</v>
      </c>
      <c r="R19" s="124">
        <f t="shared" si="2"/>
        <v>1</v>
      </c>
      <c r="S19" s="112"/>
      <c r="T19" s="76">
        <f t="shared" si="3"/>
        <v>144.38849101915432</v>
      </c>
      <c r="W19" s="69"/>
    </row>
    <row r="20" spans="2:23">
      <c r="B20" s="54" t="str">
        <f t="shared" si="0"/>
        <v>CWCS</v>
      </c>
      <c r="C20" s="54" t="str">
        <f>_xlfn.TEXTJOIN(",",TRUE,IF(LEFT(Regions!$C$3,1)&lt;&gt;"*",Regions!$C$3,""),IF(LEFT(Regions!$D$3,1)&lt;&gt;"*",Regions!$D$3,""))</f>
        <v>IE,National</v>
      </c>
      <c r="D20" s="54" t="str">
        <f>LEFT(B20,5)&amp;RIGHT(F20,3)&amp;"_00"</f>
        <v>CWCSGEO_00</v>
      </c>
      <c r="E20" s="106" t="str">
        <f>"Existing commercial - "&amp;RIGHT(B20,2)&amp;" Water Heat "&amp;RIGHT(F20,3)</f>
        <v>Existing commercial - CS Water Heat GEO</v>
      </c>
      <c r="F20" s="54" t="str">
        <f>COM_Balance!$K$13</f>
        <v>COMGEO</v>
      </c>
      <c r="G20" s="54"/>
      <c r="H20" s="157">
        <v>1</v>
      </c>
      <c r="I20" s="112">
        <f t="shared" si="5"/>
        <v>1.9311230265130085E-5</v>
      </c>
      <c r="J20" s="164">
        <f t="shared" si="4"/>
        <v>0</v>
      </c>
      <c r="K20" s="72">
        <v>15</v>
      </c>
      <c r="L20" s="72">
        <v>0.15</v>
      </c>
      <c r="M20" s="117">
        <v>31.536000000000001</v>
      </c>
      <c r="N20" s="69"/>
      <c r="O20" s="90">
        <f t="shared" si="1"/>
        <v>0</v>
      </c>
      <c r="P20" s="90">
        <f>COM_Balance!K39</f>
        <v>0</v>
      </c>
      <c r="Q20" s="90">
        <f>P20</f>
        <v>0</v>
      </c>
      <c r="R20" s="124">
        <f t="shared" si="2"/>
        <v>1</v>
      </c>
      <c r="S20" s="112"/>
      <c r="T20" s="76">
        <f t="shared" si="3"/>
        <v>0</v>
      </c>
      <c r="W20" s="69"/>
    </row>
    <row r="21" spans="2:23">
      <c r="B21" s="54" t="str">
        <f t="shared" si="0"/>
        <v>CWCS</v>
      </c>
      <c r="C21" s="54" t="str">
        <f>_xlfn.TEXTJOIN(",",TRUE,IF(LEFT(Regions!$C$3,1)&lt;&gt;"*",Regions!$C$3,""),IF(LEFT(Regions!$D$3,1)&lt;&gt;"*",Regions!$D$3,""))</f>
        <v>IE,National</v>
      </c>
      <c r="D21" s="54" t="str">
        <f>LEFT(B21,5)&amp;RIGHT(F21,3)&amp;"_00_Boi"</f>
        <v>CWCSELC_00_Boi</v>
      </c>
      <c r="E21" s="106" t="str">
        <f>"Existing commercial - "&amp;RIGHT(B21,2)&amp;" Water Heat "&amp;RIGHT(F21,3)&amp;" Heater"</f>
        <v>Existing commercial - CS Water Heat ELC Heater</v>
      </c>
      <c r="F21" s="54" t="str">
        <f>COM_Balance!$L$13</f>
        <v>COMELC</v>
      </c>
      <c r="G21" s="54"/>
      <c r="H21" s="157">
        <v>0.85</v>
      </c>
      <c r="I21" s="112">
        <f t="shared" si="5"/>
        <v>1.9311230265130085E-5</v>
      </c>
      <c r="J21" s="164">
        <f t="shared" si="4"/>
        <v>5.1497535847084726E-2</v>
      </c>
      <c r="K21" s="72">
        <v>15</v>
      </c>
      <c r="L21" s="72">
        <v>0.15</v>
      </c>
      <c r="M21" s="117">
        <v>31.536000000000001</v>
      </c>
      <c r="N21" s="69"/>
      <c r="O21" s="90">
        <f t="shared" si="1"/>
        <v>0.2865928747894701</v>
      </c>
      <c r="P21" s="90">
        <f>COM_Balance!L39</f>
        <v>0.2865928747894701</v>
      </c>
      <c r="Q21" s="90">
        <f>P21-O31</f>
        <v>0.2865928747894701</v>
      </c>
      <c r="R21" s="124">
        <f t="shared" si="2"/>
        <v>0.85</v>
      </c>
      <c r="S21" s="112"/>
      <c r="T21" s="76">
        <f t="shared" si="3"/>
        <v>12614.62580200913</v>
      </c>
      <c r="W21" s="69"/>
    </row>
    <row r="22" spans="2:23">
      <c r="B22" s="161" t="s">
        <v>23</v>
      </c>
      <c r="C22" s="161" t="str">
        <f>_xlfn.TEXTJOIN(",",TRUE,IF(LEFT(Regions!$C$3,1)&lt;&gt;"*",Regions!$C$3,""),IF(LEFT(Regions!$D$3,1)&lt;&gt;"*",Regions!$D$3,""))</f>
        <v>IE,National</v>
      </c>
      <c r="D22" s="159" t="str">
        <f>COM_CH!D36</f>
        <v>CHCSHET_00_DH</v>
      </c>
      <c r="E22" s="159" t="str">
        <f>COM_CH!E36</f>
        <v>Existing commercial - CS Space Heat HET Heat Exchanger</v>
      </c>
      <c r="F22" s="159" t="str">
        <f>COM_Balance!$M$13</f>
        <v>COMHET</v>
      </c>
      <c r="G22" s="159" t="str">
        <f>COM_CH!H36</f>
        <v>CHCS</v>
      </c>
      <c r="H22" s="160"/>
      <c r="I22" s="170"/>
      <c r="J22" s="159"/>
      <c r="K22" s="159"/>
      <c r="L22" s="159"/>
      <c r="M22" s="159"/>
      <c r="N22" s="69"/>
      <c r="O22" s="76"/>
      <c r="P22" s="54"/>
      <c r="Q22" s="54"/>
      <c r="R22" s="165"/>
      <c r="S22" s="112"/>
      <c r="T22" s="54"/>
      <c r="W22" s="69"/>
    </row>
    <row r="23" spans="2:23">
      <c r="B23" s="161" t="s">
        <v>23</v>
      </c>
      <c r="C23" s="161"/>
      <c r="D23" s="159"/>
      <c r="E23" s="159"/>
      <c r="F23" s="159"/>
      <c r="G23" s="159" t="str">
        <f>COM_CH!H37</f>
        <v>CWCS</v>
      </c>
      <c r="H23" s="160">
        <f>COM_CH!J37</f>
        <v>0.9</v>
      </c>
      <c r="I23" s="170"/>
      <c r="J23" s="160">
        <f>COM_CH!N36</f>
        <v>0</v>
      </c>
      <c r="K23" s="159"/>
      <c r="L23" s="159">
        <f>COM_CH!P36</f>
        <v>0.25</v>
      </c>
      <c r="M23" s="159">
        <v>31.536000000000001</v>
      </c>
      <c r="N23" s="69"/>
      <c r="O23" s="90">
        <f>IF(H23=0,0,J23*M23*L23/H23)*(1-COM_CH!K36)</f>
        <v>0</v>
      </c>
      <c r="P23" s="54"/>
      <c r="Q23" s="54"/>
      <c r="R23" s="124">
        <f>H23</f>
        <v>0.9</v>
      </c>
      <c r="S23" s="112"/>
      <c r="T23" s="76">
        <f>COM_CH!W36</f>
        <v>0</v>
      </c>
      <c r="W23" s="69"/>
    </row>
    <row r="24" spans="2:23">
      <c r="B24" s="161" t="s">
        <v>23</v>
      </c>
      <c r="C24" s="161" t="str">
        <f>_xlfn.TEXTJOIN(",",TRUE,IF(LEFT(Regions!$C$3,1)&lt;&gt;"*",Regions!$C$3,""),IF(LEFT(Regions!$D$3,1)&lt;&gt;"*",Regions!$D$3,""))</f>
        <v>IE,National</v>
      </c>
      <c r="D24" s="159" t="str">
        <f>COM_CH!D16</f>
        <v>CHCSOIL_00_DBoi</v>
      </c>
      <c r="E24" s="159" t="str">
        <f>COM_CH!E16</f>
        <v>Existing commercial - CS Space Heat OIL Dual Boiler</v>
      </c>
      <c r="F24" s="159" t="str">
        <f>COM_CH!G16</f>
        <v>COMOIL</v>
      </c>
      <c r="G24" s="159" t="str">
        <f>COM_CH!H16</f>
        <v>CHCS</v>
      </c>
      <c r="H24" s="159"/>
      <c r="I24" s="170"/>
      <c r="J24" s="159"/>
      <c r="K24" s="159"/>
      <c r="L24" s="159"/>
      <c r="M24" s="159"/>
      <c r="N24" s="69"/>
      <c r="O24" s="116"/>
      <c r="P24" s="54"/>
      <c r="Q24" s="54"/>
      <c r="R24" s="165"/>
      <c r="S24" s="112"/>
      <c r="T24" s="54"/>
      <c r="W24" s="69"/>
    </row>
    <row r="25" spans="2:23">
      <c r="B25" s="161" t="s">
        <v>23</v>
      </c>
      <c r="C25" s="161"/>
      <c r="D25" s="159"/>
      <c r="E25" s="159"/>
      <c r="F25" s="159"/>
      <c r="G25" s="159" t="str">
        <f>COM_CH!H17</f>
        <v>CWCS</v>
      </c>
      <c r="H25" s="160">
        <f>COM_CH!J17</f>
        <v>0</v>
      </c>
      <c r="I25" s="170"/>
      <c r="J25" s="171">
        <f>COM_CH!N16</f>
        <v>0</v>
      </c>
      <c r="K25" s="159"/>
      <c r="L25" s="159">
        <f>COM_CH!P16</f>
        <v>0.25</v>
      </c>
      <c r="M25" s="159">
        <v>31.536000000000001</v>
      </c>
      <c r="N25" s="69"/>
      <c r="O25" s="90">
        <f>IF(H25=0,0,J25*M25*L25/H25)*(1-COM_CH!K16)</f>
        <v>0</v>
      </c>
      <c r="P25" s="54"/>
      <c r="Q25" s="54"/>
      <c r="R25" s="124">
        <f>H25</f>
        <v>0</v>
      </c>
      <c r="S25" s="112"/>
      <c r="T25" s="76">
        <f>COM_CH!W16</f>
        <v>0</v>
      </c>
      <c r="W25" s="69"/>
    </row>
    <row r="26" spans="2:23">
      <c r="B26" s="161" t="s">
        <v>23</v>
      </c>
      <c r="C26" s="161" t="str">
        <f>_xlfn.TEXTJOIN(",",TRUE,IF(LEFT(Regions!$C$3,1)&lt;&gt;"*",Regions!$C$3,""),IF(LEFT(Regions!$D$3,1)&lt;&gt;"*",Regions!$D$3,""))</f>
        <v>IE,National</v>
      </c>
      <c r="D26" s="159" t="str">
        <f>COM_CH!D21</f>
        <v>CHCSGAS_00_DBoi</v>
      </c>
      <c r="E26" s="159" t="str">
        <f>COM_CH!E21</f>
        <v>Existing commercial - CS Space Heat GAS Dual Boiler</v>
      </c>
      <c r="F26" s="159" t="str">
        <f>COM_CH!G21</f>
        <v>COMGAS</v>
      </c>
      <c r="G26" s="159" t="str">
        <f>COM_CH!H21</f>
        <v>CHCS</v>
      </c>
      <c r="H26" s="159"/>
      <c r="I26" s="170"/>
      <c r="J26" s="162"/>
      <c r="K26" s="159"/>
      <c r="L26" s="159"/>
      <c r="M26" s="159"/>
      <c r="N26" s="69"/>
      <c r="O26" s="116"/>
      <c r="P26" s="76"/>
      <c r="Q26" s="76"/>
      <c r="R26" s="124"/>
      <c r="S26" s="112"/>
      <c r="T26" s="76"/>
      <c r="W26" s="69"/>
    </row>
    <row r="27" spans="2:23">
      <c r="B27" s="161" t="s">
        <v>23</v>
      </c>
      <c r="C27" s="161"/>
      <c r="D27" s="159"/>
      <c r="E27" s="159"/>
      <c r="F27" s="159"/>
      <c r="G27" s="159" t="str">
        <f>COM_CH!H22</f>
        <v>CWCS</v>
      </c>
      <c r="H27" s="160">
        <f>COM_CH!J22</f>
        <v>0</v>
      </c>
      <c r="I27" s="170"/>
      <c r="J27" s="160">
        <f>COM_CH!N21</f>
        <v>0</v>
      </c>
      <c r="K27" s="159"/>
      <c r="L27" s="159">
        <f>COM_CH!P21</f>
        <v>0.25</v>
      </c>
      <c r="M27" s="159">
        <v>31.536000000000001</v>
      </c>
      <c r="N27" s="69"/>
      <c r="O27" s="90">
        <f>IF(H27=0,0,J27*M27*L27/H27)*(1-COM_CH!K21)</f>
        <v>0</v>
      </c>
      <c r="P27" s="76"/>
      <c r="Q27" s="76"/>
      <c r="R27" s="124">
        <f>H27</f>
        <v>0</v>
      </c>
      <c r="S27" s="112"/>
      <c r="T27" s="76">
        <f>COM_CH!W21</f>
        <v>0</v>
      </c>
      <c r="W27" s="69"/>
    </row>
    <row r="28" spans="2:23">
      <c r="B28" s="161" t="s">
        <v>23</v>
      </c>
      <c r="C28" s="161" t="str">
        <f>_xlfn.TEXTJOIN(",",TRUE,IF(LEFT(Regions!$C$3,1)&lt;&gt;"*",Regions!$C$3,""),IF(LEFT(Regions!$D$3,1)&lt;&gt;"*",Regions!$D$3,""))</f>
        <v>IE,National</v>
      </c>
      <c r="D28" s="159" t="str">
        <f>COM_CH!D24</f>
        <v>CHCSBIO_00_DBoi</v>
      </c>
      <c r="E28" s="159" t="str">
        <f>COM_CH!E24</f>
        <v>Existing commercial - CS Space Heat BIO Dual Boiler</v>
      </c>
      <c r="F28" s="159" t="str">
        <f>COM_CH!G24</f>
        <v>COMBIO</v>
      </c>
      <c r="G28" s="159" t="str">
        <f>COM_CH!H24</f>
        <v>CHCS</v>
      </c>
      <c r="H28" s="159"/>
      <c r="I28" s="170"/>
      <c r="J28" s="162"/>
      <c r="K28" s="159"/>
      <c r="L28" s="159"/>
      <c r="M28" s="159"/>
      <c r="N28" s="69"/>
      <c r="O28" s="116"/>
      <c r="P28" s="76"/>
      <c r="Q28" s="76"/>
      <c r="R28" s="124"/>
      <c r="S28" s="112"/>
      <c r="T28" s="76"/>
      <c r="W28" s="69"/>
    </row>
    <row r="29" spans="2:23">
      <c r="B29" s="161" t="s">
        <v>23</v>
      </c>
      <c r="C29" s="161"/>
      <c r="D29" s="159"/>
      <c r="E29" s="159"/>
      <c r="F29" s="159"/>
      <c r="G29" s="159" t="str">
        <f>COM_CH!H25</f>
        <v>CWCS</v>
      </c>
      <c r="H29" s="160">
        <f>COM_CH!J25</f>
        <v>0</v>
      </c>
      <c r="I29" s="170"/>
      <c r="J29" s="160">
        <f>COM_CH!N24</f>
        <v>0</v>
      </c>
      <c r="K29" s="159"/>
      <c r="L29" s="159">
        <f>COM_CH!P24</f>
        <v>0.25</v>
      </c>
      <c r="M29" s="159">
        <v>31.536000000000001</v>
      </c>
      <c r="N29" s="69"/>
      <c r="O29" s="90">
        <f>IF(H29=0,0,J29*M29*L29/H29)*(1-COM_CH!K24)</f>
        <v>0</v>
      </c>
      <c r="P29" s="76"/>
      <c r="Q29" s="76"/>
      <c r="R29" s="124">
        <f>H29</f>
        <v>0</v>
      </c>
      <c r="S29" s="112"/>
      <c r="T29" s="76">
        <f>COM_CH!W24</f>
        <v>0</v>
      </c>
      <c r="W29" s="69"/>
    </row>
    <row r="30" spans="2:23">
      <c r="B30" s="161" t="s">
        <v>23</v>
      </c>
      <c r="C30" s="161" t="str">
        <f>_xlfn.TEXTJOIN(",",TRUE,IF(LEFT(Regions!$C$3,1)&lt;&gt;"*",Regions!$C$3,""),IF(LEFT(Regions!$D$3,1)&lt;&gt;"*",Regions!$D$3,""))</f>
        <v>IE,National</v>
      </c>
      <c r="D30" s="159" t="str">
        <f>COM_CH!D34</f>
        <v>CHCSELC_00_DBoi</v>
      </c>
      <c r="E30" s="159" t="str">
        <f>COM_CH!E34</f>
        <v>Existing commercial - CS Space Heat ELC Dual Boiler</v>
      </c>
      <c r="F30" s="159" t="str">
        <f>COM_CH!G34</f>
        <v>COMELC</v>
      </c>
      <c r="G30" s="159" t="str">
        <f>COM_CH!H34</f>
        <v>CHCS</v>
      </c>
      <c r="H30" s="159"/>
      <c r="I30" s="170"/>
      <c r="J30" s="162"/>
      <c r="K30" s="159"/>
      <c r="L30" s="159"/>
      <c r="M30" s="159"/>
      <c r="N30" s="69"/>
      <c r="O30" s="116"/>
      <c r="P30" s="76"/>
      <c r="Q30" s="76"/>
      <c r="R30" s="124"/>
      <c r="S30" s="112"/>
      <c r="T30" s="76"/>
      <c r="W30" s="69"/>
    </row>
    <row r="31" spans="2:23">
      <c r="B31" s="161" t="s">
        <v>23</v>
      </c>
      <c r="C31" s="161"/>
      <c r="D31" s="159"/>
      <c r="E31" s="159"/>
      <c r="F31" s="159"/>
      <c r="G31" s="159" t="str">
        <f>COM_CH!H35</f>
        <v>CWCS</v>
      </c>
      <c r="H31" s="160">
        <f>COM_CH!J35</f>
        <v>0</v>
      </c>
      <c r="I31" s="170"/>
      <c r="J31" s="160">
        <f>COM_CH!N34</f>
        <v>0</v>
      </c>
      <c r="K31" s="159"/>
      <c r="L31" s="159">
        <f>COM_CH!P34</f>
        <v>0.25</v>
      </c>
      <c r="M31" s="159">
        <v>31.536000000000001</v>
      </c>
      <c r="N31" s="69"/>
      <c r="O31" s="90">
        <f>IF(H31=0,0,J31*M31*L31/H31)*(1-COM_CH!K34)</f>
        <v>0</v>
      </c>
      <c r="P31" s="76"/>
      <c r="Q31" s="76"/>
      <c r="R31" s="124">
        <f>H31</f>
        <v>0</v>
      </c>
      <c r="S31" s="112"/>
      <c r="T31" s="76">
        <f>COM_CH!W34</f>
        <v>0</v>
      </c>
      <c r="W31" s="69"/>
    </row>
    <row r="32" spans="2:23">
      <c r="B32" s="161" t="s">
        <v>23</v>
      </c>
      <c r="C32" s="161"/>
      <c r="D32" s="159"/>
      <c r="E32" s="159"/>
      <c r="F32" s="159"/>
      <c r="G32" s="159"/>
      <c r="H32" s="159"/>
      <c r="I32" s="160"/>
      <c r="J32" s="159"/>
      <c r="K32" s="159"/>
      <c r="L32" s="159"/>
      <c r="M32" s="159"/>
      <c r="N32" s="69"/>
      <c r="O32" s="76"/>
      <c r="P32" s="54"/>
      <c r="Q32" s="54"/>
      <c r="R32" s="165"/>
      <c r="S32" s="73"/>
      <c r="T32" s="54"/>
      <c r="W32" s="69"/>
    </row>
    <row r="33" spans="2:23">
      <c r="B33" s="108" t="s">
        <v>83</v>
      </c>
      <c r="C33" s="108"/>
      <c r="D33" s="54"/>
      <c r="E33" s="54"/>
      <c r="F33" s="54"/>
      <c r="G33" s="54"/>
      <c r="H33" s="54"/>
      <c r="I33" s="73"/>
      <c r="J33" s="113">
        <f>SUM(J13:J31)</f>
        <v>0.27859686566480502</v>
      </c>
      <c r="K33" s="54"/>
      <c r="L33" s="54"/>
      <c r="M33" s="54"/>
      <c r="N33" s="69"/>
      <c r="O33" s="116">
        <f>SUM(O13:O21)</f>
        <v>1.628734132152224</v>
      </c>
      <c r="P33" s="116">
        <f>SUM(P13:P31)</f>
        <v>1.6287341321522237</v>
      </c>
      <c r="Q33" s="116">
        <f>SUM(Q13:Q31)</f>
        <v>1.6287341321522237</v>
      </c>
      <c r="R33" s="165"/>
      <c r="S33" s="73"/>
      <c r="T33" s="173">
        <f>COM_Balance!C62-SUM(T23:T32)</f>
        <v>68243.948999999993</v>
      </c>
      <c r="W33" s="69"/>
    </row>
    <row r="34" spans="2:23">
      <c r="I34" s="94"/>
      <c r="M34" s="16"/>
      <c r="N34" s="69"/>
      <c r="S34" s="94"/>
      <c r="T34" s="16"/>
      <c r="W34" s="69"/>
    </row>
    <row r="35" spans="2:23">
      <c r="H35" s="95"/>
      <c r="I35" s="94"/>
      <c r="M35" s="16"/>
      <c r="N35" s="69"/>
      <c r="R35" s="25"/>
      <c r="S35" s="94"/>
      <c r="T35" s="16"/>
      <c r="W35" s="69"/>
    </row>
    <row r="36" spans="2:23" ht="18.75">
      <c r="B36" s="66" t="str">
        <f>"Base-year technologies for commercial water heating ("&amp;COM_Balance!$S$12&amp;")"</f>
        <v>Base-year technologies for commercial water heating (Public Services)</v>
      </c>
      <c r="C36" s="66"/>
      <c r="D36" s="64"/>
      <c r="E36" s="64"/>
      <c r="F36" s="64"/>
      <c r="G36" s="68" t="s">
        <v>79</v>
      </c>
      <c r="H36" s="101"/>
      <c r="I36" s="103"/>
      <c r="J36" s="103"/>
      <c r="K36" s="104"/>
      <c r="L36" s="103"/>
      <c r="M36" s="16"/>
      <c r="N36" s="69"/>
      <c r="O36" s="90" t="s">
        <v>237</v>
      </c>
      <c r="P36" s="90"/>
      <c r="Q36" s="90"/>
      <c r="R36" s="123" t="s">
        <v>93</v>
      </c>
      <c r="S36" s="134"/>
      <c r="T36" s="85"/>
      <c r="W36" s="69"/>
    </row>
    <row r="37" spans="2:23" ht="45.75" thickBot="1">
      <c r="B37" s="127" t="s">
        <v>22</v>
      </c>
      <c r="C37" s="127" t="s">
        <v>603</v>
      </c>
      <c r="D37" s="127" t="s">
        <v>15</v>
      </c>
      <c r="E37" s="127" t="s">
        <v>16</v>
      </c>
      <c r="F37" s="127" t="s">
        <v>39</v>
      </c>
      <c r="G37" s="127" t="s">
        <v>40</v>
      </c>
      <c r="H37" s="128" t="s">
        <v>81</v>
      </c>
      <c r="I37" s="128" t="s">
        <v>114</v>
      </c>
      <c r="J37" s="128" t="s">
        <v>29</v>
      </c>
      <c r="K37" s="128" t="s">
        <v>30</v>
      </c>
      <c r="L37" s="128" t="s">
        <v>110</v>
      </c>
      <c r="M37" s="128" t="s">
        <v>31</v>
      </c>
      <c r="N37" s="69"/>
      <c r="O37" s="125" t="s">
        <v>126</v>
      </c>
      <c r="P37" s="125" t="s">
        <v>128</v>
      </c>
      <c r="Q37" s="125" t="s">
        <v>129</v>
      </c>
      <c r="R37" s="166" t="s">
        <v>145</v>
      </c>
      <c r="S37" s="125" t="s">
        <v>99</v>
      </c>
      <c r="T37" s="125" t="s">
        <v>100</v>
      </c>
      <c r="W37" s="69"/>
    </row>
    <row r="38" spans="2:23" ht="47.25">
      <c r="B38" s="131" t="s">
        <v>234</v>
      </c>
      <c r="C38" s="131"/>
      <c r="D38" s="131"/>
      <c r="E38" s="131"/>
      <c r="F38" s="131"/>
      <c r="G38" s="131"/>
      <c r="H38" s="131"/>
      <c r="I38" s="131" t="s">
        <v>38</v>
      </c>
      <c r="J38" s="131" t="s">
        <v>113</v>
      </c>
      <c r="K38" s="131" t="s">
        <v>34</v>
      </c>
      <c r="L38" s="131" t="s">
        <v>63</v>
      </c>
      <c r="M38" s="131" t="s">
        <v>112</v>
      </c>
      <c r="N38" s="69"/>
      <c r="O38" s="133" t="s">
        <v>10</v>
      </c>
      <c r="P38" s="133" t="s">
        <v>10</v>
      </c>
      <c r="Q38" s="133" t="s">
        <v>10</v>
      </c>
      <c r="R38" s="154"/>
      <c r="S38" s="133" t="s">
        <v>38</v>
      </c>
      <c r="T38" s="133" t="s">
        <v>32</v>
      </c>
      <c r="W38" s="69"/>
    </row>
    <row r="39" spans="2:23">
      <c r="B39" s="54" t="str">
        <f>$B$8</f>
        <v>CWPS</v>
      </c>
      <c r="C39" s="54" t="str">
        <f>_xlfn.TEXTJOIN(",",TRUE,IF(LEFT(Regions!$C$3,1)&lt;&gt;"*",Regions!$C$3,""),IF(LEFT(Regions!$D$3,1)&lt;&gt;"*",Regions!$D$3,""))</f>
        <v>IE,National</v>
      </c>
      <c r="D39" s="54" t="str">
        <f>LEFT(B39,5)&amp;RIGHT(F39,3)&amp;"_00_Fur"</f>
        <v>CWPSCOA_00_Fur</v>
      </c>
      <c r="E39" s="106" t="str">
        <f>"Existing commercial - "&amp;RIGHT(B39,2)&amp;" Water Heat "&amp;RIGHT(F39,3)&amp;" Furnace"</f>
        <v>Existing commercial - PS Water Heat COA Furnace</v>
      </c>
      <c r="F39" s="54" t="str">
        <f>COM_Balance!$D$13</f>
        <v>COMCOA</v>
      </c>
      <c r="G39" s="54"/>
      <c r="H39" s="157"/>
      <c r="I39" s="168">
        <f>S39</f>
        <v>2.5485207819606705E-5</v>
      </c>
      <c r="J39" s="164">
        <f t="shared" ref="J39:J47" si="6">(I39*T39/L39)/M39</f>
        <v>0</v>
      </c>
      <c r="K39" s="72">
        <v>15</v>
      </c>
      <c r="L39" s="72">
        <v>0.15</v>
      </c>
      <c r="M39" s="117">
        <v>31.536000000000001</v>
      </c>
      <c r="N39" s="69"/>
      <c r="O39" s="90">
        <f t="shared" ref="O39:O47" si="7">IF(H39=0,0,J39*M39*L39/H39)</f>
        <v>0</v>
      </c>
      <c r="P39" s="90">
        <f>COM_Balance!D40</f>
        <v>0</v>
      </c>
      <c r="Q39" s="90">
        <f>P39</f>
        <v>0</v>
      </c>
      <c r="R39" s="124">
        <f t="shared" ref="R39:R47" si="8">H39</f>
        <v>0</v>
      </c>
      <c r="S39" s="169">
        <f>IF(T59=0,0,SUMPRODUCT(R39:R47,P39:P47)/(T59))</f>
        <v>2.5485207819606705E-5</v>
      </c>
      <c r="T39" s="76">
        <f t="shared" ref="T39:T47" si="9">IF($Q$59=0,0,R39*Q39/SUMPRODUCT($Q$39:$Q$47,$R$39:$R$47)*$T$59)</f>
        <v>0</v>
      </c>
      <c r="W39" s="69"/>
    </row>
    <row r="40" spans="2:23">
      <c r="B40" s="54" t="str">
        <f t="shared" ref="B40:B47" si="10">$B$8</f>
        <v>CWPS</v>
      </c>
      <c r="C40" s="54" t="str">
        <f>_xlfn.TEXTJOIN(",",TRUE,IF(LEFT(Regions!$C$3,1)&lt;&gt;"*",Regions!$C$3,""),IF(LEFT(Regions!$D$3,1)&lt;&gt;"*",Regions!$D$3,""))</f>
        <v>IE,National</v>
      </c>
      <c r="D40" s="54" t="str">
        <f>LEFT(B40,5)&amp;RIGHT(F40,3)&amp;"_00_Boi"</f>
        <v>CWPSLPG_00_Boi</v>
      </c>
      <c r="E40" s="106" t="str">
        <f>"Existing commercial - "&amp;RIGHT(B40,2)&amp;" Water Heat "&amp;RIGHT(F40,3)&amp;" Boiler"</f>
        <v>Existing commercial - PS Water Heat LPG Boiler</v>
      </c>
      <c r="F40" s="54" t="str">
        <f>COM_Balance!$E$13</f>
        <v>COMLPG</v>
      </c>
      <c r="G40" s="54"/>
      <c r="H40" s="157">
        <v>0.8</v>
      </c>
      <c r="I40" s="169">
        <f>I39</f>
        <v>2.5485207819606705E-5</v>
      </c>
      <c r="J40" s="164">
        <f t="shared" si="6"/>
        <v>1.0814072933441601E-2</v>
      </c>
      <c r="K40" s="72">
        <v>15</v>
      </c>
      <c r="L40" s="72">
        <v>0.15</v>
      </c>
      <c r="M40" s="117">
        <v>31.536000000000001</v>
      </c>
      <c r="N40" s="69"/>
      <c r="O40" s="90">
        <f t="shared" si="7"/>
        <v>6.3943613255440193E-2</v>
      </c>
      <c r="P40" s="90">
        <f>COM_Balance!E40</f>
        <v>6.3943613255440193E-2</v>
      </c>
      <c r="Q40" s="90">
        <f>P40</f>
        <v>6.3943613255440193E-2</v>
      </c>
      <c r="R40" s="124">
        <f t="shared" si="8"/>
        <v>0.8</v>
      </c>
      <c r="S40" s="169"/>
      <c r="T40" s="76">
        <f t="shared" si="9"/>
        <v>2007.2385113138776</v>
      </c>
      <c r="W40" s="69"/>
    </row>
    <row r="41" spans="2:23">
      <c r="B41" s="54" t="str">
        <f t="shared" si="10"/>
        <v>CWPS</v>
      </c>
      <c r="C41" s="54" t="str">
        <f>_xlfn.TEXTJOIN(",",TRUE,IF(LEFT(Regions!$C$3,1)&lt;&gt;"*",Regions!$C$3,""),IF(LEFT(Regions!$D$3,1)&lt;&gt;"*",Regions!$D$3,""))</f>
        <v>IE,National</v>
      </c>
      <c r="D41" s="54" t="str">
        <f>LEFT(B41,5)&amp;RIGHT(F41,3)&amp;"_00_Boi"</f>
        <v>CWPSOIL_00_Boi</v>
      </c>
      <c r="E41" s="106" t="str">
        <f>"Existing commercial - "&amp;RIGHT(B41,2)&amp;" Water Heat "&amp;RIGHT(F41,3)&amp;" Boiler"</f>
        <v>Existing commercial - PS Water Heat OIL Boiler</v>
      </c>
      <c r="F41" s="54" t="str">
        <f>COM_Balance!$F$13</f>
        <v>COMOIL</v>
      </c>
      <c r="G41" s="54"/>
      <c r="H41" s="157">
        <v>0.8</v>
      </c>
      <c r="I41" s="169">
        <f t="shared" ref="I41:I47" si="11">I40</f>
        <v>2.5485207819606705E-5</v>
      </c>
      <c r="J41" s="164">
        <f t="shared" si="6"/>
        <v>8.3440807459901692E-2</v>
      </c>
      <c r="K41" s="72">
        <v>15</v>
      </c>
      <c r="L41" s="72">
        <v>0.15</v>
      </c>
      <c r="M41" s="117">
        <v>31.536000000000001</v>
      </c>
      <c r="N41" s="69"/>
      <c r="O41" s="90">
        <f t="shared" si="7"/>
        <v>0.4933854945103987</v>
      </c>
      <c r="P41" s="90">
        <f>COM_Balance!F40</f>
        <v>0.4933854945103987</v>
      </c>
      <c r="Q41" s="90">
        <f>P41-O51</f>
        <v>0.4933854945103987</v>
      </c>
      <c r="R41" s="124">
        <f t="shared" si="8"/>
        <v>0.8</v>
      </c>
      <c r="S41" s="169"/>
      <c r="T41" s="76">
        <f t="shared" si="9"/>
        <v>15487.744828380615</v>
      </c>
      <c r="W41" s="69"/>
    </row>
    <row r="42" spans="2:23">
      <c r="B42" s="54" t="str">
        <f t="shared" si="10"/>
        <v>CWPS</v>
      </c>
      <c r="C42" s="54" t="str">
        <f>_xlfn.TEXTJOIN(",",TRUE,IF(LEFT(Regions!$C$3,1)&lt;&gt;"*",Regions!$C$3,""),IF(LEFT(Regions!$D$3,1)&lt;&gt;"*",Regions!$D$3,""))</f>
        <v>IE,National</v>
      </c>
      <c r="D42" s="54" t="str">
        <f>LEFT(B42,5)&amp;RIGHT(F42,3)&amp;"_00_Boi"</f>
        <v>CWPSGAS_00_Boi</v>
      </c>
      <c r="E42" s="106" t="str">
        <f>"Existing commercial - "&amp;RIGHT(B42,2)&amp;" Water Heat "&amp;RIGHT(F42,3)&amp;" Boiler"</f>
        <v>Existing commercial - PS Water Heat GAS Boiler</v>
      </c>
      <c r="F42" s="54" t="str">
        <f>COM_Balance!$G$13</f>
        <v>COMGAS</v>
      </c>
      <c r="G42" s="54"/>
      <c r="H42" s="157">
        <v>0.8</v>
      </c>
      <c r="I42" s="169">
        <f t="shared" si="11"/>
        <v>2.5485207819606705E-5</v>
      </c>
      <c r="J42" s="164">
        <f t="shared" si="6"/>
        <v>0.12916561757025666</v>
      </c>
      <c r="K42" s="72">
        <v>15</v>
      </c>
      <c r="L42" s="72">
        <v>0.15</v>
      </c>
      <c r="M42" s="117">
        <v>31.536000000000001</v>
      </c>
      <c r="N42" s="69"/>
      <c r="O42" s="90">
        <f t="shared" si="7"/>
        <v>0.76375629669292766</v>
      </c>
      <c r="P42" s="90">
        <f>COM_Balance!G40</f>
        <v>0.76375629669292766</v>
      </c>
      <c r="Q42" s="90">
        <f>P42-O53</f>
        <v>0.76375629669292766</v>
      </c>
      <c r="R42" s="124">
        <f t="shared" si="8"/>
        <v>0.8</v>
      </c>
      <c r="S42" s="169"/>
      <c r="T42" s="76">
        <f t="shared" si="9"/>
        <v>23974.889342839637</v>
      </c>
      <c r="W42" s="69"/>
    </row>
    <row r="43" spans="2:23">
      <c r="B43" s="54" t="str">
        <f t="shared" si="10"/>
        <v>CWPS</v>
      </c>
      <c r="C43" s="54" t="str">
        <f>_xlfn.TEXTJOIN(",",TRUE,IF(LEFT(Regions!$C$3,1)&lt;&gt;"*",Regions!$C$3,""),IF(LEFT(Regions!$D$3,1)&lt;&gt;"*",Regions!$D$3,""))</f>
        <v>IE,National</v>
      </c>
      <c r="D43" s="54" t="str">
        <f>LEFT(B43,5)&amp;RIGHT(F43,3)&amp;"_00_Boi"</f>
        <v>CWPSBIO_00_Boi</v>
      </c>
      <c r="E43" s="106" t="str">
        <f>"Existing commercial - "&amp;RIGHT(B43,2)&amp;" Water Heat "&amp;RIGHT(F43,3)&amp;" Boiler"</f>
        <v>Existing commercial - PS Water Heat BIO Boiler</v>
      </c>
      <c r="F43" s="54" t="str">
        <f>COM_Balance!$H$13</f>
        <v>COMBIO</v>
      </c>
      <c r="G43" s="54"/>
      <c r="H43" s="157">
        <v>0.8</v>
      </c>
      <c r="I43" s="169">
        <f t="shared" si="11"/>
        <v>2.5485207819606705E-5</v>
      </c>
      <c r="J43" s="164">
        <f t="shared" si="6"/>
        <v>8.7253994484179434E-3</v>
      </c>
      <c r="K43" s="72">
        <v>15</v>
      </c>
      <c r="L43" s="72">
        <v>0.15</v>
      </c>
      <c r="M43" s="117">
        <v>31.536000000000001</v>
      </c>
      <c r="N43" s="69"/>
      <c r="O43" s="90">
        <f t="shared" si="7"/>
        <v>5.1593286938495291E-2</v>
      </c>
      <c r="P43" s="90">
        <f>COM_Balance!H40</f>
        <v>5.1593286938495291E-2</v>
      </c>
      <c r="Q43" s="90">
        <f>P43-O55</f>
        <v>5.1593286938495291E-2</v>
      </c>
      <c r="R43" s="124">
        <f t="shared" si="8"/>
        <v>0.8</v>
      </c>
      <c r="S43" s="169"/>
      <c r="T43" s="76">
        <f t="shared" si="9"/>
        <v>1619.5524024348802</v>
      </c>
      <c r="W43" s="69"/>
    </row>
    <row r="44" spans="2:23">
      <c r="B44" s="54" t="str">
        <f t="shared" si="10"/>
        <v>CWPS</v>
      </c>
      <c r="C44" s="54" t="str">
        <f>_xlfn.TEXTJOIN(",",TRUE,IF(LEFT(Regions!$C$3,1)&lt;&gt;"*",Regions!$C$3,""),IF(LEFT(Regions!$D$3,1)&lt;&gt;"*",Regions!$D$3,""))</f>
        <v>IE,National</v>
      </c>
      <c r="D44" s="54" t="str">
        <f>LEFT(B44,5)&amp;RIGHT(F44,3)&amp;"_00_Boi"</f>
        <v>CWPSBGS_00_Boi</v>
      </c>
      <c r="E44" s="106" t="str">
        <f>"Existing commercial - "&amp;RIGHT(B44,2)&amp;" Water Heat "&amp;RIGHT(F44,3)&amp;" Boiler"</f>
        <v>Existing commercial - PS Water Heat BGS Boiler</v>
      </c>
      <c r="F44" s="54" t="str">
        <f>COM_Balance!$I$13</f>
        <v>COMBGS</v>
      </c>
      <c r="G44" s="54"/>
      <c r="H44" s="157">
        <v>0.8</v>
      </c>
      <c r="I44" s="169">
        <f>I43</f>
        <v>2.5485207819606705E-5</v>
      </c>
      <c r="J44" s="164">
        <f>(I44*T44/L44)/M44</f>
        <v>3.3381784961814386E-3</v>
      </c>
      <c r="K44" s="72">
        <v>15</v>
      </c>
      <c r="L44" s="72">
        <v>0.15</v>
      </c>
      <c r="M44" s="117">
        <v>31.536000000000001</v>
      </c>
      <c r="N44" s="69"/>
      <c r="O44" s="90">
        <f>IF(H44=0,0,J44*M44*L44/H44)</f>
        <v>1.9738649447920843E-2</v>
      </c>
      <c r="P44" s="90">
        <f>COM_Balance!I40</f>
        <v>1.9738649447920843E-2</v>
      </c>
      <c r="Q44" s="90">
        <f>P44-O56</f>
        <v>1.9738649447920843E-2</v>
      </c>
      <c r="R44" s="124">
        <f>H44</f>
        <v>0.8</v>
      </c>
      <c r="S44" s="169"/>
      <c r="T44" s="76">
        <f t="shared" si="9"/>
        <v>619.61117484740078</v>
      </c>
      <c r="W44" s="69"/>
    </row>
    <row r="45" spans="2:23">
      <c r="B45" s="54" t="str">
        <f t="shared" si="10"/>
        <v>CWPS</v>
      </c>
      <c r="C45" s="54" t="str">
        <f>_xlfn.TEXTJOIN(",",TRUE,IF(LEFT(Regions!$C$3,1)&lt;&gt;"*",Regions!$C$3,""),IF(LEFT(Regions!$D$3,1)&lt;&gt;"*",Regions!$D$3,""))</f>
        <v>IE,National</v>
      </c>
      <c r="D45" s="54" t="str">
        <f>LEFT(B45,5)&amp;RIGHT(F45,3)&amp;"_00"</f>
        <v>CWPSSOL_00</v>
      </c>
      <c r="E45" s="106" t="str">
        <f>"Existing commercial - "&amp;RIGHT(B45,2)&amp;" Water Heat "&amp;RIGHT(F45,3)&amp;" Thermal"</f>
        <v>Existing commercial - PS Water Heat SOL Thermal</v>
      </c>
      <c r="F45" s="54" t="str">
        <f>COM_Balance!$J$13</f>
        <v>COMSOL</v>
      </c>
      <c r="G45" s="54"/>
      <c r="H45" s="157">
        <v>1</v>
      </c>
      <c r="I45" s="169">
        <f>I43</f>
        <v>2.5485207819606705E-5</v>
      </c>
      <c r="J45" s="164">
        <f t="shared" si="6"/>
        <v>0</v>
      </c>
      <c r="K45" s="72">
        <v>15</v>
      </c>
      <c r="L45" s="72">
        <v>0.15</v>
      </c>
      <c r="M45" s="117">
        <v>31.536000000000001</v>
      </c>
      <c r="N45" s="69"/>
      <c r="O45" s="90">
        <f t="shared" si="7"/>
        <v>0</v>
      </c>
      <c r="P45" s="90">
        <f>COM_Balance!J40</f>
        <v>0</v>
      </c>
      <c r="Q45" s="90">
        <f>P45</f>
        <v>0</v>
      </c>
      <c r="R45" s="124">
        <f t="shared" si="8"/>
        <v>1</v>
      </c>
      <c r="S45" s="169"/>
      <c r="T45" s="76">
        <f t="shared" si="9"/>
        <v>0</v>
      </c>
      <c r="W45" s="69"/>
    </row>
    <row r="46" spans="2:23">
      <c r="B46" s="54" t="str">
        <f t="shared" si="10"/>
        <v>CWPS</v>
      </c>
      <c r="C46" s="54" t="str">
        <f>_xlfn.TEXTJOIN(",",TRUE,IF(LEFT(Regions!$C$3,1)&lt;&gt;"*",Regions!$C$3,""),IF(LEFT(Regions!$D$3,1)&lt;&gt;"*",Regions!$D$3,""))</f>
        <v>IE,National</v>
      </c>
      <c r="D46" s="54" t="str">
        <f>LEFT(B46,5)&amp;RIGHT(F46,3)&amp;"_00"</f>
        <v>CWPSGEO_00</v>
      </c>
      <c r="E46" s="106" t="str">
        <f>"Existing commercial - "&amp;RIGHT(B46,2)&amp;" Water Heat "&amp;RIGHT(F46,3)</f>
        <v>Existing commercial - PS Water Heat GEO</v>
      </c>
      <c r="F46" s="54" t="str">
        <f>COM_Balance!$K$13</f>
        <v>COMGEO</v>
      </c>
      <c r="G46" s="54"/>
      <c r="H46" s="157">
        <v>1</v>
      </c>
      <c r="I46" s="169">
        <f t="shared" si="11"/>
        <v>2.5485207819606705E-5</v>
      </c>
      <c r="J46" s="164">
        <f t="shared" si="6"/>
        <v>0</v>
      </c>
      <c r="K46" s="72">
        <v>15</v>
      </c>
      <c r="L46" s="72">
        <v>0.15</v>
      </c>
      <c r="M46" s="117">
        <v>31.536000000000001</v>
      </c>
      <c r="N46" s="69"/>
      <c r="O46" s="90">
        <f t="shared" si="7"/>
        <v>0</v>
      </c>
      <c r="P46" s="90">
        <f>COM_Balance!K40</f>
        <v>0</v>
      </c>
      <c r="Q46" s="90">
        <f>P46</f>
        <v>0</v>
      </c>
      <c r="R46" s="124">
        <f t="shared" si="8"/>
        <v>1</v>
      </c>
      <c r="S46" s="169"/>
      <c r="T46" s="76">
        <f t="shared" si="9"/>
        <v>0</v>
      </c>
      <c r="W46" s="69"/>
    </row>
    <row r="47" spans="2:23">
      <c r="B47" s="54" t="str">
        <f t="shared" si="10"/>
        <v>CWPS</v>
      </c>
      <c r="C47" s="54" t="str">
        <f>_xlfn.TEXTJOIN(",",TRUE,IF(LEFT(Regions!$C$3,1)&lt;&gt;"*",Regions!$C$3,""),IF(LEFT(Regions!$D$3,1)&lt;&gt;"*",Regions!$D$3,""))</f>
        <v>IE,National</v>
      </c>
      <c r="D47" s="54" t="str">
        <f>LEFT(B47,5)&amp;RIGHT(F47,3)&amp;"_00_Boi"</f>
        <v>CWPSELC_00_Boi</v>
      </c>
      <c r="E47" s="106" t="str">
        <f>"Existing commercial - "&amp;RIGHT(B47,2)&amp;" Water Heat "&amp;RIGHT(F47,3)&amp;" Heater"</f>
        <v>Existing commercial - PS Water Heat ELC Heater</v>
      </c>
      <c r="F47" s="54" t="str">
        <f>COM_Balance!$L$13</f>
        <v>COMELC</v>
      </c>
      <c r="G47" s="54"/>
      <c r="H47" s="157">
        <v>0.85</v>
      </c>
      <c r="I47" s="169">
        <f t="shared" si="11"/>
        <v>2.5485207819606705E-5</v>
      </c>
      <c r="J47" s="164">
        <f t="shared" si="6"/>
        <v>2.5193524316526616E-2</v>
      </c>
      <c r="K47" s="72">
        <v>15</v>
      </c>
      <c r="L47" s="72">
        <v>0.15</v>
      </c>
      <c r="M47" s="117">
        <v>31.536000000000001</v>
      </c>
      <c r="N47" s="69"/>
      <c r="O47" s="90">
        <f t="shared" si="7"/>
        <v>0.14020640873752649</v>
      </c>
      <c r="P47" s="90">
        <f>COM_Balance!L40</f>
        <v>0.14020640873752649</v>
      </c>
      <c r="Q47" s="90">
        <f>P47-O57</f>
        <v>0.14020640873752649</v>
      </c>
      <c r="R47" s="124">
        <f t="shared" si="8"/>
        <v>0.85</v>
      </c>
      <c r="S47" s="169"/>
      <c r="T47" s="76">
        <f t="shared" si="9"/>
        <v>4676.2595883252507</v>
      </c>
      <c r="W47" s="69"/>
    </row>
    <row r="48" spans="2:23">
      <c r="B48" s="161" t="s">
        <v>23</v>
      </c>
      <c r="C48" s="161" t="str">
        <f>_xlfn.TEXTJOIN(",",TRUE,IF(LEFT(Regions!$C$3,1)&lt;&gt;"*",Regions!$C$3,""),IF(LEFT(Regions!$D$3,1)&lt;&gt;"*",Regions!$D$3,""))</f>
        <v>IE,National</v>
      </c>
      <c r="D48" s="159" t="str">
        <f>COM_CH!D68</f>
        <v>CHPSHET_00_DH</v>
      </c>
      <c r="E48" s="159" t="str">
        <f>COM_CH!E68</f>
        <v>Existing commercial - PS Space Heat HET Heat Exchanger</v>
      </c>
      <c r="F48" s="159" t="str">
        <f>COM_Balance!$M$13</f>
        <v>COMHET</v>
      </c>
      <c r="G48" s="159" t="str">
        <f>COM_CH!H68</f>
        <v>CHPS</v>
      </c>
      <c r="H48" s="160"/>
      <c r="I48" s="170"/>
      <c r="J48" s="159"/>
      <c r="K48" s="159"/>
      <c r="L48" s="159"/>
      <c r="M48" s="159"/>
      <c r="N48" s="69"/>
      <c r="O48" s="116"/>
      <c r="P48" s="54"/>
      <c r="Q48" s="54"/>
      <c r="R48" s="165"/>
      <c r="S48" s="169"/>
      <c r="T48" s="54"/>
      <c r="W48" s="69"/>
    </row>
    <row r="49" spans="2:23">
      <c r="B49" s="161" t="s">
        <v>23</v>
      </c>
      <c r="C49" s="161"/>
      <c r="D49" s="159"/>
      <c r="E49" s="159"/>
      <c r="F49" s="159"/>
      <c r="G49" s="159" t="str">
        <f>COM_CH!H69</f>
        <v>CWPS</v>
      </c>
      <c r="H49" s="160">
        <f>COM_CH!J69</f>
        <v>0.9</v>
      </c>
      <c r="I49" s="170"/>
      <c r="J49" s="160">
        <f>COM_CH!N68</f>
        <v>0</v>
      </c>
      <c r="K49" s="159"/>
      <c r="L49" s="159">
        <f>COM_CH!P68</f>
        <v>0.25</v>
      </c>
      <c r="M49" s="159">
        <v>31.536000000000001</v>
      </c>
      <c r="N49" s="69"/>
      <c r="O49" s="90">
        <f>IF(H49=0,0,J49*M49*L49/H49)*(1-COM_CH!K68)</f>
        <v>0</v>
      </c>
      <c r="P49" s="54"/>
      <c r="Q49" s="54"/>
      <c r="R49" s="124">
        <f>H49</f>
        <v>0.9</v>
      </c>
      <c r="S49" s="169"/>
      <c r="T49" s="76">
        <f>COM_CH!W68</f>
        <v>0</v>
      </c>
      <c r="W49" s="69"/>
    </row>
    <row r="50" spans="2:23">
      <c r="B50" s="161" t="s">
        <v>23</v>
      </c>
      <c r="C50" s="161" t="str">
        <f>_xlfn.TEXTJOIN(",",TRUE,IF(LEFT(Regions!$C$3,1)&lt;&gt;"*",Regions!$C$3,""),IF(LEFT(Regions!$D$3,1)&lt;&gt;"*",Regions!$D$3,""))</f>
        <v>IE,National</v>
      </c>
      <c r="D50" s="159" t="str">
        <f>COM_CH!D48</f>
        <v>CHPSOIL_00_DBoi</v>
      </c>
      <c r="E50" s="159" t="str">
        <f>COM_CH!E48</f>
        <v>Existing commercial - PS Space Heat OIL Dual Boiler</v>
      </c>
      <c r="F50" s="159" t="str">
        <f>COM_CH!G48</f>
        <v>COMOIL</v>
      </c>
      <c r="G50" s="159" t="str">
        <f>COM_CH!H48</f>
        <v>CHPS</v>
      </c>
      <c r="H50" s="159"/>
      <c r="I50" s="170"/>
      <c r="J50" s="159"/>
      <c r="K50" s="159"/>
      <c r="L50" s="159"/>
      <c r="M50" s="159"/>
      <c r="N50" s="69"/>
      <c r="O50" s="116"/>
      <c r="P50" s="54"/>
      <c r="Q50" s="54"/>
      <c r="R50" s="165"/>
      <c r="S50" s="169"/>
      <c r="T50" s="54"/>
      <c r="W50" s="69"/>
    </row>
    <row r="51" spans="2:23">
      <c r="B51" s="161" t="s">
        <v>23</v>
      </c>
      <c r="C51" s="161"/>
      <c r="D51" s="159"/>
      <c r="E51" s="159"/>
      <c r="F51" s="159"/>
      <c r="G51" s="159" t="str">
        <f>COM_CH!H49</f>
        <v>CWPS</v>
      </c>
      <c r="H51" s="160">
        <f>COM_CH!J49</f>
        <v>0</v>
      </c>
      <c r="I51" s="170"/>
      <c r="J51" s="171">
        <f>COM_CH!N48</f>
        <v>0</v>
      </c>
      <c r="K51" s="159"/>
      <c r="L51" s="159">
        <f>COM_CH!P48</f>
        <v>0.25</v>
      </c>
      <c r="M51" s="159">
        <v>31.536000000000001</v>
      </c>
      <c r="N51" s="69"/>
      <c r="O51" s="90">
        <f>IF(H51=0,0,J51*M51*L51/H51)*(1-COM_CH!K48)</f>
        <v>0</v>
      </c>
      <c r="P51" s="54"/>
      <c r="Q51" s="54"/>
      <c r="R51" s="124">
        <f>H51</f>
        <v>0</v>
      </c>
      <c r="S51" s="169"/>
      <c r="T51" s="76">
        <f>COM_CH!W48</f>
        <v>0</v>
      </c>
      <c r="W51" s="69"/>
    </row>
    <row r="52" spans="2:23">
      <c r="B52" s="161" t="s">
        <v>23</v>
      </c>
      <c r="C52" s="161" t="str">
        <f>_xlfn.TEXTJOIN(",",TRUE,IF(LEFT(Regions!$C$3,1)&lt;&gt;"*",Regions!$C$3,""),IF(LEFT(Regions!$D$3,1)&lt;&gt;"*",Regions!$D$3,""))</f>
        <v>IE,National</v>
      </c>
      <c r="D52" s="159" t="str">
        <f>COM_CH!D53</f>
        <v>CHPSGAS_00_DBoi</v>
      </c>
      <c r="E52" s="159" t="str">
        <f>COM_CH!E53</f>
        <v>Existing commercial - PS Space Heat GAS Dual Boiler</v>
      </c>
      <c r="F52" s="159" t="str">
        <f>COM_CH!G53</f>
        <v>COMGAS</v>
      </c>
      <c r="G52" s="159" t="str">
        <f>COM_CH!H53</f>
        <v>CHPS</v>
      </c>
      <c r="H52" s="159"/>
      <c r="I52" s="170"/>
      <c r="J52" s="162"/>
      <c r="K52" s="159"/>
      <c r="L52" s="159"/>
      <c r="M52" s="159"/>
      <c r="N52" s="69"/>
      <c r="O52" s="116"/>
      <c r="P52" s="76"/>
      <c r="Q52" s="76"/>
      <c r="R52" s="124"/>
      <c r="S52" s="169"/>
      <c r="T52" s="76"/>
      <c r="W52" s="69"/>
    </row>
    <row r="53" spans="2:23">
      <c r="B53" s="161" t="s">
        <v>23</v>
      </c>
      <c r="C53" s="161"/>
      <c r="D53" s="159"/>
      <c r="E53" s="159"/>
      <c r="F53" s="159"/>
      <c r="G53" s="159" t="str">
        <f>COM_CH!H54</f>
        <v>CWPS</v>
      </c>
      <c r="H53" s="160">
        <f>COM_CH!J54</f>
        <v>0</v>
      </c>
      <c r="I53" s="170"/>
      <c r="J53" s="160">
        <f>COM_CH!N53</f>
        <v>0</v>
      </c>
      <c r="K53" s="159"/>
      <c r="L53" s="159">
        <f>COM_CH!P53</f>
        <v>0.25</v>
      </c>
      <c r="M53" s="159">
        <v>31.536000000000001</v>
      </c>
      <c r="N53" s="69"/>
      <c r="O53" s="90">
        <f>IF(H53=0,0,J53*M53*L53/H53)*(1-COM_CH!K53)</f>
        <v>0</v>
      </c>
      <c r="P53" s="76"/>
      <c r="Q53" s="76"/>
      <c r="R53" s="124">
        <f>H53</f>
        <v>0</v>
      </c>
      <c r="S53" s="169"/>
      <c r="T53" s="76">
        <f>COM_CH!W53</f>
        <v>0</v>
      </c>
      <c r="W53" s="69"/>
    </row>
    <row r="54" spans="2:23">
      <c r="B54" s="161" t="s">
        <v>23</v>
      </c>
      <c r="C54" s="161" t="str">
        <f>_xlfn.TEXTJOIN(",",TRUE,IF(LEFT(Regions!$C$3,1)&lt;&gt;"*",Regions!$C$3,""),IF(LEFT(Regions!$D$3,1)&lt;&gt;"*",Regions!$D$3,""))</f>
        <v>IE,National</v>
      </c>
      <c r="D54" s="159" t="str">
        <f>COM_CH!D56</f>
        <v>CHPSBIO_00_DBoi</v>
      </c>
      <c r="E54" s="159" t="str">
        <f>COM_CH!E56</f>
        <v>Existing commercial - PS Space Heat BIO Dual Boiler</v>
      </c>
      <c r="F54" s="159" t="str">
        <f>COM_CH!G56</f>
        <v>COMBIO</v>
      </c>
      <c r="G54" s="159" t="str">
        <f>COM_CH!H56</f>
        <v>CHPS</v>
      </c>
      <c r="H54" s="159"/>
      <c r="I54" s="170"/>
      <c r="J54" s="162"/>
      <c r="K54" s="159"/>
      <c r="L54" s="159"/>
      <c r="M54" s="159"/>
      <c r="N54" s="69"/>
      <c r="O54" s="116"/>
      <c r="P54" s="76"/>
      <c r="Q54" s="76"/>
      <c r="R54" s="124"/>
      <c r="S54" s="169"/>
      <c r="T54" s="76"/>
      <c r="W54" s="69"/>
    </row>
    <row r="55" spans="2:23">
      <c r="B55" s="161" t="s">
        <v>23</v>
      </c>
      <c r="C55" s="161"/>
      <c r="D55" s="159"/>
      <c r="E55" s="159"/>
      <c r="F55" s="159"/>
      <c r="G55" s="159" t="str">
        <f>COM_CH!H57</f>
        <v>CWPS</v>
      </c>
      <c r="H55" s="160">
        <f>COM_CH!J57</f>
        <v>0</v>
      </c>
      <c r="I55" s="170"/>
      <c r="J55" s="160">
        <f>COM_CH!N56</f>
        <v>0</v>
      </c>
      <c r="K55" s="159"/>
      <c r="L55" s="159">
        <f>COM_CH!P56</f>
        <v>0.25</v>
      </c>
      <c r="M55" s="159">
        <v>31.536000000000001</v>
      </c>
      <c r="N55" s="69"/>
      <c r="O55" s="90">
        <f>IF(H55=0,0,J55*M55*L55/H55)*(1-COM_CH!K56)</f>
        <v>0</v>
      </c>
      <c r="P55" s="76"/>
      <c r="Q55" s="76"/>
      <c r="R55" s="124">
        <f>H55</f>
        <v>0</v>
      </c>
      <c r="S55" s="169"/>
      <c r="T55" s="76">
        <f>COM_CH!W56</f>
        <v>0</v>
      </c>
      <c r="W55" s="69"/>
    </row>
    <row r="56" spans="2:23">
      <c r="B56" s="161" t="s">
        <v>23</v>
      </c>
      <c r="C56" s="161" t="str">
        <f>_xlfn.TEXTJOIN(",",TRUE,IF(LEFT(Regions!$C$3,1)&lt;&gt;"*",Regions!$C$3,""),IF(LEFT(Regions!$D$3,1)&lt;&gt;"*",Regions!$D$3,""))</f>
        <v>IE,National</v>
      </c>
      <c r="D56" s="159" t="str">
        <f>COM_CH!D66</f>
        <v>CHPSELC_00_DBoi</v>
      </c>
      <c r="E56" s="159" t="str">
        <f>COM_CH!E66</f>
        <v>Existing commercial - PS Space Heat ELC Dual Boiler</v>
      </c>
      <c r="F56" s="159" t="str">
        <f>COM_CH!G66</f>
        <v>COMELC</v>
      </c>
      <c r="G56" s="159" t="str">
        <f>COM_CH!H66</f>
        <v>CHPS</v>
      </c>
      <c r="H56" s="159"/>
      <c r="I56" s="170"/>
      <c r="J56" s="162"/>
      <c r="K56" s="159"/>
      <c r="L56" s="159"/>
      <c r="M56" s="159"/>
      <c r="N56" s="69"/>
      <c r="O56" s="116"/>
      <c r="P56" s="76"/>
      <c r="Q56" s="76"/>
      <c r="R56" s="124"/>
      <c r="S56" s="169"/>
      <c r="T56" s="76"/>
      <c r="W56" s="69"/>
    </row>
    <row r="57" spans="2:23">
      <c r="B57" s="161" t="s">
        <v>23</v>
      </c>
      <c r="C57" s="161"/>
      <c r="D57" s="159"/>
      <c r="E57" s="159"/>
      <c r="F57" s="159"/>
      <c r="G57" s="159" t="str">
        <f>COM_CH!H67</f>
        <v>CWPS</v>
      </c>
      <c r="H57" s="160">
        <f>COM_CH!J67</f>
        <v>0</v>
      </c>
      <c r="I57" s="170"/>
      <c r="J57" s="160">
        <f>COM_CH!N66</f>
        <v>0</v>
      </c>
      <c r="K57" s="159"/>
      <c r="L57" s="159">
        <f>COM_CH!P66</f>
        <v>0.25</v>
      </c>
      <c r="M57" s="159">
        <v>31.536000000000001</v>
      </c>
      <c r="N57" s="69"/>
      <c r="O57" s="90">
        <f>IF(H57=0,0,J57*M57*L57/H57)*(1-COM_CH!K66)</f>
        <v>0</v>
      </c>
      <c r="P57" s="76"/>
      <c r="Q57" s="76"/>
      <c r="R57" s="124">
        <f>H57</f>
        <v>0</v>
      </c>
      <c r="S57" s="169"/>
      <c r="T57" s="76">
        <f>COM_CH!W66</f>
        <v>0</v>
      </c>
      <c r="W57" s="69"/>
    </row>
    <row r="58" spans="2:23">
      <c r="B58" s="161" t="s">
        <v>23</v>
      </c>
      <c r="C58" s="161"/>
      <c r="D58" s="159"/>
      <c r="E58" s="159"/>
      <c r="F58" s="159"/>
      <c r="G58" s="159"/>
      <c r="H58" s="159"/>
      <c r="I58" s="160"/>
      <c r="J58" s="159"/>
      <c r="K58" s="159"/>
      <c r="L58" s="159"/>
      <c r="M58" s="159"/>
      <c r="N58" s="69"/>
      <c r="O58" s="76"/>
      <c r="P58" s="54"/>
      <c r="Q58" s="54"/>
      <c r="R58" s="165"/>
      <c r="S58" s="73"/>
      <c r="T58" s="54"/>
      <c r="W58" s="69"/>
    </row>
    <row r="59" spans="2:23">
      <c r="B59" s="108" t="s">
        <v>83</v>
      </c>
      <c r="C59" s="108"/>
      <c r="D59" s="54"/>
      <c r="E59" s="54"/>
      <c r="F59" s="54"/>
      <c r="G59" s="54"/>
      <c r="H59" s="54"/>
      <c r="I59" s="73"/>
      <c r="J59" s="113">
        <f>SUM(J39:J57)</f>
        <v>0.26067760022472591</v>
      </c>
      <c r="K59" s="54"/>
      <c r="L59" s="54"/>
      <c r="M59" s="54"/>
      <c r="N59" s="69"/>
      <c r="O59" s="116">
        <f>SUM(O39:O47)</f>
        <v>1.5326237495827091</v>
      </c>
      <c r="P59" s="116">
        <f>SUM(P39:P57)</f>
        <v>1.5326237495827091</v>
      </c>
      <c r="Q59" s="116">
        <f>SUM(Q39:Q57)</f>
        <v>1.5326237495827091</v>
      </c>
      <c r="R59" s="165"/>
      <c r="S59" s="73"/>
      <c r="T59" s="173">
        <f>COM_Balance!C63-SUM(T49:T58)</f>
        <v>48385.295848141664</v>
      </c>
      <c r="W59" s="69"/>
    </row>
    <row r="60" spans="2:23">
      <c r="M60" s="69"/>
    </row>
    <row r="61" spans="2:23">
      <c r="M61" s="69"/>
    </row>
    <row r="62" spans="2:23" s="75" customFormat="1">
      <c r="D62" s="150"/>
      <c r="G62" s="141"/>
      <c r="H62" s="142"/>
      <c r="I62" s="143"/>
      <c r="L62" s="151"/>
      <c r="N62" s="87"/>
      <c r="O62" s="87"/>
      <c r="P62" s="87"/>
      <c r="Q62" s="146"/>
      <c r="R62" s="143"/>
      <c r="S62" s="146"/>
    </row>
    <row r="63" spans="2:23" s="75" customFormat="1">
      <c r="B63" s="152"/>
      <c r="H63" s="142"/>
      <c r="N63" s="146"/>
      <c r="R63" s="143"/>
    </row>
    <row r="64" spans="2:23" s="75" customFormat="1">
      <c r="B64" s="152"/>
      <c r="H64" s="142"/>
      <c r="I64" s="146"/>
      <c r="N64" s="146"/>
      <c r="Q64" s="146"/>
      <c r="R64" s="143"/>
      <c r="S64" s="146"/>
    </row>
    <row r="65" spans="2:19" s="75" customFormat="1">
      <c r="B65" s="152"/>
      <c r="H65" s="142"/>
      <c r="N65" s="146"/>
      <c r="R65" s="143"/>
    </row>
    <row r="66" spans="2:19" s="75" customFormat="1">
      <c r="B66" s="152"/>
      <c r="H66" s="142"/>
      <c r="N66" s="146"/>
      <c r="R66" s="143"/>
    </row>
    <row r="67" spans="2:19" s="75" customFormat="1">
      <c r="B67" s="152"/>
      <c r="H67" s="142"/>
      <c r="I67" s="153"/>
      <c r="N67" s="146"/>
      <c r="Q67" s="146"/>
      <c r="R67" s="143"/>
      <c r="S67" s="146"/>
    </row>
    <row r="68" spans="2:19" s="75" customFormat="1">
      <c r="B68" s="152"/>
      <c r="H68" s="142"/>
      <c r="I68" s="146"/>
      <c r="O68" s="146"/>
      <c r="P68" s="146"/>
      <c r="Q68" s="146"/>
      <c r="R68" s="143"/>
      <c r="S68" s="146"/>
    </row>
    <row r="69" spans="2:19" s="75" customFormat="1">
      <c r="B69" s="152"/>
      <c r="H69" s="142"/>
      <c r="I69" s="146"/>
      <c r="N69" s="146"/>
      <c r="O69" s="146"/>
      <c r="P69" s="146"/>
      <c r="Q69" s="146"/>
      <c r="R69" s="143"/>
      <c r="S69" s="146"/>
    </row>
    <row r="70" spans="2:19" s="75" customFormat="1">
      <c r="B70" s="152"/>
      <c r="H70" s="142"/>
      <c r="I70" s="146"/>
      <c r="O70" s="146"/>
      <c r="P70" s="146"/>
      <c r="Q70" s="146"/>
      <c r="R70" s="143"/>
      <c r="S70" s="146"/>
    </row>
    <row r="71" spans="2:19" s="75" customFormat="1">
      <c r="B71" s="152"/>
      <c r="H71" s="142"/>
      <c r="I71" s="146"/>
      <c r="N71" s="146"/>
      <c r="O71" s="146"/>
      <c r="P71" s="146"/>
      <c r="Q71" s="146"/>
      <c r="R71" s="143"/>
      <c r="S71" s="146"/>
    </row>
    <row r="72" spans="2:19" s="75" customFormat="1">
      <c r="B72" s="152"/>
      <c r="H72" s="142"/>
      <c r="I72" s="146"/>
      <c r="O72" s="146"/>
      <c r="P72" s="146"/>
      <c r="Q72" s="146"/>
      <c r="R72" s="143"/>
      <c r="S72" s="146"/>
    </row>
    <row r="73" spans="2:19" s="75" customFormat="1">
      <c r="B73" s="152"/>
      <c r="H73" s="142"/>
      <c r="I73" s="146"/>
      <c r="N73" s="146"/>
      <c r="O73" s="146"/>
      <c r="P73" s="146"/>
      <c r="Q73" s="146"/>
      <c r="R73" s="143"/>
      <c r="S73" s="146"/>
    </row>
    <row r="74" spans="2:19" s="75" customFormat="1">
      <c r="B74" s="152"/>
      <c r="H74" s="142"/>
      <c r="N74" s="146"/>
      <c r="R74" s="142"/>
    </row>
    <row r="75" spans="2:19" s="75" customFormat="1">
      <c r="B75" s="144"/>
      <c r="H75" s="142"/>
      <c r="I75" s="145"/>
      <c r="N75" s="146"/>
      <c r="O75" s="146"/>
      <c r="P75" s="146"/>
      <c r="R75" s="142"/>
      <c r="S75" s="145"/>
    </row>
    <row r="76" spans="2:19" s="75" customFormat="1"/>
    <row r="77" spans="2:19" s="75" customFormat="1"/>
    <row r="78" spans="2:19" s="69" customFormat="1">
      <c r="M78" s="1"/>
    </row>
    <row r="79" spans="2:19" s="69" customFormat="1">
      <c r="M79" s="1"/>
    </row>
    <row r="80" spans="2:19" s="69" customFormat="1">
      <c r="M80" s="1"/>
    </row>
    <row r="81" spans="13:13" s="69" customFormat="1">
      <c r="M81" s="1"/>
    </row>
    <row r="82" spans="13:13" s="69" customFormat="1">
      <c r="M82" s="1"/>
    </row>
    <row r="83" spans="13:13" s="69" customFormat="1">
      <c r="M83" s="1"/>
    </row>
    <row r="84" spans="13:13" s="69" customFormat="1">
      <c r="M84" s="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C000"/>
  </sheetPr>
  <dimension ref="B1:Z91"/>
  <sheetViews>
    <sheetView topLeftCell="A5" zoomScale="80" zoomScaleNormal="80" workbookViewId="0">
      <selection activeCell="J14" sqref="J14"/>
    </sheetView>
  </sheetViews>
  <sheetFormatPr defaultColWidth="9.140625" defaultRowHeight="12.75"/>
  <cols>
    <col min="1" max="2" width="4.42578125" style="65" customWidth="1"/>
    <col min="3" max="3" width="15.5703125" style="65" customWidth="1"/>
    <col min="4" max="4" width="12.140625" style="65" bestFit="1" customWidth="1"/>
    <col min="5" max="5" width="17.28515625" style="65" bestFit="1" customWidth="1"/>
    <col min="6" max="6" width="62.140625" style="65" bestFit="1" customWidth="1"/>
    <col min="7" max="12" width="11.28515625" style="65" customWidth="1"/>
    <col min="13" max="13" width="11.28515625" style="174" customWidth="1"/>
    <col min="14" max="16" width="11.28515625" style="65" customWidth="1"/>
    <col min="17" max="17" width="11.28515625" style="135" customWidth="1"/>
    <col min="18" max="22" width="11.28515625" style="65" customWidth="1"/>
    <col min="23" max="23" width="7.28515625" style="65" bestFit="1" customWidth="1"/>
    <col min="24" max="254" width="11.42578125" style="65" customWidth="1"/>
    <col min="255" max="16384" width="9.140625" style="65"/>
  </cols>
  <sheetData>
    <row r="1" spans="2:26" ht="26.25">
      <c r="C1" s="83" t="s">
        <v>249</v>
      </c>
      <c r="M1" s="65"/>
      <c r="N1" s="174"/>
      <c r="Q1" s="65"/>
      <c r="R1" s="135"/>
    </row>
    <row r="2" spans="2:26">
      <c r="M2" s="65"/>
      <c r="N2" s="174"/>
      <c r="Q2" s="65"/>
      <c r="R2" s="135"/>
    </row>
    <row r="3" spans="2:26" ht="18.75">
      <c r="C3" s="66" t="s">
        <v>248</v>
      </c>
      <c r="D3" s="64"/>
      <c r="E3" s="64"/>
      <c r="F3" s="64"/>
      <c r="H3" s="78" t="s">
        <v>233</v>
      </c>
      <c r="I3" s="16"/>
      <c r="K3" s="16"/>
      <c r="M3" s="65"/>
      <c r="N3" s="174"/>
      <c r="Q3" s="65"/>
    </row>
    <row r="4" spans="2:26" s="16" customFormat="1" ht="15">
      <c r="C4" s="68" t="s">
        <v>602</v>
      </c>
      <c r="H4" s="122" t="s">
        <v>236</v>
      </c>
      <c r="I4" s="114"/>
      <c r="K4" s="86"/>
      <c r="L4" s="75"/>
      <c r="M4" s="75"/>
      <c r="N4" s="75"/>
      <c r="O4" s="75"/>
      <c r="P4" s="75"/>
      <c r="Q4" s="75"/>
      <c r="R4" s="75"/>
      <c r="S4" s="75"/>
    </row>
    <row r="5" spans="2:26" s="16" customFormat="1" ht="15.75" thickBot="1">
      <c r="C5" s="184" t="s">
        <v>17</v>
      </c>
      <c r="D5" s="185" t="str">
        <f>Regions!C3</f>
        <v>IE</v>
      </c>
      <c r="E5" s="185" t="str">
        <f>Regions!D3</f>
        <v>National</v>
      </c>
      <c r="F5" s="187"/>
      <c r="H5" s="121" t="s">
        <v>235</v>
      </c>
      <c r="I5" s="121"/>
      <c r="J5" s="121"/>
      <c r="L5" s="86"/>
      <c r="M5" s="86"/>
      <c r="N5" s="86"/>
      <c r="O5" s="86"/>
      <c r="P5" s="86"/>
      <c r="Q5" s="86"/>
      <c r="R5" s="75"/>
      <c r="S5" s="75"/>
    </row>
    <row r="6" spans="2:26" s="16" customFormat="1" ht="15">
      <c r="C6" s="186" t="s">
        <v>147</v>
      </c>
      <c r="D6" s="186" t="s">
        <v>10</v>
      </c>
      <c r="E6" s="188" t="str">
        <f t="shared" ref="E6:E11" si="0">D6</f>
        <v>PJ</v>
      </c>
      <c r="F6" s="188" t="s">
        <v>232</v>
      </c>
      <c r="H6" s="75"/>
      <c r="I6" s="86"/>
      <c r="J6" s="86"/>
      <c r="K6" s="86"/>
      <c r="L6" s="86"/>
      <c r="M6" s="86"/>
      <c r="N6" s="86"/>
      <c r="O6" s="86"/>
      <c r="P6" s="86"/>
      <c r="Q6" s="86"/>
      <c r="R6" s="75"/>
      <c r="S6" s="75"/>
    </row>
    <row r="7" spans="2:26" s="16" customFormat="1" ht="15">
      <c r="C7" s="54" t="str">
        <f>COM_Commodities!D34</f>
        <v>CLIG</v>
      </c>
      <c r="D7" s="179">
        <f>K21*J16</f>
        <v>35.99770153276075</v>
      </c>
      <c r="E7" s="179">
        <f t="shared" si="0"/>
        <v>35.99770153276075</v>
      </c>
      <c r="F7" s="54" t="str">
        <f>COM_Commodities!E34</f>
        <v>Commercial Lighting Demand</v>
      </c>
      <c r="H7" s="75"/>
      <c r="I7" s="143"/>
      <c r="J7" s="143"/>
      <c r="K7" s="143"/>
      <c r="L7" s="143"/>
      <c r="M7" s="143"/>
      <c r="N7" s="143"/>
      <c r="O7" s="143"/>
      <c r="P7" s="143"/>
      <c r="Q7" s="143"/>
      <c r="R7" s="136"/>
      <c r="S7" s="75"/>
    </row>
    <row r="8" spans="2:26" s="16" customFormat="1" ht="15">
      <c r="C8" s="54" t="str">
        <f>COM_Commodities!D35</f>
        <v>CCOK</v>
      </c>
      <c r="D8" s="179">
        <f>K36*J27</f>
        <v>0.84071163403600058</v>
      </c>
      <c r="E8" s="179">
        <f t="shared" si="0"/>
        <v>0.84071163403600058</v>
      </c>
      <c r="F8" s="54" t="str">
        <f>COM_Commodities!E35</f>
        <v>Commercial Cooking Demand</v>
      </c>
      <c r="H8" s="75"/>
      <c r="I8" s="143"/>
      <c r="J8" s="143"/>
      <c r="K8" s="143"/>
      <c r="L8" s="143"/>
      <c r="M8" s="143"/>
      <c r="N8" s="143"/>
      <c r="O8" s="143"/>
      <c r="P8" s="143"/>
      <c r="Q8" s="143"/>
      <c r="R8" s="136"/>
      <c r="S8" s="75"/>
    </row>
    <row r="9" spans="2:26" s="16" customFormat="1" ht="15">
      <c r="C9" s="54" t="str">
        <f>COM_Commodities!D36</f>
        <v>CREF</v>
      </c>
      <c r="D9" s="179">
        <f>K46*J42</f>
        <v>2.595378298783547</v>
      </c>
      <c r="E9" s="179">
        <f t="shared" si="0"/>
        <v>2.595378298783547</v>
      </c>
      <c r="F9" s="54" t="str">
        <f>COM_Commodities!E36</f>
        <v>Commercial Refrigeration Demand</v>
      </c>
      <c r="H9" s="75"/>
      <c r="I9" s="143"/>
      <c r="J9" s="143"/>
      <c r="K9" s="143"/>
      <c r="L9" s="143"/>
      <c r="M9" s="143"/>
      <c r="N9" s="143"/>
      <c r="O9" s="143"/>
      <c r="P9" s="143"/>
      <c r="Q9" s="143"/>
      <c r="R9" s="136"/>
      <c r="S9" s="75"/>
    </row>
    <row r="10" spans="2:26" s="16" customFormat="1" ht="15">
      <c r="C10" s="54" t="str">
        <f>COM_Commodities!D37</f>
        <v>CPLI</v>
      </c>
      <c r="D10" s="179">
        <f>K54*J52</f>
        <v>1.1448908452668221</v>
      </c>
      <c r="E10" s="179">
        <f t="shared" si="0"/>
        <v>1.1448908452668221</v>
      </c>
      <c r="F10" s="54" t="str">
        <f>COM_Commodities!E37</f>
        <v>Commercial Public Lighting Demand</v>
      </c>
      <c r="H10" s="75"/>
      <c r="I10" s="143"/>
      <c r="J10" s="143"/>
      <c r="K10" s="143"/>
      <c r="L10" s="143"/>
      <c r="M10" s="143"/>
      <c r="N10" s="143"/>
      <c r="O10" s="143"/>
      <c r="P10" s="143"/>
      <c r="Q10" s="143"/>
      <c r="R10" s="136"/>
      <c r="S10" s="75"/>
    </row>
    <row r="11" spans="2:26" s="16" customFormat="1" ht="15">
      <c r="C11" s="54" t="str">
        <f>COM_Commodities!D38</f>
        <v>COEL</v>
      </c>
      <c r="D11" s="179">
        <f>K62*J60</f>
        <v>15.911170581631776</v>
      </c>
      <c r="E11" s="179">
        <f t="shared" si="0"/>
        <v>15.911170581631776</v>
      </c>
      <c r="F11" s="54" t="str">
        <f>COM_Commodities!E38</f>
        <v>Commercial Other Electric Demand</v>
      </c>
      <c r="H11" s="75"/>
      <c r="I11" s="143"/>
      <c r="J11" s="143"/>
      <c r="K11" s="143"/>
      <c r="L11" s="143"/>
      <c r="M11" s="143"/>
      <c r="N11" s="143"/>
      <c r="O11" s="143"/>
      <c r="P11" s="143"/>
      <c r="Q11" s="143"/>
      <c r="R11" s="136"/>
      <c r="S11" s="75"/>
    </row>
    <row r="12" spans="2:26" customFormat="1">
      <c r="B12" s="378"/>
    </row>
    <row r="13" spans="2:26" s="16" customFormat="1" ht="18.75">
      <c r="C13" s="66" t="s">
        <v>89</v>
      </c>
      <c r="D13" s="66"/>
      <c r="E13" s="64"/>
      <c r="F13" s="64"/>
      <c r="G13" s="64"/>
      <c r="H13" s="68" t="s">
        <v>79</v>
      </c>
      <c r="I13" s="101"/>
      <c r="J13" s="102"/>
      <c r="K13" s="103"/>
      <c r="L13" s="103"/>
      <c r="M13" s="104"/>
      <c r="N13" s="103"/>
      <c r="O13" s="90" t="s">
        <v>237</v>
      </c>
      <c r="P13" s="90"/>
      <c r="Q13" s="202" t="s">
        <v>93</v>
      </c>
      <c r="R13" s="134"/>
      <c r="S13" s="85"/>
      <c r="U13" s="16" t="s">
        <v>485</v>
      </c>
      <c r="V13" s="16" t="s">
        <v>486</v>
      </c>
      <c r="W13" s="16" t="s">
        <v>487</v>
      </c>
    </row>
    <row r="14" spans="2:26" s="16" customFormat="1" ht="60.75" thickBot="1">
      <c r="C14" s="189" t="s">
        <v>22</v>
      </c>
      <c r="D14" s="189" t="s">
        <v>603</v>
      </c>
      <c r="E14" s="189" t="s">
        <v>15</v>
      </c>
      <c r="F14" s="189" t="s">
        <v>16</v>
      </c>
      <c r="G14" s="189" t="s">
        <v>245</v>
      </c>
      <c r="H14" s="189" t="s">
        <v>39</v>
      </c>
      <c r="I14" s="185" t="s">
        <v>81</v>
      </c>
      <c r="J14" s="128" t="s">
        <v>210</v>
      </c>
      <c r="K14" s="128" t="s">
        <v>239</v>
      </c>
      <c r="L14" s="128" t="s">
        <v>238</v>
      </c>
      <c r="M14" s="128" t="s">
        <v>111</v>
      </c>
      <c r="N14" s="69"/>
      <c r="O14" s="125" t="s">
        <v>128</v>
      </c>
      <c r="P14" s="125" t="s">
        <v>129</v>
      </c>
      <c r="Q14" s="166" t="s">
        <v>145</v>
      </c>
      <c r="R14" s="125" t="s">
        <v>99</v>
      </c>
      <c r="S14" s="125" t="s">
        <v>100</v>
      </c>
    </row>
    <row r="15" spans="2:26" s="16" customFormat="1" ht="48" thickBot="1">
      <c r="C15" s="190" t="s">
        <v>234</v>
      </c>
      <c r="D15" s="190"/>
      <c r="E15" s="190"/>
      <c r="F15" s="190"/>
      <c r="G15" s="190" t="s">
        <v>109</v>
      </c>
      <c r="H15" s="190"/>
      <c r="I15" s="190"/>
      <c r="J15" s="201" t="s">
        <v>38</v>
      </c>
      <c r="K15" s="201" t="s">
        <v>32</v>
      </c>
      <c r="L15" s="201" t="s">
        <v>34</v>
      </c>
      <c r="M15" s="201" t="s">
        <v>108</v>
      </c>
      <c r="N15" s="69"/>
      <c r="O15" s="133" t="s">
        <v>10</v>
      </c>
      <c r="P15" s="133" t="s">
        <v>10</v>
      </c>
      <c r="Q15" s="154"/>
      <c r="R15" s="133" t="s">
        <v>38</v>
      </c>
      <c r="S15" s="133" t="s">
        <v>32</v>
      </c>
      <c r="U15" s="223" t="s">
        <v>130</v>
      </c>
      <c r="V15" s="224" t="s">
        <v>131</v>
      </c>
      <c r="W15" s="224" t="s">
        <v>132</v>
      </c>
      <c r="X15" s="225" t="s">
        <v>133</v>
      </c>
      <c r="Z15" s="367" t="s">
        <v>488</v>
      </c>
    </row>
    <row r="16" spans="2:26" s="16" customFormat="1" ht="15">
      <c r="C16" s="54" t="str">
        <f>$C$7</f>
        <v>CLIG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LEFT(C16,5)&amp;RIGHT(H16,3)&amp;"_00_IStd"</f>
        <v>CLIGELC_00_IStd</v>
      </c>
      <c r="F16" s="106" t="str">
        <f>"Existing commercial - Lighting "&amp;RIGHT(H16,3)&amp;" Incandescent STD"</f>
        <v>Existing commercial - Lighting ELC Incandescent STD</v>
      </c>
      <c r="G16" s="198">
        <v>0.2</v>
      </c>
      <c r="H16" s="54" t="str">
        <f>COM_Balance!$L$13</f>
        <v>COMELC</v>
      </c>
      <c r="I16" s="200">
        <v>1</v>
      </c>
      <c r="J16" s="207">
        <f>R16</f>
        <v>1.0512000000000002E-3</v>
      </c>
      <c r="K16" s="206">
        <f>W16</f>
        <v>2820.7898537829165</v>
      </c>
      <c r="L16" s="72">
        <v>1</v>
      </c>
      <c r="M16" s="204"/>
      <c r="N16" s="69"/>
      <c r="O16" s="139">
        <f>IF(I16=0,0,K16*J16/I16)</f>
        <v>2.9652142942966022</v>
      </c>
      <c r="P16" s="139">
        <f>COM_Balance!L42*G16</f>
        <v>2.9652142942966018</v>
      </c>
      <c r="Q16" s="124">
        <f>I16</f>
        <v>1</v>
      </c>
      <c r="R16" s="112">
        <f>IF(S21=0,0,SUMPRODUCT(Q16:Q19,P16:P19)/S21)</f>
        <v>1.0512000000000002E-3</v>
      </c>
      <c r="S16" s="76">
        <f>W16</f>
        <v>2820.7898537829165</v>
      </c>
      <c r="U16" s="215">
        <v>100</v>
      </c>
      <c r="V16" s="216">
        <v>8</v>
      </c>
      <c r="W16" s="217">
        <f>P16/(U16*3600*V16*365)*I16*10^12</f>
        <v>2820.7898537829165</v>
      </c>
      <c r="X16" s="218">
        <v>1000</v>
      </c>
      <c r="Z16" s="374"/>
    </row>
    <row r="17" spans="3:26" s="16" customFormat="1" ht="15">
      <c r="C17" s="54" t="str">
        <f>$C$7</f>
        <v>CLIG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LEFT(C17,5)&amp;RIGHT(H17,3)&amp;"_00_IImp"</f>
        <v>CLIGELC_00_IImp</v>
      </c>
      <c r="F17" s="106" t="str">
        <f>"Existing commercial - Lighting "&amp;RIGHT(H17,3)&amp;" Incandescent IMP"</f>
        <v>Existing commercial - Lighting ELC Incandescent IMP</v>
      </c>
      <c r="G17" s="199">
        <v>0.3</v>
      </c>
      <c r="H17" s="54" t="str">
        <f>COM_Balance!$L$13</f>
        <v>COMELC</v>
      </c>
      <c r="I17" s="200">
        <v>1.1000000000000001</v>
      </c>
      <c r="J17" s="116">
        <f>J16</f>
        <v>1.0512000000000002E-3</v>
      </c>
      <c r="K17" s="206">
        <f>W17</f>
        <v>4654.303258741812</v>
      </c>
      <c r="L17" s="72">
        <v>1.5</v>
      </c>
      <c r="M17" s="204"/>
      <c r="N17" s="69"/>
      <c r="O17" s="139">
        <f>IF(I17=0,0,K17*J17/I17)</f>
        <v>4.4478214414449022</v>
      </c>
      <c r="P17" s="139">
        <f>COM_Balance!L42*G17</f>
        <v>4.4478214414449022</v>
      </c>
      <c r="Q17" s="124">
        <f>I17</f>
        <v>1.1000000000000001</v>
      </c>
      <c r="R17" s="73"/>
      <c r="S17" s="76">
        <f>W17</f>
        <v>4654.303258741812</v>
      </c>
      <c r="U17" s="211">
        <v>100</v>
      </c>
      <c r="V17" s="212">
        <v>8</v>
      </c>
      <c r="W17" s="213">
        <f>P17/(U17*3600*V17*365)*I17*10^12</f>
        <v>4654.303258741812</v>
      </c>
      <c r="X17" s="214">
        <v>1500</v>
      </c>
      <c r="Z17" s="375"/>
    </row>
    <row r="18" spans="3:26" s="16" customFormat="1" ht="15">
      <c r="C18" s="54" t="str">
        <f>$C$7</f>
        <v>CLIG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LEFT(C18,5)&amp;RIGHT(H18,3)&amp;"_00_Hal"</f>
        <v>CLIGELC_00_Hal</v>
      </c>
      <c r="F18" s="106" t="str">
        <f>"Existing commercial - Lighting "&amp;RIGHT(H18,3)&amp;" Halogen"</f>
        <v>Existing commercial - Lighting ELC Halogen</v>
      </c>
      <c r="G18" s="199">
        <f>1-SUM(G16:G17,G19)</f>
        <v>0.15999999999999992</v>
      </c>
      <c r="H18" s="54" t="str">
        <f>COM_Balance!$L$13</f>
        <v>COMELC</v>
      </c>
      <c r="I18" s="200">
        <v>2.2999999999999998</v>
      </c>
      <c r="J18" s="116">
        <f>J17</f>
        <v>1.0512000000000002E-3</v>
      </c>
      <c r="K18" s="206">
        <f>W18</f>
        <v>5190.2533309605633</v>
      </c>
      <c r="L18" s="72">
        <v>5</v>
      </c>
      <c r="M18" s="204"/>
      <c r="N18" s="69"/>
      <c r="O18" s="139">
        <f>IF(I18=0,0,K18*J18/I18)</f>
        <v>2.3721714354372807</v>
      </c>
      <c r="P18" s="139">
        <f>COM_Balance!L42*G18</f>
        <v>2.3721714354372803</v>
      </c>
      <c r="Q18" s="124">
        <f>I18</f>
        <v>2.2999999999999998</v>
      </c>
      <c r="R18" s="73"/>
      <c r="S18" s="76">
        <f>W18</f>
        <v>5190.2533309605633</v>
      </c>
      <c r="U18" s="211">
        <v>100</v>
      </c>
      <c r="V18" s="212">
        <v>8</v>
      </c>
      <c r="W18" s="213">
        <f>P18/(U18*3600*V18*365)*I18*10^12</f>
        <v>5190.2533309605633</v>
      </c>
      <c r="X18" s="214">
        <v>5000</v>
      </c>
      <c r="Z18" s="375"/>
    </row>
    <row r="19" spans="3:26" s="16" customFormat="1" ht="15.75" thickBot="1">
      <c r="C19" s="54" t="str">
        <f>$C$7</f>
        <v>CLIG</v>
      </c>
      <c r="D19" s="54" t="str">
        <f>_xlfn.TEXTJOIN(",",TRUE,IF(LEFT(Regions!$C$3,1)&lt;&gt;"*",Regions!$C$3,""),IF(LEFT(Regions!$D$3,1)&lt;&gt;"*",Regions!$D$3,""))</f>
        <v>IE,National</v>
      </c>
      <c r="E19" s="54" t="str">
        <f>LEFT(C19,5)&amp;RIGHT(H19,3)&amp;"_00_Flu"</f>
        <v>CLIGELC_00_Flu</v>
      </c>
      <c r="F19" s="106" t="str">
        <f>"Existing commercial - Lighting "&amp;RIGHT(H19,3)&amp;" Fluoreshent"</f>
        <v>Existing commercial - Lighting ELC Fluoreshent</v>
      </c>
      <c r="G19" s="119">
        <v>0.34</v>
      </c>
      <c r="H19" s="54" t="str">
        <f>COM_Balance!$L$13</f>
        <v>COMELC</v>
      </c>
      <c r="I19" s="200">
        <v>4.5</v>
      </c>
      <c r="J19" s="116">
        <f>J18</f>
        <v>1.0512000000000002E-3</v>
      </c>
      <c r="K19" s="206">
        <f>W19</f>
        <v>21579.042381439311</v>
      </c>
      <c r="L19" s="72">
        <v>8</v>
      </c>
      <c r="M19" s="204"/>
      <c r="N19" s="69"/>
      <c r="O19" s="139">
        <f>IF(I19=0,0,K19*J19/I19)</f>
        <v>5.0408643003042242</v>
      </c>
      <c r="P19" s="139">
        <f>COM_Balance!L42*G19</f>
        <v>5.0408643003042233</v>
      </c>
      <c r="Q19" s="124">
        <f>I19</f>
        <v>4.5</v>
      </c>
      <c r="R19" s="73"/>
      <c r="S19" s="76">
        <f>W19</f>
        <v>21579.042381439311</v>
      </c>
      <c r="U19" s="219">
        <v>100</v>
      </c>
      <c r="V19" s="220">
        <v>8</v>
      </c>
      <c r="W19" s="221">
        <f>P19/(U19*3600*V19*365)*I19*10^12</f>
        <v>21579.042381439311</v>
      </c>
      <c r="X19" s="222">
        <v>8000</v>
      </c>
      <c r="Z19" s="373">
        <f>SUMPRODUCT('Commercial SEAI'!C45:G45,'Commercial SEAI'!C6:G6)/SUM('Commercial SEAI'!C6:G6)+50%*SUMPRODUCT('Commercial SEAI'!C44:G44,'Commercial SEAI'!C6:G6)/SUM('Commercial SEAI'!C6:G6)</f>
        <v>0.6308100829423976</v>
      </c>
    </row>
    <row r="20" spans="3:26" s="16" customFormat="1" ht="15">
      <c r="C20" s="54"/>
      <c r="D20" s="54"/>
      <c r="E20" s="54"/>
      <c r="F20" s="54"/>
      <c r="G20" s="54"/>
      <c r="H20" s="54"/>
      <c r="I20" s="54"/>
      <c r="J20" s="73"/>
      <c r="K20" s="54"/>
      <c r="L20" s="54"/>
      <c r="M20" s="54"/>
      <c r="N20" s="69"/>
      <c r="O20" s="76"/>
      <c r="P20" s="54"/>
      <c r="Q20" s="124"/>
      <c r="R20" s="73"/>
      <c r="S20" s="54"/>
      <c r="U20" s="75"/>
      <c r="V20" s="75"/>
      <c r="W20" s="75"/>
      <c r="X20" s="75"/>
    </row>
    <row r="21" spans="3:26" s="16" customFormat="1" ht="15">
      <c r="C21" s="108" t="s">
        <v>83</v>
      </c>
      <c r="D21" s="108"/>
      <c r="E21" s="54"/>
      <c r="F21" s="54"/>
      <c r="G21" s="54"/>
      <c r="H21" s="54"/>
      <c r="I21" s="76"/>
      <c r="J21" s="73"/>
      <c r="K21" s="115">
        <f>SUM(K16:K20)</f>
        <v>34244.388824924601</v>
      </c>
      <c r="L21" s="54"/>
      <c r="M21" s="100"/>
      <c r="N21" s="69"/>
      <c r="O21" s="76">
        <f>SUM(O16:O19)</f>
        <v>14.826071471483008</v>
      </c>
      <c r="P21" s="76">
        <f>SUM(P16:P19)</f>
        <v>14.826071471483008</v>
      </c>
      <c r="Q21" s="124"/>
      <c r="R21" s="73"/>
      <c r="S21" s="158">
        <f>SUM(W16:W19)</f>
        <v>34244.388824924601</v>
      </c>
    </row>
    <row r="22" spans="3:26" s="16" customFormat="1" ht="15">
      <c r="J22" s="94"/>
      <c r="K22" s="368">
        <f>K19/SUM(K16:K19)</f>
        <v>0.63014827018121922</v>
      </c>
      <c r="N22" s="69"/>
      <c r="R22" s="94"/>
    </row>
    <row r="23" spans="3:26" s="16" customFormat="1" ht="15">
      <c r="J23" s="94"/>
      <c r="N23" s="69"/>
      <c r="R23" s="94"/>
    </row>
    <row r="24" spans="3:26" s="16" customFormat="1" ht="18.75">
      <c r="C24" s="66" t="s">
        <v>86</v>
      </c>
      <c r="D24" s="66"/>
      <c r="E24" s="64"/>
      <c r="F24" s="64"/>
      <c r="G24" s="64"/>
      <c r="H24" s="68" t="s">
        <v>79</v>
      </c>
      <c r="I24" s="101"/>
      <c r="J24" s="102"/>
      <c r="K24" s="103"/>
      <c r="L24" s="103"/>
      <c r="M24" s="104"/>
      <c r="N24" s="69"/>
      <c r="O24" s="90" t="s">
        <v>237</v>
      </c>
      <c r="P24" s="90"/>
      <c r="Q24" s="202"/>
      <c r="R24" s="134"/>
      <c r="S24" s="85"/>
    </row>
    <row r="25" spans="3:26" s="16" customFormat="1" ht="45.75" thickBot="1">
      <c r="C25" s="189" t="s">
        <v>22</v>
      </c>
      <c r="D25" s="189" t="s">
        <v>603</v>
      </c>
      <c r="E25" s="189" t="s">
        <v>15</v>
      </c>
      <c r="F25" s="189" t="s">
        <v>16</v>
      </c>
      <c r="G25" s="189" t="s">
        <v>94</v>
      </c>
      <c r="H25" s="189" t="s">
        <v>39</v>
      </c>
      <c r="I25" s="185" t="s">
        <v>81</v>
      </c>
      <c r="J25" s="128" t="s">
        <v>210</v>
      </c>
      <c r="K25" s="128" t="s">
        <v>239</v>
      </c>
      <c r="L25" s="128" t="s">
        <v>238</v>
      </c>
      <c r="M25" s="128" t="s">
        <v>111</v>
      </c>
      <c r="N25" s="192"/>
      <c r="O25" s="125" t="s">
        <v>36</v>
      </c>
      <c r="P25" s="125" t="s">
        <v>56</v>
      </c>
      <c r="Q25" s="166" t="s">
        <v>23</v>
      </c>
      <c r="R25" s="125" t="s">
        <v>99</v>
      </c>
      <c r="S25" s="125" t="s">
        <v>100</v>
      </c>
    </row>
    <row r="26" spans="3:26" s="16" customFormat="1" ht="47.25">
      <c r="C26" s="190" t="s">
        <v>25</v>
      </c>
      <c r="D26" s="190"/>
      <c r="E26" s="190"/>
      <c r="F26" s="190"/>
      <c r="G26" s="190" t="s">
        <v>109</v>
      </c>
      <c r="H26" s="190"/>
      <c r="I26" s="190"/>
      <c r="J26" s="201" t="s">
        <v>38</v>
      </c>
      <c r="K26" s="201" t="s">
        <v>32</v>
      </c>
      <c r="L26" s="201" t="s">
        <v>34</v>
      </c>
      <c r="M26" s="201" t="s">
        <v>35</v>
      </c>
      <c r="N26" s="192"/>
      <c r="O26" s="133" t="s">
        <v>10</v>
      </c>
      <c r="P26" s="133" t="s">
        <v>10</v>
      </c>
      <c r="Q26" s="154"/>
      <c r="R26" s="133" t="s">
        <v>38</v>
      </c>
      <c r="S26" s="133" t="s">
        <v>32</v>
      </c>
    </row>
    <row r="27" spans="3:26" s="16" customFormat="1" ht="15">
      <c r="C27" s="54" t="str">
        <f>$C$8</f>
        <v>CCOK</v>
      </c>
      <c r="D27" s="54" t="str">
        <f>_xlfn.TEXTJOIN(",",TRUE,IF(LEFT(Regions!$C$3,1)&lt;&gt;"*",Regions!$C$3,""),IF(LEFT(Regions!$D$3,1)&lt;&gt;"*",Regions!$D$3,""))</f>
        <v>IE,National</v>
      </c>
      <c r="E27" s="54" t="str">
        <f t="shared" ref="E27:E34" si="1">LEFT(C27,5)&amp;RIGHT(H27,3)&amp;"_00"</f>
        <v>CCOKCOA_00</v>
      </c>
      <c r="F27" s="106" t="str">
        <f>"Existing commercial - Cooking "&amp;RIGHT(H27,3)</f>
        <v>Existing commercial - Cooking COA</v>
      </c>
      <c r="G27" s="54"/>
      <c r="H27" s="54" t="str">
        <f>COM_Balance!$D$13</f>
        <v>COMCOA</v>
      </c>
      <c r="I27" s="92">
        <v>1</v>
      </c>
      <c r="J27" s="79">
        <f>R27</f>
        <v>1.1575594601268406E-2</v>
      </c>
      <c r="K27" s="138">
        <f>S27</f>
        <v>0</v>
      </c>
      <c r="L27" s="70">
        <v>15</v>
      </c>
      <c r="M27" s="72"/>
      <c r="N27" s="69"/>
      <c r="O27" s="139">
        <f t="shared" ref="O27:O34" si="2">IF(I27=0,0,K27*J27/I27)</f>
        <v>0</v>
      </c>
      <c r="P27" s="172">
        <f>COM_Balance!D43</f>
        <v>0</v>
      </c>
      <c r="Q27" s="203">
        <f t="shared" ref="Q27:Q34" si="3">I27</f>
        <v>1</v>
      </c>
      <c r="R27" s="74">
        <f>IF(S36=0,0,SUMPRODUCT(Q27:Q34,P27:P34)/S36)</f>
        <v>1.1575594601268406E-2</v>
      </c>
      <c r="S27" s="76">
        <f>IF($P$36=0,0,Q27*P27/SUMPRODUCT($P$27:$P$34,$Q$27:$Q$34)*$S$36)</f>
        <v>0</v>
      </c>
    </row>
    <row r="28" spans="3:26" s="16" customFormat="1" ht="15">
      <c r="C28" s="54" t="str">
        <f t="shared" ref="C28:C34" si="4">$C$8</f>
        <v>CCOK</v>
      </c>
      <c r="D28" s="54" t="str">
        <f>_xlfn.TEXTJOIN(",",TRUE,IF(LEFT(Regions!$C$3,1)&lt;&gt;"*",Regions!$C$3,""),IF(LEFT(Regions!$D$3,1)&lt;&gt;"*",Regions!$D$3,""))</f>
        <v>IE,National</v>
      </c>
      <c r="E28" s="54" t="str">
        <f t="shared" si="1"/>
        <v>CCOKLPG_00</v>
      </c>
      <c r="F28" s="106" t="str">
        <f t="shared" ref="F28:F34" si="5">"Existing commercial - Cooking "&amp;RIGHT(H28,3)</f>
        <v>Existing commercial - Cooking LPG</v>
      </c>
      <c r="G28" s="54"/>
      <c r="H28" s="54" t="str">
        <f>COM_Balance!$E$13</f>
        <v>COMLPG</v>
      </c>
      <c r="I28" s="92">
        <v>1</v>
      </c>
      <c r="J28" s="73">
        <f t="shared" ref="J28:J34" si="6">$J$27</f>
        <v>1.1575594601268406E-2</v>
      </c>
      <c r="K28" s="138">
        <f t="shared" ref="K28:K34" si="7">S28</f>
        <v>7.4549249811537219</v>
      </c>
      <c r="L28" s="70">
        <v>15</v>
      </c>
      <c r="M28" s="72"/>
      <c r="N28" s="69"/>
      <c r="O28" s="139">
        <f t="shared" si="2"/>
        <v>8.6295189364703997E-2</v>
      </c>
      <c r="P28" s="172">
        <f>COM_Balance!E43</f>
        <v>8.6295189364703997E-2</v>
      </c>
      <c r="Q28" s="124">
        <f t="shared" si="3"/>
        <v>1</v>
      </c>
      <c r="R28" s="73"/>
      <c r="S28" s="76">
        <f>IF($P$36=0,0,Q28*P28/SUMPRODUCT($P$27:$P$34,$Q$27:$Q$34)*$S$36)</f>
        <v>7.4549249811537219</v>
      </c>
    </row>
    <row r="29" spans="3:26" s="16" customFormat="1" ht="15">
      <c r="C29" s="54" t="str">
        <f t="shared" si="4"/>
        <v>CCOK</v>
      </c>
      <c r="D29" s="54" t="str">
        <f>_xlfn.TEXTJOIN(",",TRUE,IF(LEFT(Regions!$C$3,1)&lt;&gt;"*",Regions!$C$3,""),IF(LEFT(Regions!$D$3,1)&lt;&gt;"*",Regions!$D$3,""))</f>
        <v>IE,National</v>
      </c>
      <c r="E29" s="54" t="str">
        <f t="shared" si="1"/>
        <v>CCOKOIL_00</v>
      </c>
      <c r="F29" s="106" t="str">
        <f t="shared" si="5"/>
        <v>Existing commercial - Cooking OIL</v>
      </c>
      <c r="G29" s="54"/>
      <c r="H29" s="54" t="str">
        <f>COM_Balance!$F$13</f>
        <v>COMOIL</v>
      </c>
      <c r="I29" s="92">
        <v>1</v>
      </c>
      <c r="J29" s="73">
        <f t="shared" si="6"/>
        <v>1.1575594601268406E-2</v>
      </c>
      <c r="K29" s="138">
        <f t="shared" si="7"/>
        <v>20.725802933652879</v>
      </c>
      <c r="L29" s="70">
        <v>15</v>
      </c>
      <c r="M29" s="72"/>
      <c r="N29" s="69"/>
      <c r="O29" s="139">
        <f t="shared" si="2"/>
        <v>0.23991349254574518</v>
      </c>
      <c r="P29" s="172">
        <f>COM_Balance!F43</f>
        <v>0.23991349254574518</v>
      </c>
      <c r="Q29" s="124">
        <f t="shared" si="3"/>
        <v>1</v>
      </c>
      <c r="R29" s="73"/>
      <c r="S29" s="76">
        <f t="shared" ref="S29:S34" si="8">IF($P$36=0,0,Q29*P29/SUMPRODUCT($P$27:$P$34,$Q$27:$Q$34)*$S$36)</f>
        <v>20.725802933652879</v>
      </c>
    </row>
    <row r="30" spans="3:26" s="16" customFormat="1" ht="15">
      <c r="C30" s="54" t="str">
        <f t="shared" si="4"/>
        <v>CCOK</v>
      </c>
      <c r="D30" s="54" t="str">
        <f>_xlfn.TEXTJOIN(",",TRUE,IF(LEFT(Regions!$C$3,1)&lt;&gt;"*",Regions!$C$3,""),IF(LEFT(Regions!$D$3,1)&lt;&gt;"*",Regions!$D$3,""))</f>
        <v>IE,National</v>
      </c>
      <c r="E30" s="54" t="str">
        <f t="shared" si="1"/>
        <v>CCOKGAS_00</v>
      </c>
      <c r="F30" s="106" t="str">
        <f t="shared" si="5"/>
        <v>Existing commercial - Cooking GAS</v>
      </c>
      <c r="G30" s="54"/>
      <c r="H30" s="54" t="str">
        <f>COM_Balance!$G$13</f>
        <v>COMGAS</v>
      </c>
      <c r="I30" s="92">
        <v>1</v>
      </c>
      <c r="J30" s="73">
        <f t="shared" si="6"/>
        <v>1.1575594601268406E-2</v>
      </c>
      <c r="K30" s="138">
        <f t="shared" si="7"/>
        <v>42.523296827944641</v>
      </c>
      <c r="L30" s="70">
        <v>15</v>
      </c>
      <c r="M30" s="72"/>
      <c r="N30" s="69"/>
      <c r="O30" s="139">
        <f t="shared" si="2"/>
        <v>0.49223244518968995</v>
      </c>
      <c r="P30" s="172">
        <f>COM_Balance!G43</f>
        <v>0.49223244518968989</v>
      </c>
      <c r="Q30" s="124">
        <f t="shared" si="3"/>
        <v>1</v>
      </c>
      <c r="R30" s="73"/>
      <c r="S30" s="76">
        <f t="shared" si="8"/>
        <v>42.523296827944641</v>
      </c>
    </row>
    <row r="31" spans="3:26" s="16" customFormat="1" ht="15">
      <c r="C31" s="54" t="str">
        <f t="shared" si="4"/>
        <v>CCOK</v>
      </c>
      <c r="D31" s="54" t="str">
        <f>_xlfn.TEXTJOIN(",",TRUE,IF(LEFT(Regions!$C$3,1)&lt;&gt;"*",Regions!$C$3,""),IF(LEFT(Regions!$D$3,1)&lt;&gt;"*",Regions!$D$3,""))</f>
        <v>IE,National</v>
      </c>
      <c r="E31" s="54" t="str">
        <f t="shared" si="1"/>
        <v>CCOKBIO_00</v>
      </c>
      <c r="F31" s="106" t="str">
        <f t="shared" si="5"/>
        <v>Existing commercial - Cooking BIO</v>
      </c>
      <c r="G31" s="54"/>
      <c r="H31" s="54" t="str">
        <f>COM_Balance!$H$13</f>
        <v>COMBIO</v>
      </c>
      <c r="I31" s="92">
        <v>1</v>
      </c>
      <c r="J31" s="73">
        <f t="shared" si="6"/>
        <v>1.1575594601268406E-2</v>
      </c>
      <c r="K31" s="138">
        <f t="shared" si="7"/>
        <v>1.9239190471840706</v>
      </c>
      <c r="L31" s="70">
        <v>15</v>
      </c>
      <c r="M31" s="72"/>
      <c r="N31" s="69"/>
      <c r="O31" s="139">
        <f t="shared" si="2"/>
        <v>2.2270506935861384E-2</v>
      </c>
      <c r="P31" s="172">
        <f>COM_Balance!H43</f>
        <v>2.2270506935861384E-2</v>
      </c>
      <c r="Q31" s="124">
        <f t="shared" si="3"/>
        <v>1</v>
      </c>
      <c r="R31" s="73"/>
      <c r="S31" s="76">
        <f t="shared" si="8"/>
        <v>1.9239190471840706</v>
      </c>
    </row>
    <row r="32" spans="3:26" s="16" customFormat="1" ht="15">
      <c r="C32" s="54" t="str">
        <f t="shared" si="4"/>
        <v>CCOK</v>
      </c>
      <c r="D32" s="54" t="str">
        <f>_xlfn.TEXTJOIN(",",TRUE,IF(LEFT(Regions!$C$3,1)&lt;&gt;"*",Regions!$C$3,""),IF(LEFT(Regions!$D$3,1)&lt;&gt;"*",Regions!$D$3,""))</f>
        <v>IE,National</v>
      </c>
      <c r="E32" s="54" t="str">
        <f t="shared" si="1"/>
        <v>CCOKBGS_00</v>
      </c>
      <c r="F32" s="106" t="str">
        <f t="shared" si="5"/>
        <v>Existing commercial - Cooking BGS</v>
      </c>
      <c r="G32" s="54"/>
      <c r="H32" s="54" t="str">
        <f>COM_Balance!$I$13</f>
        <v>COMBGS</v>
      </c>
      <c r="I32" s="92">
        <v>1</v>
      </c>
      <c r="J32" s="73">
        <f t="shared" si="6"/>
        <v>1.1575594601268406E-2</v>
      </c>
      <c r="K32" s="138">
        <f>S32</f>
        <v>0</v>
      </c>
      <c r="L32" s="70">
        <v>15</v>
      </c>
      <c r="M32" s="72"/>
      <c r="N32" s="69"/>
      <c r="O32" s="139">
        <f>IF(I32=0,0,K32*J32/I32)</f>
        <v>0</v>
      </c>
      <c r="P32" s="172">
        <f>COM_Balance!I43</f>
        <v>0</v>
      </c>
      <c r="Q32" s="124">
        <f>I32</f>
        <v>1</v>
      </c>
      <c r="R32" s="73"/>
      <c r="S32" s="76">
        <f>IF($P$36=0,0,Q32*P32/SUMPRODUCT($P$27:$P$34,$Q$27:$Q$34)*$S$36)</f>
        <v>0</v>
      </c>
    </row>
    <row r="33" spans="3:19" s="16" customFormat="1" ht="15">
      <c r="C33" s="54" t="str">
        <f t="shared" si="4"/>
        <v>CCOK</v>
      </c>
      <c r="D33" s="54" t="str">
        <f>_xlfn.TEXTJOIN(",",TRUE,IF(LEFT(Regions!$C$3,1)&lt;&gt;"*",Regions!$C$3,""),IF(LEFT(Regions!$D$3,1)&lt;&gt;"*",Regions!$D$3,""))</f>
        <v>IE,National</v>
      </c>
      <c r="E33" s="54" t="str">
        <f t="shared" si="1"/>
        <v>CCOKSOL_00</v>
      </c>
      <c r="F33" s="106" t="str">
        <f t="shared" si="5"/>
        <v>Existing commercial - Cooking SOL</v>
      </c>
      <c r="G33" s="54"/>
      <c r="H33" s="54" t="str">
        <f>COM_Balance!$J$13</f>
        <v>COMSOL</v>
      </c>
      <c r="I33" s="92">
        <v>1</v>
      </c>
      <c r="J33" s="73">
        <f t="shared" si="6"/>
        <v>1.1575594601268406E-2</v>
      </c>
      <c r="K33" s="138">
        <f t="shared" si="7"/>
        <v>0</v>
      </c>
      <c r="L33" s="70">
        <v>15</v>
      </c>
      <c r="M33" s="72"/>
      <c r="N33" s="69"/>
      <c r="O33" s="139">
        <f t="shared" si="2"/>
        <v>0</v>
      </c>
      <c r="P33" s="172">
        <f>COM_Balance!J43</f>
        <v>0</v>
      </c>
      <c r="Q33" s="124">
        <f t="shared" si="3"/>
        <v>1</v>
      </c>
      <c r="R33" s="73"/>
      <c r="S33" s="76">
        <f t="shared" si="8"/>
        <v>0</v>
      </c>
    </row>
    <row r="34" spans="3:19" s="16" customFormat="1" ht="15">
      <c r="C34" s="54" t="str">
        <f t="shared" si="4"/>
        <v>CCOK</v>
      </c>
      <c r="D34" s="54" t="str">
        <f>_xlfn.TEXTJOIN(",",TRUE,IF(LEFT(Regions!$C$3,1)&lt;&gt;"*",Regions!$C$3,""),IF(LEFT(Regions!$D$3,1)&lt;&gt;"*",Regions!$D$3,""))</f>
        <v>IE,National</v>
      </c>
      <c r="E34" s="54" t="str">
        <f t="shared" si="1"/>
        <v>CCOKELC_00</v>
      </c>
      <c r="F34" s="106" t="str">
        <f t="shared" si="5"/>
        <v>Existing commercial - Cooking ELC</v>
      </c>
      <c r="G34" s="54"/>
      <c r="H34" s="54" t="str">
        <f>COM_Balance!$L$13</f>
        <v>COMELC</v>
      </c>
      <c r="I34" s="92">
        <v>1</v>
      </c>
      <c r="J34" s="73">
        <f t="shared" si="6"/>
        <v>1.1575594601268406E-2</v>
      </c>
      <c r="K34" s="138">
        <f t="shared" si="7"/>
        <v>0</v>
      </c>
      <c r="L34" s="70">
        <v>15</v>
      </c>
      <c r="M34" s="72"/>
      <c r="N34" s="69"/>
      <c r="O34" s="139">
        <f t="shared" si="2"/>
        <v>0</v>
      </c>
      <c r="P34" s="172">
        <f>COM_Balance!K43</f>
        <v>0</v>
      </c>
      <c r="Q34" s="124">
        <f t="shared" si="3"/>
        <v>1</v>
      </c>
      <c r="R34" s="73"/>
      <c r="S34" s="76">
        <f t="shared" si="8"/>
        <v>0</v>
      </c>
    </row>
    <row r="35" spans="3:19" s="16" customFormat="1" ht="15">
      <c r="C35" s="54"/>
      <c r="D35" s="54"/>
      <c r="E35" s="54"/>
      <c r="F35" s="54"/>
      <c r="G35" s="54"/>
      <c r="H35" s="54"/>
      <c r="I35" s="54"/>
      <c r="J35" s="73"/>
      <c r="K35" s="54"/>
      <c r="L35" s="54"/>
      <c r="M35" s="54"/>
      <c r="N35" s="69"/>
      <c r="O35" s="76"/>
      <c r="P35" s="54"/>
      <c r="Q35" s="165"/>
      <c r="R35" s="73"/>
      <c r="S35" s="54"/>
    </row>
    <row r="36" spans="3:19" s="16" customFormat="1" ht="15">
      <c r="C36" s="108" t="s">
        <v>83</v>
      </c>
      <c r="D36" s="108"/>
      <c r="E36" s="54"/>
      <c r="F36" s="54"/>
      <c r="G36" s="54"/>
      <c r="H36" s="54"/>
      <c r="I36" s="76"/>
      <c r="J36" s="73"/>
      <c r="K36" s="115">
        <f>SUM(K27:K35)</f>
        <v>72.627943789935316</v>
      </c>
      <c r="L36" s="54"/>
      <c r="M36" s="100"/>
      <c r="N36" s="69"/>
      <c r="O36" s="76">
        <f>SUM(O27:O34)</f>
        <v>0.84071163403600047</v>
      </c>
      <c r="P36" s="76">
        <f>SUM(P27:P34)</f>
        <v>0.84071163403600047</v>
      </c>
      <c r="Q36" s="165"/>
      <c r="R36" s="73"/>
      <c r="S36" s="158">
        <f>COM_Balance!C56*0.4</f>
        <v>72.627943789935316</v>
      </c>
    </row>
    <row r="37" spans="3:19" s="16" customFormat="1" ht="15">
      <c r="J37" s="94"/>
      <c r="N37" s="69"/>
      <c r="R37" s="94"/>
    </row>
    <row r="38" spans="3:19" s="16" customFormat="1" ht="15">
      <c r="J38" s="94"/>
      <c r="N38" s="69"/>
      <c r="R38" s="94"/>
    </row>
    <row r="39" spans="3:19" s="16" customFormat="1" ht="18.75">
      <c r="C39" s="66" t="s">
        <v>87</v>
      </c>
      <c r="D39" s="66"/>
      <c r="E39" s="64"/>
      <c r="F39" s="64"/>
      <c r="G39" s="64"/>
      <c r="H39" s="68" t="s">
        <v>79</v>
      </c>
      <c r="I39" s="101"/>
      <c r="J39" s="102"/>
      <c r="K39" s="103"/>
      <c r="L39" s="103"/>
      <c r="M39" s="104"/>
      <c r="N39" s="69"/>
      <c r="O39" s="90" t="s">
        <v>237</v>
      </c>
      <c r="P39" s="90"/>
      <c r="Q39" s="202"/>
      <c r="R39" s="134"/>
      <c r="S39" s="85"/>
    </row>
    <row r="40" spans="3:19" s="16" customFormat="1" ht="45.75" thickBot="1">
      <c r="C40" s="189" t="s">
        <v>22</v>
      </c>
      <c r="D40" s="189" t="s">
        <v>603</v>
      </c>
      <c r="E40" s="189" t="s">
        <v>15</v>
      </c>
      <c r="F40" s="189" t="s">
        <v>16</v>
      </c>
      <c r="G40" s="189" t="s">
        <v>94</v>
      </c>
      <c r="H40" s="189" t="s">
        <v>39</v>
      </c>
      <c r="I40" s="185" t="s">
        <v>81</v>
      </c>
      <c r="J40" s="128" t="s">
        <v>210</v>
      </c>
      <c r="K40" s="128" t="s">
        <v>239</v>
      </c>
      <c r="L40" s="128" t="s">
        <v>238</v>
      </c>
      <c r="M40" s="128" t="s">
        <v>111</v>
      </c>
      <c r="N40" s="192"/>
      <c r="O40" s="125" t="s">
        <v>36</v>
      </c>
      <c r="P40" s="125" t="s">
        <v>56</v>
      </c>
      <c r="Q40" s="166" t="s">
        <v>23</v>
      </c>
      <c r="R40" s="125" t="s">
        <v>99</v>
      </c>
      <c r="S40" s="125" t="s">
        <v>100</v>
      </c>
    </row>
    <row r="41" spans="3:19" s="16" customFormat="1" ht="48" thickBot="1">
      <c r="C41" s="190" t="s">
        <v>25</v>
      </c>
      <c r="D41" s="190"/>
      <c r="E41" s="190"/>
      <c r="F41" s="190"/>
      <c r="G41" s="190" t="s">
        <v>109</v>
      </c>
      <c r="H41" s="190"/>
      <c r="I41" s="190"/>
      <c r="J41" s="201" t="s">
        <v>38</v>
      </c>
      <c r="K41" s="201" t="s">
        <v>32</v>
      </c>
      <c r="L41" s="201" t="s">
        <v>34</v>
      </c>
      <c r="M41" s="201" t="s">
        <v>35</v>
      </c>
      <c r="N41" s="192"/>
      <c r="O41" s="133" t="s">
        <v>10</v>
      </c>
      <c r="P41" s="133" t="s">
        <v>10</v>
      </c>
      <c r="Q41" s="154"/>
      <c r="R41" s="133" t="s">
        <v>38</v>
      </c>
      <c r="S41" s="133" t="s">
        <v>32</v>
      </c>
    </row>
    <row r="42" spans="3:19" s="16" customFormat="1" ht="15">
      <c r="C42" s="54" t="str">
        <f>$C$9</f>
        <v>CREF</v>
      </c>
      <c r="D42" s="54" t="str">
        <f>_xlfn.TEXTJOIN(",",TRUE,IF(LEFT(Regions!$C$3,1)&lt;&gt;"*",Regions!$C$3,""),IF(LEFT(Regions!$D$3,1)&lt;&gt;"*",Regions!$D$3,""))</f>
        <v>IE,National</v>
      </c>
      <c r="E42" s="54" t="str">
        <f>LEFT(C42,5)&amp;RIGHT(H42,3)&amp;"_00_Ref"</f>
        <v>CREFELC_00_Ref</v>
      </c>
      <c r="F42" s="106" t="str">
        <f>"Existing commercial - Refrigeration "&amp;RIGHT(H42,3)&amp;" Refrigerator"</f>
        <v>Existing commercial - Refrigeration ELC Refrigerator</v>
      </c>
      <c r="G42" s="118">
        <v>0.3</v>
      </c>
      <c r="H42" s="54" t="str">
        <f>COM_Balance!$L$13</f>
        <v>COMELC</v>
      </c>
      <c r="I42" s="88">
        <v>0.9</v>
      </c>
      <c r="J42" s="138">
        <f>R42</f>
        <v>3.5735257854611201E-2</v>
      </c>
      <c r="K42" s="138">
        <f>S42</f>
        <v>21.199507917062203</v>
      </c>
      <c r="L42" s="70">
        <v>15</v>
      </c>
      <c r="M42" s="72"/>
      <c r="N42" s="69"/>
      <c r="O42" s="139">
        <f>IF(I42=0,0,K42*J42/I42)</f>
        <v>0.84174431311898823</v>
      </c>
      <c r="P42" s="139">
        <f>COM_Balance!L44*G42</f>
        <v>0.84174431311898812</v>
      </c>
      <c r="Q42" s="203">
        <f>I42</f>
        <v>0.9</v>
      </c>
      <c r="R42" s="73">
        <f>IF(S46=0,0,SUMPRODUCT(Q42:Q44,P42:P44)/S46)</f>
        <v>3.5735257854611201E-2</v>
      </c>
      <c r="S42" s="76">
        <f>IF($P$46*Q42=0,0,Q42*P42/SUMPRODUCT($P$42:$P$44,$Q$42:$Q$44)*$S$46)</f>
        <v>21.199507917062203</v>
      </c>
    </row>
    <row r="43" spans="3:19" s="16" customFormat="1" ht="15">
      <c r="C43" s="54" t="str">
        <f>$C$9</f>
        <v>CREF</v>
      </c>
      <c r="D43" s="54" t="str">
        <f>_xlfn.TEXTJOIN(",",TRUE,IF(LEFT(Regions!$C$3,1)&lt;&gt;"*",Regions!$C$3,""),IF(LEFT(Regions!$D$3,1)&lt;&gt;"*",Regions!$D$3,""))</f>
        <v>IE,National</v>
      </c>
      <c r="E43" s="54" t="str">
        <f>LEFT(C43,5)&amp;RIGHT(H43,3)&amp;"_00_Fre"</f>
        <v>CREFELC_00_Fre</v>
      </c>
      <c r="F43" s="106" t="str">
        <f>"Existing commercial - Refrigeration "&amp;RIGHT(H43,3)&amp;" Freezer"</f>
        <v>Existing commercial - Refrigeration ELC Freezer</v>
      </c>
      <c r="G43" s="120">
        <v>0.3</v>
      </c>
      <c r="H43" s="54" t="str">
        <f>COM_Balance!$L$13</f>
        <v>COMELC</v>
      </c>
      <c r="I43" s="88">
        <v>0.85</v>
      </c>
      <c r="J43" s="73">
        <f>$J$42</f>
        <v>3.5735257854611201E-2</v>
      </c>
      <c r="K43" s="138">
        <f>S43</f>
        <v>20.021757477225414</v>
      </c>
      <c r="L43" s="70">
        <v>15</v>
      </c>
      <c r="M43" s="72"/>
      <c r="N43" s="69"/>
      <c r="O43" s="139">
        <f>IF(I43=0,0,K43*J43/I43)</f>
        <v>0.84174431311898823</v>
      </c>
      <c r="P43" s="139">
        <f>COM_Balance!L44*G43</f>
        <v>0.84174431311898812</v>
      </c>
      <c r="Q43" s="124">
        <f>I43</f>
        <v>0.85</v>
      </c>
      <c r="R43" s="73"/>
      <c r="S43" s="76">
        <f>IF($P$46*Q43=0,0,Q43*P43/SUMPRODUCT($P$42:$P$44,$Q$42:$Q$44)*$S$46)</f>
        <v>20.021757477225414</v>
      </c>
    </row>
    <row r="44" spans="3:19" s="16" customFormat="1" ht="15.75" thickBot="1">
      <c r="C44" s="54" t="str">
        <f>$C$9</f>
        <v>CREF</v>
      </c>
      <c r="D44" s="54" t="str">
        <f>_xlfn.TEXTJOIN(",",TRUE,IF(LEFT(Regions!$C$3,1)&lt;&gt;"*",Regions!$C$3,""),IF(LEFT(Regions!$D$3,1)&lt;&gt;"*",Regions!$D$3,""))</f>
        <v>IE,National</v>
      </c>
      <c r="E44" s="54" t="str">
        <f>LEFT(C44,5)&amp;RIGHT(H44,3)&amp;"_00_RF"</f>
        <v>CREFELC_00_RF</v>
      </c>
      <c r="F44" s="106" t="str">
        <f>"Existing commercial - Refrigeration "&amp;RIGHT(H44,3)&amp;" Refrigerator + Freezer"</f>
        <v>Existing commercial - Refrigeration ELC Refrigerator + Freezer</v>
      </c>
      <c r="G44" s="119">
        <f>1-G43-G42</f>
        <v>0.39999999999999997</v>
      </c>
      <c r="H44" s="54" t="str">
        <f>COM_Balance!$L$13</f>
        <v>COMELC</v>
      </c>
      <c r="I44" s="88">
        <v>1</v>
      </c>
      <c r="J44" s="73">
        <f>$J$42</f>
        <v>3.5735257854611201E-2</v>
      </c>
      <c r="K44" s="138">
        <f>S44</f>
        <v>31.406678395647706</v>
      </c>
      <c r="L44" s="70">
        <v>15</v>
      </c>
      <c r="M44" s="72"/>
      <c r="N44" s="69"/>
      <c r="O44" s="139">
        <f>IF(I44=0,0,K44*J44/I44)</f>
        <v>1.1223257508253175</v>
      </c>
      <c r="P44" s="139">
        <f>COM_Balance!L44*G44</f>
        <v>1.1223257508253175</v>
      </c>
      <c r="Q44" s="124">
        <f>I44</f>
        <v>1</v>
      </c>
      <c r="R44" s="73"/>
      <c r="S44" s="76">
        <f>IF($P$46*Q44=0,0,Q44*P44/SUMPRODUCT($P$42:$P$44,$Q$42:$Q$44)*$S$46)</f>
        <v>31.406678395647706</v>
      </c>
    </row>
    <row r="45" spans="3:19" s="16" customFormat="1" ht="15">
      <c r="C45" s="54"/>
      <c r="D45" s="54"/>
      <c r="E45" s="54"/>
      <c r="F45" s="54"/>
      <c r="G45" s="54"/>
      <c r="H45" s="54"/>
      <c r="I45" s="54"/>
      <c r="J45" s="73"/>
      <c r="K45" s="54"/>
      <c r="L45" s="54"/>
      <c r="M45" s="54"/>
      <c r="N45" s="69"/>
      <c r="O45" s="76"/>
      <c r="P45" s="54"/>
      <c r="Q45" s="165"/>
      <c r="R45" s="73"/>
      <c r="S45" s="54"/>
    </row>
    <row r="46" spans="3:19" s="16" customFormat="1" ht="15">
      <c r="C46" s="208" t="s">
        <v>83</v>
      </c>
      <c r="D46" s="208"/>
      <c r="E46" s="54"/>
      <c r="F46" s="54"/>
      <c r="G46" s="54"/>
      <c r="H46" s="54"/>
      <c r="I46" s="76"/>
      <c r="J46" s="73"/>
      <c r="K46" s="115">
        <f>SUM(K42:K45)</f>
        <v>72.627943789935316</v>
      </c>
      <c r="L46" s="54"/>
      <c r="M46" s="100"/>
      <c r="N46" s="69"/>
      <c r="O46" s="76">
        <f>SUM(O42:O44)</f>
        <v>2.8058143770632942</v>
      </c>
      <c r="P46" s="76">
        <f>SUM(P42:P44)</f>
        <v>2.8058143770632937</v>
      </c>
      <c r="Q46" s="165"/>
      <c r="R46" s="73"/>
      <c r="S46" s="158">
        <f>COM_Balance!C56*0.4</f>
        <v>72.627943789935316</v>
      </c>
    </row>
    <row r="47" spans="3:19" s="16" customFormat="1" ht="15">
      <c r="J47" s="94"/>
      <c r="N47" s="69"/>
      <c r="R47" s="94"/>
    </row>
    <row r="48" spans="3:19" s="16" customFormat="1" ht="15">
      <c r="J48" s="94"/>
      <c r="N48" s="69"/>
      <c r="R48" s="94"/>
    </row>
    <row r="49" spans="3:19" s="16" customFormat="1" ht="18.75">
      <c r="C49" s="66" t="s">
        <v>90</v>
      </c>
      <c r="D49" s="66"/>
      <c r="E49" s="64"/>
      <c r="F49" s="64"/>
      <c r="G49" s="64"/>
      <c r="H49" s="68" t="s">
        <v>79</v>
      </c>
      <c r="I49" s="101"/>
      <c r="J49" s="102"/>
      <c r="K49" s="103"/>
      <c r="L49" s="103"/>
      <c r="M49" s="104"/>
      <c r="N49" s="69"/>
      <c r="O49" s="90" t="s">
        <v>237</v>
      </c>
      <c r="P49" s="90"/>
      <c r="Q49" s="202"/>
      <c r="R49" s="134"/>
      <c r="S49" s="85"/>
    </row>
    <row r="50" spans="3:19" s="16" customFormat="1" ht="45.75" thickBot="1">
      <c r="C50" s="189" t="s">
        <v>22</v>
      </c>
      <c r="D50" s="189" t="s">
        <v>603</v>
      </c>
      <c r="E50" s="189" t="s">
        <v>15</v>
      </c>
      <c r="F50" s="189" t="s">
        <v>16</v>
      </c>
      <c r="G50" s="189" t="s">
        <v>94</v>
      </c>
      <c r="H50" s="189" t="s">
        <v>39</v>
      </c>
      <c r="I50" s="185" t="s">
        <v>81</v>
      </c>
      <c r="J50" s="128" t="s">
        <v>210</v>
      </c>
      <c r="K50" s="128" t="s">
        <v>239</v>
      </c>
      <c r="L50" s="128" t="s">
        <v>238</v>
      </c>
      <c r="M50" s="128" t="s">
        <v>111</v>
      </c>
      <c r="N50" s="192"/>
      <c r="O50" s="125" t="s">
        <v>36</v>
      </c>
      <c r="P50" s="125" t="s">
        <v>56</v>
      </c>
      <c r="Q50" s="166" t="s">
        <v>23</v>
      </c>
      <c r="R50" s="125" t="s">
        <v>99</v>
      </c>
      <c r="S50" s="125" t="s">
        <v>100</v>
      </c>
    </row>
    <row r="51" spans="3:19" s="16" customFormat="1" ht="47.25">
      <c r="C51" s="190" t="s">
        <v>25</v>
      </c>
      <c r="D51" s="190"/>
      <c r="E51" s="190"/>
      <c r="F51" s="190"/>
      <c r="G51" s="190" t="s">
        <v>109</v>
      </c>
      <c r="H51" s="190"/>
      <c r="I51" s="190"/>
      <c r="J51" s="201" t="s">
        <v>38</v>
      </c>
      <c r="K51" s="201" t="s">
        <v>32</v>
      </c>
      <c r="L51" s="201" t="s">
        <v>34</v>
      </c>
      <c r="M51" s="201" t="s">
        <v>35</v>
      </c>
      <c r="N51" s="192"/>
      <c r="O51" s="133" t="s">
        <v>10</v>
      </c>
      <c r="P51" s="133" t="s">
        <v>10</v>
      </c>
      <c r="Q51" s="154"/>
      <c r="R51" s="133" t="s">
        <v>38</v>
      </c>
      <c r="S51" s="133" t="s">
        <v>32</v>
      </c>
    </row>
    <row r="52" spans="3:19" s="16" customFormat="1" ht="15">
      <c r="C52" s="54" t="str">
        <f>C10</f>
        <v>CPLI</v>
      </c>
      <c r="D52" s="54" t="str">
        <f>_xlfn.TEXTJOIN(",",TRUE,IF(LEFT(Regions!$C$3,1)&lt;&gt;"*",Regions!$C$3,""),IF(LEFT(Regions!$D$3,1)&lt;&gt;"*",Regions!$D$3,""))</f>
        <v>IE,National</v>
      </c>
      <c r="E52" s="209" t="str">
        <f>LEFT(C52,5)&amp;RIGHT(H52,3)&amp;"_00"</f>
        <v>CPLIELC_00</v>
      </c>
      <c r="F52" s="106" t="str">
        <f>"Existing commercial - Public Lighting "&amp;RIGHT(H52,3)</f>
        <v>Existing commercial - Public Lighting ELC</v>
      </c>
      <c r="G52" s="54"/>
      <c r="H52" s="209" t="str">
        <f>COM_Balance!$L$13</f>
        <v>COMELC</v>
      </c>
      <c r="I52" s="92">
        <v>1</v>
      </c>
      <c r="J52" s="210">
        <f>R52</f>
        <v>5.7101787793856456E-4</v>
      </c>
      <c r="K52" s="138">
        <f>S52</f>
        <v>2005</v>
      </c>
      <c r="L52" s="193">
        <v>15</v>
      </c>
      <c r="M52" s="205"/>
      <c r="N52" s="192"/>
      <c r="O52" s="139">
        <f>IF(I52=0,0,K52*J52/I52)</f>
        <v>1.1448908452668221</v>
      </c>
      <c r="P52" s="139">
        <f>COM_Balance!L45</f>
        <v>1.1448908452668221</v>
      </c>
      <c r="Q52" s="203">
        <f>I52</f>
        <v>1</v>
      </c>
      <c r="R52" s="116">
        <f>IF(S54=0,0,SUMPRODUCT(Q52,P52)/S54)</f>
        <v>5.7101787793856456E-4</v>
      </c>
      <c r="S52" s="76">
        <f>IF($P$54*Q52=0,0,Q52*P52/SUMPRODUCT($P$52,$Q$52)*$S$54)</f>
        <v>2005</v>
      </c>
    </row>
    <row r="53" spans="3:19" s="16" customFormat="1" ht="15">
      <c r="C53" s="54"/>
      <c r="D53" s="54"/>
      <c r="E53" s="54"/>
      <c r="F53" s="54"/>
      <c r="G53" s="54"/>
      <c r="H53" s="54"/>
      <c r="I53" s="54"/>
      <c r="J53" s="73"/>
      <c r="K53" s="54"/>
      <c r="L53" s="54"/>
      <c r="M53" s="54"/>
      <c r="N53" s="69"/>
      <c r="O53" s="76"/>
      <c r="P53" s="54"/>
      <c r="Q53" s="165"/>
      <c r="R53" s="73"/>
      <c r="S53" s="54"/>
    </row>
    <row r="54" spans="3:19" s="16" customFormat="1" ht="15">
      <c r="C54" s="108" t="s">
        <v>83</v>
      </c>
      <c r="D54" s="108"/>
      <c r="E54" s="54"/>
      <c r="F54" s="54"/>
      <c r="G54" s="54"/>
      <c r="H54" s="54"/>
      <c r="I54" s="76"/>
      <c r="J54" s="73"/>
      <c r="K54" s="115">
        <f>SUM(K52:K53)</f>
        <v>2005</v>
      </c>
      <c r="L54" s="54"/>
      <c r="M54" s="100"/>
      <c r="N54" s="69"/>
      <c r="O54" s="76">
        <f>SUM(O52)</f>
        <v>1.1448908452668221</v>
      </c>
      <c r="P54" s="76">
        <f>SUM(P52)</f>
        <v>1.1448908452668221</v>
      </c>
      <c r="Q54" s="165"/>
      <c r="R54" s="73"/>
      <c r="S54" s="398">
        <v>2005</v>
      </c>
    </row>
    <row r="55" spans="3:19" s="16" customFormat="1" ht="15">
      <c r="J55" s="94"/>
      <c r="N55" s="69"/>
      <c r="R55" s="94"/>
    </row>
    <row r="56" spans="3:19" s="16" customFormat="1" ht="15">
      <c r="J56" s="94"/>
      <c r="N56" s="69"/>
      <c r="R56" s="94"/>
    </row>
    <row r="57" spans="3:19" s="16" customFormat="1" ht="18.75">
      <c r="C57" s="66" t="s">
        <v>88</v>
      </c>
      <c r="D57" s="66"/>
      <c r="E57" s="64"/>
      <c r="F57" s="64"/>
      <c r="G57" s="64"/>
      <c r="H57" s="68" t="s">
        <v>79</v>
      </c>
      <c r="I57" s="101"/>
      <c r="J57" s="102"/>
      <c r="K57" s="103"/>
      <c r="L57" s="103"/>
      <c r="M57" s="104"/>
      <c r="N57" s="69"/>
      <c r="O57" s="90" t="s">
        <v>237</v>
      </c>
      <c r="P57" s="90"/>
      <c r="Q57" s="202"/>
      <c r="R57" s="134"/>
      <c r="S57" s="85"/>
    </row>
    <row r="58" spans="3:19" s="16" customFormat="1" ht="45.75" thickBot="1">
      <c r="C58" s="189" t="s">
        <v>22</v>
      </c>
      <c r="D58" s="189" t="s">
        <v>603</v>
      </c>
      <c r="E58" s="189" t="s">
        <v>15</v>
      </c>
      <c r="F58" s="189" t="s">
        <v>16</v>
      </c>
      <c r="G58" s="189" t="s">
        <v>94</v>
      </c>
      <c r="H58" s="189" t="s">
        <v>39</v>
      </c>
      <c r="I58" s="185" t="s">
        <v>81</v>
      </c>
      <c r="J58" s="128" t="s">
        <v>210</v>
      </c>
      <c r="K58" s="128" t="s">
        <v>239</v>
      </c>
      <c r="L58" s="128" t="s">
        <v>238</v>
      </c>
      <c r="M58" s="128" t="s">
        <v>111</v>
      </c>
      <c r="N58" s="192"/>
      <c r="O58" s="125" t="s">
        <v>36</v>
      </c>
      <c r="P58" s="125" t="s">
        <v>56</v>
      </c>
      <c r="Q58" s="166" t="s">
        <v>23</v>
      </c>
      <c r="R58" s="125" t="s">
        <v>99</v>
      </c>
      <c r="S58" s="125" t="s">
        <v>100</v>
      </c>
    </row>
    <row r="59" spans="3:19" s="16" customFormat="1" ht="47.25">
      <c r="C59" s="190" t="s">
        <v>25</v>
      </c>
      <c r="D59" s="190"/>
      <c r="E59" s="190"/>
      <c r="F59" s="190"/>
      <c r="G59" s="190" t="s">
        <v>109</v>
      </c>
      <c r="H59" s="190"/>
      <c r="I59" s="190"/>
      <c r="J59" s="201" t="s">
        <v>38</v>
      </c>
      <c r="K59" s="201" t="s">
        <v>32</v>
      </c>
      <c r="L59" s="201" t="s">
        <v>34</v>
      </c>
      <c r="M59" s="201" t="s">
        <v>35</v>
      </c>
      <c r="N59" s="192"/>
      <c r="O59" s="133" t="s">
        <v>10</v>
      </c>
      <c r="P59" s="133" t="s">
        <v>10</v>
      </c>
      <c r="Q59" s="154"/>
      <c r="R59" s="133" t="s">
        <v>38</v>
      </c>
      <c r="S59" s="133" t="s">
        <v>32</v>
      </c>
    </row>
    <row r="60" spans="3:19" s="16" customFormat="1" ht="15">
      <c r="C60" s="54" t="str">
        <f>C11</f>
        <v>COEL</v>
      </c>
      <c r="D60" s="54" t="str">
        <f>_xlfn.TEXTJOIN(",",TRUE,IF(LEFT(Regions!$C$3,1)&lt;&gt;"*",Regions!$C$3,""),IF(LEFT(Regions!$D$3,1)&lt;&gt;"*",Regions!$D$3,""))</f>
        <v>IE,National</v>
      </c>
      <c r="E60" s="54" t="str">
        <f>LEFT(C60,5)&amp;RIGHT(H60,3)&amp;"_00"</f>
        <v>COELELC_00</v>
      </c>
      <c r="F60" s="106" t="str">
        <f>"Existing commercial - Other "&amp;RIGHT(H60,3)</f>
        <v>Existing commercial - Other ELC</v>
      </c>
      <c r="G60" s="54"/>
      <c r="H60" s="54" t="str">
        <f>COM_Balance!$L$13</f>
        <v>COMELC</v>
      </c>
      <c r="I60" s="92">
        <v>1</v>
      </c>
      <c r="J60" s="138">
        <f>R60</f>
        <v>0.21907780602535418</v>
      </c>
      <c r="K60" s="138">
        <f>S60</f>
        <v>72.627943789935316</v>
      </c>
      <c r="L60" s="70">
        <v>15</v>
      </c>
      <c r="M60" s="72"/>
      <c r="N60" s="69"/>
      <c r="O60" s="139">
        <f>IF(I60=0,0,K60*J60/I60)</f>
        <v>15.911170581631776</v>
      </c>
      <c r="P60" s="139">
        <f>COM_Balance!L46</f>
        <v>15.911170581631776</v>
      </c>
      <c r="Q60" s="203">
        <f>I60</f>
        <v>1</v>
      </c>
      <c r="R60" s="73">
        <f>IF(S62=0,0,SUMPRODUCT(Q60,P60)/S62)</f>
        <v>0.21907780602535418</v>
      </c>
      <c r="S60" s="76">
        <f>IF($P$62*Q60=0,0,Q60*P60/SUMPRODUCT($P$60,$Q$60)*$S$62)</f>
        <v>72.627943789935316</v>
      </c>
    </row>
    <row r="61" spans="3:19" s="16" customFormat="1" ht="15">
      <c r="C61" s="54"/>
      <c r="D61" s="54"/>
      <c r="E61" s="54"/>
      <c r="F61" s="54"/>
      <c r="G61" s="54"/>
      <c r="H61" s="54"/>
      <c r="I61" s="54"/>
      <c r="J61" s="73"/>
      <c r="K61" s="54"/>
      <c r="L61" s="54"/>
      <c r="M61" s="54"/>
      <c r="N61" s="69"/>
      <c r="O61" s="76"/>
      <c r="P61" s="54"/>
      <c r="Q61" s="165"/>
      <c r="R61" s="73"/>
      <c r="S61" s="54"/>
    </row>
    <row r="62" spans="3:19" s="16" customFormat="1" ht="15">
      <c r="C62" s="108" t="s">
        <v>83</v>
      </c>
      <c r="D62" s="108"/>
      <c r="E62" s="54"/>
      <c r="F62" s="54"/>
      <c r="G62" s="54"/>
      <c r="H62" s="54"/>
      <c r="I62" s="76"/>
      <c r="J62" s="73"/>
      <c r="K62" s="115">
        <f>SUM(K60:K61)</f>
        <v>72.627943789935316</v>
      </c>
      <c r="L62" s="54"/>
      <c r="M62" s="100"/>
      <c r="N62" s="69"/>
      <c r="O62" s="76">
        <f>SUM(O60)</f>
        <v>15.911170581631776</v>
      </c>
      <c r="P62" s="76">
        <f>SUM(P60)</f>
        <v>15.911170581631776</v>
      </c>
      <c r="Q62" s="165"/>
      <c r="R62" s="73"/>
      <c r="S62" s="191">
        <f>COM_Balance!C56*0.4</f>
        <v>72.627943789935316</v>
      </c>
    </row>
    <row r="63" spans="3:19" s="16" customFormat="1" ht="15">
      <c r="J63" s="94"/>
      <c r="M63" s="69"/>
      <c r="R63" s="94"/>
    </row>
    <row r="64" spans="3:19" s="16" customFormat="1" ht="15">
      <c r="M64" s="69"/>
      <c r="R64" s="94"/>
    </row>
    <row r="65" spans="3:18" s="16" customFormat="1" ht="15">
      <c r="C65" s="75"/>
      <c r="D65" s="75"/>
      <c r="E65" s="75"/>
      <c r="F65" s="75"/>
      <c r="G65" s="75"/>
      <c r="H65" s="75"/>
      <c r="I65" s="75"/>
      <c r="J65" s="75"/>
      <c r="K65" s="75"/>
      <c r="M65" s="69"/>
      <c r="R65" s="94"/>
    </row>
    <row r="66" spans="3:18" s="16" customFormat="1" ht="15">
      <c r="C66" s="75"/>
      <c r="D66" s="75"/>
      <c r="E66" s="75"/>
      <c r="F66" s="75"/>
      <c r="G66" s="75"/>
      <c r="H66" s="75"/>
      <c r="I66" s="75"/>
      <c r="J66" s="75"/>
      <c r="K66" s="75"/>
      <c r="M66" s="69"/>
      <c r="Q66" s="94"/>
    </row>
    <row r="67" spans="3:18" s="16" customFormat="1" ht="15">
      <c r="C67" s="194"/>
      <c r="D67" s="195"/>
      <c r="E67" s="195"/>
      <c r="F67" s="77"/>
      <c r="G67" s="75"/>
      <c r="H67" s="75"/>
      <c r="I67" s="75"/>
      <c r="J67" s="75"/>
      <c r="K67" s="75"/>
      <c r="M67" s="69"/>
      <c r="Q67" s="94"/>
    </row>
    <row r="68" spans="3:18" s="16" customFormat="1" ht="15">
      <c r="C68" s="147"/>
      <c r="D68" s="147"/>
      <c r="E68" s="147"/>
      <c r="F68" s="147"/>
      <c r="G68" s="148"/>
      <c r="H68" s="148"/>
      <c r="I68" s="75"/>
      <c r="J68" s="148"/>
      <c r="K68" s="75"/>
      <c r="M68" s="69"/>
      <c r="Q68" s="94"/>
    </row>
    <row r="69" spans="3:18" s="16" customFormat="1" ht="15">
      <c r="C69" s="37"/>
      <c r="D69" s="147"/>
      <c r="E69" s="147"/>
      <c r="F69" s="147"/>
      <c r="G69" s="149"/>
      <c r="H69" s="149"/>
      <c r="I69" s="75"/>
      <c r="J69" s="148"/>
      <c r="K69" s="75"/>
      <c r="M69" s="69"/>
      <c r="Q69" s="94"/>
    </row>
    <row r="70" spans="3:18" s="16" customFormat="1" ht="15">
      <c r="C70" s="75"/>
      <c r="D70" s="75"/>
      <c r="E70" s="196"/>
      <c r="F70" s="75"/>
      <c r="G70" s="142"/>
      <c r="H70" s="142"/>
      <c r="I70" s="75"/>
      <c r="J70" s="75"/>
      <c r="K70" s="75"/>
      <c r="M70" s="69"/>
      <c r="Q70" s="94"/>
    </row>
    <row r="71" spans="3:18" s="16" customFormat="1" ht="15">
      <c r="C71" s="75"/>
      <c r="D71" s="75"/>
      <c r="E71" s="75"/>
      <c r="F71" s="75"/>
      <c r="G71" s="75"/>
      <c r="H71" s="142"/>
      <c r="I71" s="75"/>
      <c r="J71" s="146"/>
      <c r="K71" s="75"/>
      <c r="M71" s="69"/>
      <c r="Q71" s="94"/>
    </row>
    <row r="72" spans="3:18" s="16" customFormat="1" ht="15">
      <c r="C72" s="75"/>
      <c r="D72" s="75"/>
      <c r="E72" s="75"/>
      <c r="F72" s="75"/>
      <c r="G72" s="75"/>
      <c r="H72" s="142"/>
      <c r="I72" s="75"/>
      <c r="J72" s="146"/>
      <c r="K72" s="75"/>
      <c r="M72" s="69"/>
      <c r="Q72" s="94"/>
    </row>
    <row r="73" spans="3:18" s="16" customFormat="1" ht="15">
      <c r="C73" s="75"/>
      <c r="D73" s="75"/>
      <c r="E73" s="75"/>
      <c r="F73" s="75"/>
      <c r="G73" s="75"/>
      <c r="H73" s="142"/>
      <c r="I73" s="75"/>
      <c r="J73" s="146"/>
      <c r="K73" s="75"/>
      <c r="M73" s="69"/>
      <c r="Q73" s="94"/>
    </row>
    <row r="74" spans="3:18" s="16" customFormat="1" ht="15">
      <c r="C74" s="75"/>
      <c r="D74" s="75"/>
      <c r="E74" s="75"/>
      <c r="F74" s="75"/>
      <c r="G74" s="75"/>
      <c r="H74" s="142"/>
      <c r="I74" s="75"/>
      <c r="J74" s="146"/>
      <c r="K74" s="75"/>
      <c r="M74" s="69"/>
      <c r="Q74" s="94"/>
    </row>
    <row r="75" spans="3:18" s="16" customFormat="1" ht="15">
      <c r="C75" s="75"/>
      <c r="D75" s="75"/>
      <c r="E75" s="75"/>
      <c r="F75" s="75"/>
      <c r="G75" s="75"/>
      <c r="H75" s="142"/>
      <c r="I75" s="75"/>
      <c r="J75" s="146"/>
      <c r="K75" s="75"/>
      <c r="M75" s="69"/>
      <c r="Q75" s="94"/>
    </row>
    <row r="76" spans="3:18" s="16" customFormat="1" ht="15">
      <c r="C76" s="75"/>
      <c r="D76" s="75"/>
      <c r="E76" s="75"/>
      <c r="F76" s="75"/>
      <c r="G76" s="75"/>
      <c r="H76" s="142"/>
      <c r="I76" s="75"/>
      <c r="J76" s="146"/>
      <c r="K76" s="75"/>
      <c r="M76" s="69"/>
      <c r="Q76" s="94"/>
    </row>
    <row r="77" spans="3:18" s="16" customFormat="1" ht="15">
      <c r="C77" s="75"/>
      <c r="D77" s="75"/>
      <c r="E77" s="75"/>
      <c r="F77" s="75"/>
      <c r="G77" s="75"/>
      <c r="H77" s="142"/>
      <c r="I77" s="75"/>
      <c r="J77" s="146"/>
      <c r="K77" s="75"/>
      <c r="M77" s="69"/>
      <c r="Q77" s="94"/>
    </row>
    <row r="78" spans="3:18" s="16" customFormat="1" ht="15">
      <c r="C78" s="75"/>
      <c r="D78" s="75"/>
      <c r="E78" s="75"/>
      <c r="F78" s="75"/>
      <c r="G78" s="75"/>
      <c r="H78" s="142"/>
      <c r="I78" s="75"/>
      <c r="J78" s="146"/>
      <c r="K78" s="75"/>
      <c r="M78" s="69"/>
      <c r="Q78" s="94"/>
    </row>
    <row r="79" spans="3:18" s="16" customFormat="1" ht="15">
      <c r="C79" s="152"/>
      <c r="D79" s="75"/>
      <c r="E79" s="75"/>
      <c r="F79" s="75"/>
      <c r="G79" s="75"/>
      <c r="H79" s="75"/>
      <c r="I79" s="75"/>
      <c r="J79" s="197"/>
      <c r="K79" s="75"/>
      <c r="M79" s="69"/>
      <c r="Q79" s="94"/>
    </row>
    <row r="80" spans="3:18" s="16" customFormat="1" ht="15">
      <c r="C80" s="144"/>
      <c r="D80" s="75"/>
      <c r="E80" s="75"/>
      <c r="F80" s="75"/>
      <c r="G80" s="75"/>
      <c r="H80" s="142"/>
      <c r="I80" s="75"/>
      <c r="J80" s="146"/>
      <c r="K80" s="75"/>
      <c r="M80" s="69"/>
      <c r="Q80" s="94"/>
    </row>
    <row r="81" spans="3:17" s="16" customFormat="1" ht="15">
      <c r="C81" s="75"/>
      <c r="D81" s="75"/>
      <c r="E81" s="75"/>
      <c r="F81" s="75"/>
      <c r="G81" s="75"/>
      <c r="H81" s="75"/>
      <c r="I81" s="75"/>
      <c r="J81" s="75"/>
      <c r="K81" s="75"/>
      <c r="M81" s="69"/>
      <c r="Q81" s="94"/>
    </row>
    <row r="82" spans="3:17" s="16" customFormat="1" ht="15">
      <c r="C82" s="75"/>
      <c r="D82" s="75"/>
      <c r="E82" s="75"/>
      <c r="F82" s="75"/>
      <c r="G82" s="75"/>
      <c r="H82" s="75"/>
      <c r="I82" s="75"/>
      <c r="J82" s="75"/>
      <c r="K82" s="75"/>
      <c r="M82" s="69"/>
      <c r="Q82" s="94"/>
    </row>
    <row r="83" spans="3:17" s="16" customFormat="1" ht="15">
      <c r="C83" s="75"/>
      <c r="D83" s="75"/>
      <c r="E83" s="75"/>
      <c r="F83" s="75"/>
      <c r="G83" s="75"/>
      <c r="H83" s="75"/>
      <c r="I83" s="75"/>
      <c r="J83" s="75"/>
      <c r="K83" s="75"/>
      <c r="M83" s="69"/>
      <c r="Q83" s="94"/>
    </row>
    <row r="84" spans="3:17" s="16" customFormat="1" ht="15">
      <c r="C84" s="75"/>
      <c r="D84" s="75"/>
      <c r="E84" s="75"/>
      <c r="F84" s="75"/>
      <c r="G84" s="75"/>
      <c r="H84" s="75"/>
      <c r="I84" s="75"/>
      <c r="J84" s="75"/>
      <c r="K84" s="75"/>
      <c r="M84" s="69"/>
      <c r="Q84" s="94"/>
    </row>
    <row r="85" spans="3:17" s="16" customFormat="1" ht="15">
      <c r="M85" s="69"/>
      <c r="Q85" s="94"/>
    </row>
    <row r="86" spans="3:17" s="16" customFormat="1" ht="15">
      <c r="M86" s="69"/>
      <c r="Q86" s="94"/>
    </row>
    <row r="87" spans="3:17" s="16" customFormat="1" ht="15">
      <c r="M87" s="69"/>
      <c r="Q87" s="94"/>
    </row>
    <row r="88" spans="3:17" s="16" customFormat="1" ht="15">
      <c r="M88" s="69"/>
      <c r="Q88" s="94"/>
    </row>
    <row r="89" spans="3:17" s="16" customFormat="1" ht="15">
      <c r="M89" s="69"/>
      <c r="Q89" s="94"/>
    </row>
    <row r="90" spans="3:17" s="16" customFormat="1" ht="15">
      <c r="M90" s="69"/>
      <c r="Q90" s="94"/>
    </row>
    <row r="91" spans="3:17" s="16" customFormat="1" ht="15">
      <c r="M91" s="69"/>
      <c r="Q91" s="9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C000"/>
  </sheetPr>
  <dimension ref="B1:V271"/>
  <sheetViews>
    <sheetView topLeftCell="C27" zoomScale="80" zoomScaleNormal="80" workbookViewId="0">
      <selection activeCell="K14" sqref="K14"/>
    </sheetView>
  </sheetViews>
  <sheetFormatPr defaultRowHeight="12.75"/>
  <cols>
    <col min="1" max="1" width="5.140625" customWidth="1"/>
    <col min="2" max="2" width="5.140625" style="378" customWidth="1"/>
    <col min="3" max="3" width="13.85546875" customWidth="1"/>
    <col min="4" max="4" width="12.140625" bestFit="1" customWidth="1"/>
    <col min="5" max="5" width="16.7109375" bestFit="1" customWidth="1"/>
    <col min="6" max="6" width="58.5703125" bestFit="1" customWidth="1"/>
    <col min="7" max="22" width="11.140625" customWidth="1"/>
    <col min="23" max="256" width="11.42578125" customWidth="1"/>
  </cols>
  <sheetData>
    <row r="1" spans="3:22" ht="26.25">
      <c r="C1" s="83" t="s">
        <v>244</v>
      </c>
      <c r="E1" s="378"/>
    </row>
    <row r="2" spans="3:22" s="16" customFormat="1" ht="15"/>
    <row r="3" spans="3:22" s="16" customFormat="1" ht="18.75">
      <c r="C3" s="66" t="s">
        <v>250</v>
      </c>
      <c r="D3" s="64"/>
      <c r="E3" s="64"/>
      <c r="F3" s="64"/>
      <c r="H3" s="78" t="s">
        <v>233</v>
      </c>
      <c r="L3" s="86"/>
    </row>
    <row r="4" spans="3:22" s="16" customFormat="1" ht="15">
      <c r="C4" s="68" t="s">
        <v>602</v>
      </c>
      <c r="H4" s="122" t="s">
        <v>236</v>
      </c>
      <c r="I4" s="114"/>
      <c r="J4" s="114"/>
      <c r="L4" s="87"/>
      <c r="M4" s="75"/>
      <c r="N4" s="75"/>
      <c r="O4" s="75"/>
      <c r="Q4" s="75"/>
      <c r="R4" s="75"/>
      <c r="S4" s="75"/>
      <c r="T4" s="75"/>
    </row>
    <row r="5" spans="3:22" s="16" customFormat="1" ht="16.5" thickBot="1">
      <c r="C5" s="96" t="s">
        <v>17</v>
      </c>
      <c r="D5" s="185" t="str">
        <f>Regions!C3</f>
        <v>IE</v>
      </c>
      <c r="E5" s="185" t="str">
        <f>Regions!D3</f>
        <v>National</v>
      </c>
      <c r="F5" s="99"/>
      <c r="H5" s="121" t="s">
        <v>235</v>
      </c>
      <c r="I5" s="121"/>
      <c r="J5" s="121"/>
      <c r="L5" s="87"/>
      <c r="M5" s="86"/>
      <c r="N5" s="86"/>
      <c r="O5" s="86"/>
      <c r="Q5" s="86"/>
      <c r="R5" s="86"/>
      <c r="S5" s="86"/>
      <c r="T5" s="75"/>
    </row>
    <row r="6" spans="3:22" s="16" customFormat="1" ht="15.75">
      <c r="C6" s="22" t="s">
        <v>147</v>
      </c>
      <c r="D6" s="22" t="s">
        <v>10</v>
      </c>
      <c r="E6" s="188" t="str">
        <f>D6</f>
        <v>PJ</v>
      </c>
      <c r="F6" s="98" t="s">
        <v>232</v>
      </c>
      <c r="H6" s="75"/>
      <c r="I6" s="87"/>
      <c r="J6" s="87"/>
      <c r="K6" s="87"/>
      <c r="L6" s="87"/>
      <c r="M6" s="86"/>
      <c r="N6" s="86"/>
      <c r="O6" s="86"/>
      <c r="Q6" s="86"/>
      <c r="R6" s="86"/>
      <c r="S6" s="86"/>
      <c r="T6" s="75"/>
    </row>
    <row r="7" spans="3:22" s="16" customFormat="1" ht="15">
      <c r="C7" s="54" t="str">
        <f>COM_Balance!C36</f>
        <v>CCCS</v>
      </c>
      <c r="D7" s="179">
        <f>COM_Balance!C70*COM_CC!K13</f>
        <v>8.8153537670115689</v>
      </c>
      <c r="E7" s="179">
        <f>D7</f>
        <v>8.8153537670115689</v>
      </c>
      <c r="F7" s="54" t="str">
        <f>COM_Balance!B36</f>
        <v>Commercial space cooling demand - Commercial Services</v>
      </c>
      <c r="H7" s="75"/>
      <c r="I7" s="87"/>
      <c r="J7" s="87"/>
      <c r="K7" s="87"/>
      <c r="L7" s="87"/>
      <c r="M7" s="87"/>
      <c r="N7" s="87"/>
      <c r="O7" s="87"/>
      <c r="Q7" s="75"/>
      <c r="R7" s="75"/>
      <c r="S7" s="75"/>
      <c r="T7" s="75"/>
    </row>
    <row r="8" spans="3:22" s="16" customFormat="1" ht="15">
      <c r="C8" s="54" t="str">
        <f>COM_Balance!C37</f>
        <v>CCPS</v>
      </c>
      <c r="D8" s="179">
        <f>COM_Balance!C71*COM_CC!K30</f>
        <v>4.3126302226859456</v>
      </c>
      <c r="E8" s="179">
        <f>D8</f>
        <v>4.3126302226859456</v>
      </c>
      <c r="F8" s="54" t="str">
        <f>COM_Balance!B37</f>
        <v>Commercial space cooling demand - Public Services</v>
      </c>
      <c r="H8" s="75"/>
      <c r="I8" s="87"/>
      <c r="J8" s="87"/>
      <c r="K8" s="87"/>
      <c r="L8" s="87"/>
      <c r="M8" s="87"/>
      <c r="N8" s="87"/>
      <c r="O8" s="87"/>
      <c r="Q8" s="75"/>
      <c r="R8" s="75"/>
      <c r="S8" s="75"/>
      <c r="T8" s="75"/>
    </row>
    <row r="9" spans="3:22" s="16" customFormat="1" ht="15">
      <c r="C9" s="69"/>
      <c r="D9" s="69"/>
      <c r="E9" s="69"/>
      <c r="H9" s="67"/>
      <c r="J9" s="175"/>
    </row>
    <row r="10" spans="3:22" s="16" customFormat="1" ht="18.75">
      <c r="C10" s="66" t="str">
        <f>"Base-year technologies for commercial space cooling ("&amp;COM_Balance!$S$11&amp;")"</f>
        <v>Base-year technologies for commercial space cooling (Commercial Services)</v>
      </c>
      <c r="D10" s="66"/>
      <c r="E10" s="64"/>
      <c r="F10" s="64"/>
      <c r="G10" s="64"/>
      <c r="H10" s="64"/>
      <c r="I10" s="68" t="s">
        <v>79</v>
      </c>
      <c r="J10" s="176"/>
      <c r="K10" s="177"/>
      <c r="L10" s="178"/>
      <c r="M10" s="178"/>
      <c r="N10" s="178"/>
      <c r="Q10" s="90" t="s">
        <v>237</v>
      </c>
      <c r="R10" s="90"/>
      <c r="S10" s="90"/>
      <c r="T10" s="123" t="s">
        <v>93</v>
      </c>
      <c r="U10" s="134"/>
      <c r="V10" s="85"/>
    </row>
    <row r="11" spans="3:22" s="16" customFormat="1" ht="60.75" thickBot="1">
      <c r="C11" s="127" t="s">
        <v>22</v>
      </c>
      <c r="D11" s="127" t="s">
        <v>603</v>
      </c>
      <c r="E11" s="127" t="s">
        <v>15</v>
      </c>
      <c r="F11" s="127" t="s">
        <v>16</v>
      </c>
      <c r="G11" s="127" t="s">
        <v>245</v>
      </c>
      <c r="H11" s="127" t="s">
        <v>39</v>
      </c>
      <c r="I11" s="127" t="s">
        <v>40</v>
      </c>
      <c r="J11" s="128" t="s">
        <v>81</v>
      </c>
      <c r="K11" s="128" t="s">
        <v>114</v>
      </c>
      <c r="L11" s="128" t="s">
        <v>239</v>
      </c>
      <c r="M11" s="128" t="s">
        <v>238</v>
      </c>
      <c r="N11" s="128" t="s">
        <v>111</v>
      </c>
      <c r="O11" s="128" t="s">
        <v>210</v>
      </c>
      <c r="Q11" s="125" t="s">
        <v>126</v>
      </c>
      <c r="R11" s="125" t="s">
        <v>128</v>
      </c>
      <c r="S11" s="125" t="s">
        <v>129</v>
      </c>
      <c r="T11" s="166" t="s">
        <v>145</v>
      </c>
      <c r="U11" s="125" t="s">
        <v>99</v>
      </c>
      <c r="V11" s="125" t="s">
        <v>100</v>
      </c>
    </row>
    <row r="12" spans="3:22" s="16" customFormat="1" ht="47.25">
      <c r="C12" s="131" t="s">
        <v>234</v>
      </c>
      <c r="D12" s="131"/>
      <c r="E12" s="131"/>
      <c r="F12" s="131"/>
      <c r="G12" s="131" t="s">
        <v>109</v>
      </c>
      <c r="H12" s="131"/>
      <c r="I12" s="131"/>
      <c r="J12" s="131"/>
      <c r="K12" s="133" t="s">
        <v>38</v>
      </c>
      <c r="L12" s="133" t="s">
        <v>113</v>
      </c>
      <c r="M12" s="133" t="s">
        <v>34</v>
      </c>
      <c r="N12" s="133" t="s">
        <v>63</v>
      </c>
      <c r="O12" s="133" t="s">
        <v>112</v>
      </c>
      <c r="Q12" s="133" t="s">
        <v>10</v>
      </c>
      <c r="R12" s="133" t="s">
        <v>10</v>
      </c>
      <c r="S12" s="133" t="s">
        <v>10</v>
      </c>
      <c r="T12" s="154"/>
      <c r="U12" s="133" t="s">
        <v>38</v>
      </c>
      <c r="V12" s="133" t="s">
        <v>32</v>
      </c>
    </row>
    <row r="13" spans="3:22" s="16" customFormat="1" ht="15">
      <c r="C13" s="54" t="str">
        <f t="shared" ref="C13:C18" si="0">$C$7</f>
        <v>CCCS</v>
      </c>
      <c r="D13" s="54" t="str">
        <f>_xlfn.TEXTJOIN(",",TRUE,IF(LEFT(Regions!$C$3,1)&lt;&gt;"*",Regions!$C$3,""),IF(LEFT(Regions!$D$3,1)&lt;&gt;"*",Regions!$D$3,""))</f>
        <v>IE,National</v>
      </c>
      <c r="E13" s="54" t="str">
        <f>LEFT(C13,5)&amp;RIGHT(H13,3)&amp;"_00"</f>
        <v>CCCSGAS_00</v>
      </c>
      <c r="F13" s="106" t="str">
        <f>"Existing commercial - "&amp;RIGHT(C13,2)&amp;" Space Cooling "&amp;RIGHT(H13,3)</f>
        <v>Existing commercial - CS Space Cooling GAS</v>
      </c>
      <c r="G13" s="54"/>
      <c r="H13" s="54" t="str">
        <f>COM_Balance!$G$13</f>
        <v>COMGAS</v>
      </c>
      <c r="I13" s="54"/>
      <c r="J13" s="157">
        <v>3.2</v>
      </c>
      <c r="K13" s="207">
        <f>U13</f>
        <v>5.1463802809353215E-4</v>
      </c>
      <c r="L13" s="163">
        <f t="shared" ref="L13:L18" si="1">K13*V13/O13/N13</f>
        <v>0</v>
      </c>
      <c r="M13" s="183">
        <v>15</v>
      </c>
      <c r="N13" s="157">
        <v>0.15</v>
      </c>
      <c r="O13" s="54">
        <v>31.536000000000001</v>
      </c>
      <c r="Q13" s="90">
        <f t="shared" ref="Q13:Q18" si="2">IF(J13=0,0,L13*N13*O13/J13)</f>
        <v>0</v>
      </c>
      <c r="R13" s="90">
        <f>COM_Balance!G36</f>
        <v>0</v>
      </c>
      <c r="S13" s="90">
        <f>R13-Q20</f>
        <v>0</v>
      </c>
      <c r="T13" s="124">
        <f t="shared" ref="T13:T18" si="3">J13</f>
        <v>3.2</v>
      </c>
      <c r="U13" s="116">
        <f>IF(V24=0,0,SUMPRODUCT(T13:T18,R13:R18)/(V24))</f>
        <v>5.1463802809353215E-4</v>
      </c>
      <c r="V13" s="76">
        <f t="shared" ref="V13:V18" si="4">IF($S$24=0,0,T13*S13/SUMPRODUCT($S$13:$S$18,$T$13:$T$18)*$V$24)</f>
        <v>0</v>
      </c>
    </row>
    <row r="14" spans="3:22" s="16" customFormat="1" ht="15.75" thickBot="1">
      <c r="C14" s="54" t="str">
        <f t="shared" si="0"/>
        <v>CCCS</v>
      </c>
      <c r="D14" s="54" t="str">
        <f>_xlfn.TEXTJOIN(",",TRUE,IF(LEFT(Regions!$C$3,1)&lt;&gt;"*",Regions!$C$3,""),IF(LEFT(Regions!$D$3,1)&lt;&gt;"*",Regions!$D$3,""))</f>
        <v>IE,National</v>
      </c>
      <c r="E14" s="54" t="str">
        <f>LEFT(C14,5)&amp;RIGHT(H14,3)&amp;"_00"</f>
        <v>CCCSGEO_00</v>
      </c>
      <c r="F14" s="106" t="str">
        <f>"Existing commercial - "&amp;RIGHT(C14,2)&amp;" Space Cooling "&amp;RIGHT(H14,3)</f>
        <v>Existing commercial - CS Space Cooling GEO</v>
      </c>
      <c r="G14" s="54"/>
      <c r="H14" s="54" t="str">
        <f>COM_Balance!$K$13</f>
        <v>COMGEO</v>
      </c>
      <c r="I14" s="54"/>
      <c r="J14" s="157">
        <v>3</v>
      </c>
      <c r="K14" s="116">
        <f>K13</f>
        <v>5.1463802809353215E-4</v>
      </c>
      <c r="L14" s="163">
        <f t="shared" si="1"/>
        <v>0</v>
      </c>
      <c r="M14" s="183">
        <v>15</v>
      </c>
      <c r="N14" s="157">
        <v>0.15</v>
      </c>
      <c r="O14" s="54">
        <v>31.536000000000001</v>
      </c>
      <c r="Q14" s="90">
        <f t="shared" si="2"/>
        <v>0</v>
      </c>
      <c r="R14" s="90">
        <f>COM_Balance!K36</f>
        <v>0</v>
      </c>
      <c r="S14" s="90">
        <f>R14</f>
        <v>0</v>
      </c>
      <c r="T14" s="124">
        <f t="shared" si="3"/>
        <v>3</v>
      </c>
      <c r="U14" s="116"/>
      <c r="V14" s="76">
        <f t="shared" si="4"/>
        <v>0</v>
      </c>
    </row>
    <row r="15" spans="3:22" s="16" customFormat="1" ht="15">
      <c r="C15" s="54" t="str">
        <f t="shared" si="0"/>
        <v>CCCS</v>
      </c>
      <c r="D15" s="54" t="str">
        <f>_xlfn.TEXTJOIN(",",TRUE,IF(LEFT(Regions!$C$3,1)&lt;&gt;"*",Regions!$C$3,""),IF(LEFT(Regions!$D$3,1)&lt;&gt;"*",Regions!$D$3,""))</f>
        <v>IE,National</v>
      </c>
      <c r="E15" s="54" t="str">
        <f>LEFT(C15,5)&amp;RIGHT(H15,3)&amp;"_00_Cen"</f>
        <v>CCCSELC_00_Cen</v>
      </c>
      <c r="F15" s="106" t="str">
        <f>"Existing commercial - "&amp;RIGHT(C15,2)&amp;" Space Cooling "&amp;RIGHT(H15,3)&amp;" Central"</f>
        <v>Existing commercial - CS Space Cooling ELC Central</v>
      </c>
      <c r="G15" s="180">
        <v>8.7401223026174271E-3</v>
      </c>
      <c r="H15" s="54" t="str">
        <f>COM_Balance!$L$13</f>
        <v>COMELC</v>
      </c>
      <c r="I15" s="54"/>
      <c r="J15" s="157">
        <v>3.2</v>
      </c>
      <c r="K15" s="116">
        <f>K14</f>
        <v>5.1463802809353215E-4</v>
      </c>
      <c r="L15" s="163">
        <f t="shared" si="1"/>
        <v>1.6287686044419152E-2</v>
      </c>
      <c r="M15" s="183">
        <v>15</v>
      </c>
      <c r="N15" s="157">
        <v>0.15</v>
      </c>
      <c r="O15" s="54">
        <v>31.536000000000001</v>
      </c>
      <c r="Q15" s="90">
        <f t="shared" si="2"/>
        <v>2.4077271895162608E-2</v>
      </c>
      <c r="R15" s="90">
        <f>COM_Balance!$L$36*G15</f>
        <v>2.4077271895162611E-2</v>
      </c>
      <c r="S15" s="90">
        <f>(COM_Balance!$L$36-$Q$22)*G15</f>
        <v>2.4077271895162611E-2</v>
      </c>
      <c r="T15" s="124">
        <f t="shared" si="3"/>
        <v>3.2</v>
      </c>
      <c r="U15" s="116"/>
      <c r="V15" s="76">
        <f t="shared" si="4"/>
        <v>149.71157562907013</v>
      </c>
    </row>
    <row r="16" spans="3:22" s="16" customFormat="1" ht="15">
      <c r="C16" s="54" t="str">
        <f t="shared" si="0"/>
        <v>CCCS</v>
      </c>
      <c r="D16" s="54" t="str">
        <f>_xlfn.TEXTJOIN(",",TRUE,IF(LEFT(Regions!$C$3,1)&lt;&gt;"*",Regions!$C$3,""),IF(LEFT(Regions!$D$3,1)&lt;&gt;"*",Regions!$D$3,""))</f>
        <v>IE,National</v>
      </c>
      <c r="E16" s="54" t="str">
        <f>LEFT(C16,5)&amp;RIGHT(H16,3)&amp;"_00_Roo"</f>
        <v>CCCSELC_00_Roo</v>
      </c>
      <c r="F16" s="106" t="str">
        <f>"Existing commercial - "&amp;RIGHT(C16,2)&amp;" Space Cooling "&amp;RIGHT(H16,3)&amp;" Room"</f>
        <v>Existing commercial - CS Space Cooling ELC Room</v>
      </c>
      <c r="G16" s="182">
        <v>0.92838300055076362</v>
      </c>
      <c r="H16" s="54" t="str">
        <f>COM_Balance!$L$13</f>
        <v>COMELC</v>
      </c>
      <c r="I16" s="54"/>
      <c r="J16" s="157">
        <f>J15</f>
        <v>3.2</v>
      </c>
      <c r="K16" s="116">
        <f>K15</f>
        <v>5.1463802809353215E-4</v>
      </c>
      <c r="L16" s="163">
        <f t="shared" si="1"/>
        <v>1.7300914470519779</v>
      </c>
      <c r="M16" s="183">
        <v>15</v>
      </c>
      <c r="N16" s="157">
        <v>0.15</v>
      </c>
      <c r="O16" s="54">
        <v>31.536000000000001</v>
      </c>
      <c r="Q16" s="90">
        <f t="shared" si="2"/>
        <v>2.5575076816045863</v>
      </c>
      <c r="R16" s="90">
        <f>COM_Balance!$L$36*G16</f>
        <v>2.5575076816045863</v>
      </c>
      <c r="S16" s="90">
        <f>(COM_Balance!$L$36-$Q$22)*G16</f>
        <v>2.5575076816045863</v>
      </c>
      <c r="T16" s="124">
        <f t="shared" si="3"/>
        <v>3.2</v>
      </c>
      <c r="U16" s="116"/>
      <c r="V16" s="76">
        <f t="shared" si="4"/>
        <v>15902.487057655373</v>
      </c>
    </row>
    <row r="17" spans="3:22" s="16" customFormat="1" ht="15.75" thickBot="1">
      <c r="C17" s="54" t="str">
        <f t="shared" si="0"/>
        <v>CCCS</v>
      </c>
      <c r="D17" s="54" t="str">
        <f>_xlfn.TEXTJOIN(",",TRUE,IF(LEFT(Regions!$C$3,1)&lt;&gt;"*",Regions!$C$3,""),IF(LEFT(Regions!$D$3,1)&lt;&gt;"*",Regions!$D$3,""))</f>
        <v>IE,National</v>
      </c>
      <c r="E17" s="54" t="str">
        <f>LEFT(C17,5)&amp;RIGHT(H17,3)&amp;"_00_Fan"</f>
        <v>CCCSELC_00_Fan</v>
      </c>
      <c r="F17" s="106" t="str">
        <f>"Existing commercial - "&amp;RIGHT(C17,2)&amp;" Space Cooling "&amp;RIGHT(H17,3)&amp;" Fans"</f>
        <v>Existing commercial - CS Space Cooling ELC Fans</v>
      </c>
      <c r="G17" s="181">
        <v>6.2876877146618965E-2</v>
      </c>
      <c r="H17" s="54" t="str">
        <f>COM_Balance!$L$13</f>
        <v>COMELC</v>
      </c>
      <c r="I17" s="54"/>
      <c r="J17" s="157">
        <f>J16</f>
        <v>3.2</v>
      </c>
      <c r="K17" s="116">
        <f>K16</f>
        <v>5.1463802809353215E-4</v>
      </c>
      <c r="L17" s="163">
        <f t="shared" si="1"/>
        <v>0.11717442833848539</v>
      </c>
      <c r="M17" s="183">
        <v>15</v>
      </c>
      <c r="N17" s="157">
        <v>0.15</v>
      </c>
      <c r="O17" s="54">
        <v>31.536000000000001</v>
      </c>
      <c r="Q17" s="90">
        <f t="shared" si="2"/>
        <v>0.17321309869136603</v>
      </c>
      <c r="R17" s="90">
        <f>COM_Balance!$L$36*G17</f>
        <v>0.17321309869136597</v>
      </c>
      <c r="S17" s="90">
        <f>(COM_Balance!$L$36-$Q$22)*G17</f>
        <v>0.17321309869136597</v>
      </c>
      <c r="T17" s="124">
        <f t="shared" si="3"/>
        <v>3.2</v>
      </c>
      <c r="U17" s="116"/>
      <c r="V17" s="76">
        <f t="shared" si="4"/>
        <v>1077.0325657155558</v>
      </c>
    </row>
    <row r="18" spans="3:22" s="16" customFormat="1" ht="15">
      <c r="C18" s="54" t="str">
        <f t="shared" si="0"/>
        <v>CCCS</v>
      </c>
      <c r="D18" s="54" t="str">
        <f>_xlfn.TEXTJOIN(",",TRUE,IF(LEFT(Regions!$C$3,1)&lt;&gt;"*",Regions!$C$3,""),IF(LEFT(Regions!$D$3,1)&lt;&gt;"*",Regions!$D$3,""))</f>
        <v>IE,National</v>
      </c>
      <c r="E18" s="54" t="str">
        <f>LEFT(C18,5)&amp;RIGHT(H18,3)&amp;"_00"</f>
        <v>CCCSCOO_00</v>
      </c>
      <c r="F18" s="106" t="str">
        <f>"Existing commercial - "&amp;RIGHT(C18,2)&amp;" Space Cooling "&amp;RIGHT(H18,3)</f>
        <v>Existing commercial - CS Space Cooling COO</v>
      </c>
      <c r="G18" s="80"/>
      <c r="H18" s="80" t="str">
        <f>COM_Commodities!$D$18</f>
        <v>COMCOO</v>
      </c>
      <c r="I18" s="54"/>
      <c r="J18" s="157">
        <v>0.96</v>
      </c>
      <c r="K18" s="116">
        <f>K17</f>
        <v>5.1463802809353215E-4</v>
      </c>
      <c r="L18" s="163">
        <f t="shared" si="1"/>
        <v>0</v>
      </c>
      <c r="M18" s="183">
        <v>20</v>
      </c>
      <c r="N18" s="157">
        <v>0.15</v>
      </c>
      <c r="O18" s="54">
        <v>31.536000000000001</v>
      </c>
      <c r="Q18" s="90">
        <f t="shared" si="2"/>
        <v>0</v>
      </c>
      <c r="R18" s="90">
        <f>COM_Balance!N36</f>
        <v>0</v>
      </c>
      <c r="S18" s="90">
        <f>R18</f>
        <v>0</v>
      </c>
      <c r="T18" s="124">
        <f t="shared" si="3"/>
        <v>0.96</v>
      </c>
      <c r="U18" s="116"/>
      <c r="V18" s="76">
        <f t="shared" si="4"/>
        <v>0</v>
      </c>
    </row>
    <row r="19" spans="3:22" s="16" customFormat="1" ht="15">
      <c r="C19" s="161" t="s">
        <v>23</v>
      </c>
      <c r="D19" s="161" t="str">
        <f>_xlfn.TEXTJOIN(",",TRUE,IF(LEFT(Regions!$C$3,1)&lt;&gt;"*",Regions!$C$3,""),IF(LEFT(Regions!$D$3,1)&lt;&gt;"*",Regions!$D$3,""))</f>
        <v>IE,National</v>
      </c>
      <c r="E19" s="159" t="str">
        <f>COM_CH!D19</f>
        <v>CHCSGAS_00_HP</v>
      </c>
      <c r="F19" s="159" t="str">
        <f>COM_CH!E19</f>
        <v>Existing commercial - CS Space Heat GAS Heat Pump</v>
      </c>
      <c r="G19" s="159"/>
      <c r="H19" s="159" t="str">
        <f>COM_Balance!$G$13</f>
        <v>COMGAS</v>
      </c>
      <c r="I19" s="160" t="str">
        <f>COM_CH!H19</f>
        <v>CHCS</v>
      </c>
      <c r="J19" s="170"/>
      <c r="K19" s="159"/>
      <c r="L19" s="159"/>
      <c r="M19" s="159"/>
      <c r="N19" s="159"/>
      <c r="O19" s="161"/>
      <c r="Q19" s="76"/>
      <c r="R19" s="76"/>
      <c r="S19" s="76"/>
      <c r="T19" s="124"/>
      <c r="U19" s="116"/>
      <c r="V19" s="76"/>
    </row>
    <row r="20" spans="3:22" s="16" customFormat="1" ht="15">
      <c r="C20" s="161" t="s">
        <v>23</v>
      </c>
      <c r="D20" s="161"/>
      <c r="E20" s="159"/>
      <c r="F20" s="159"/>
      <c r="G20" s="159"/>
      <c r="H20" s="159"/>
      <c r="I20" s="160" t="str">
        <f>COM_CH!H20</f>
        <v>CCCS</v>
      </c>
      <c r="J20" s="160">
        <f>COM_CH!J20</f>
        <v>3.2</v>
      </c>
      <c r="K20" s="160"/>
      <c r="L20" s="159">
        <f>COM_CH!N19</f>
        <v>0</v>
      </c>
      <c r="M20" s="159"/>
      <c r="N20" s="159">
        <v>0.15</v>
      </c>
      <c r="O20" s="161">
        <v>31.536000000000001</v>
      </c>
      <c r="Q20" s="90">
        <f>IF(J20=0,0,L20*N20*O20/J20)*(1-COM_CH!K19)</f>
        <v>0</v>
      </c>
      <c r="R20" s="116"/>
      <c r="S20" s="116"/>
      <c r="T20" s="124">
        <f>J20</f>
        <v>3.2</v>
      </c>
      <c r="U20" s="116"/>
      <c r="V20" s="76">
        <f>COM_CH!W19</f>
        <v>0</v>
      </c>
    </row>
    <row r="21" spans="3:22" s="16" customFormat="1" ht="15">
      <c r="C21" s="161" t="s">
        <v>23</v>
      </c>
      <c r="D21" s="161" t="str">
        <f>_xlfn.TEXTJOIN(",",TRUE,IF(LEFT(Regions!$C$3,1)&lt;&gt;"*",Regions!$C$3,""),IF(LEFT(Regions!$D$3,1)&lt;&gt;"*",Regions!$D$3,""))</f>
        <v>IE,National</v>
      </c>
      <c r="E21" s="159" t="str">
        <f>COM_CH!D32</f>
        <v>CHCSELC_00_HP</v>
      </c>
      <c r="F21" s="159" t="str">
        <f>COM_CH!E32</f>
        <v>Existing commercial - CS Space Heat ELC Heat Pump</v>
      </c>
      <c r="G21" s="159"/>
      <c r="H21" s="159" t="str">
        <f>COM_Balance!$L$13</f>
        <v>COMELC</v>
      </c>
      <c r="I21" s="160" t="str">
        <f>COM_CH!H32</f>
        <v>CHCS</v>
      </c>
      <c r="J21" s="160"/>
      <c r="K21" s="160"/>
      <c r="L21" s="159"/>
      <c r="M21" s="159"/>
      <c r="N21" s="159"/>
      <c r="O21" s="161"/>
      <c r="Q21" s="116"/>
      <c r="R21" s="116"/>
      <c r="S21" s="116"/>
      <c r="T21" s="124"/>
      <c r="U21" s="116"/>
      <c r="V21" s="76"/>
    </row>
    <row r="22" spans="3:22" s="16" customFormat="1" ht="15">
      <c r="C22" s="161" t="s">
        <v>23</v>
      </c>
      <c r="D22" s="161"/>
      <c r="E22" s="159"/>
      <c r="F22" s="159"/>
      <c r="G22" s="159"/>
      <c r="H22" s="159"/>
      <c r="I22" s="160" t="str">
        <f>COM_CH!H33</f>
        <v>CCCS</v>
      </c>
      <c r="J22" s="160">
        <f>COM_CH!J33</f>
        <v>3.2</v>
      </c>
      <c r="K22" s="160"/>
      <c r="L22" s="159">
        <f>COM_CH!N32</f>
        <v>0</v>
      </c>
      <c r="M22" s="159"/>
      <c r="N22" s="159">
        <v>0.15</v>
      </c>
      <c r="O22" s="161">
        <v>31.536000000000001</v>
      </c>
      <c r="Q22" s="90">
        <f>IF(J22=0,0,L22*N22*O22/J22)*(1-COM_CH!K32)</f>
        <v>0</v>
      </c>
      <c r="R22" s="116"/>
      <c r="S22" s="116"/>
      <c r="T22" s="124">
        <f>J22</f>
        <v>3.2</v>
      </c>
      <c r="U22" s="116"/>
      <c r="V22" s="76">
        <f>COM_CH!W32</f>
        <v>0</v>
      </c>
    </row>
    <row r="23" spans="3:22" s="16" customFormat="1" ht="15">
      <c r="C23" s="161" t="s">
        <v>23</v>
      </c>
      <c r="D23" s="161"/>
      <c r="E23" s="159"/>
      <c r="F23" s="159"/>
      <c r="G23" s="159"/>
      <c r="H23" s="159"/>
      <c r="I23" s="160"/>
      <c r="J23" s="170"/>
      <c r="K23" s="159"/>
      <c r="L23" s="159"/>
      <c r="M23" s="159"/>
      <c r="N23" s="159"/>
      <c r="O23" s="161"/>
      <c r="Q23" s="116"/>
      <c r="R23" s="116"/>
      <c r="S23" s="116"/>
      <c r="T23" s="124"/>
      <c r="U23" s="116"/>
      <c r="V23" s="54"/>
    </row>
    <row r="24" spans="3:22" s="16" customFormat="1" ht="15">
      <c r="C24" s="108" t="s">
        <v>83</v>
      </c>
      <c r="D24" s="108"/>
      <c r="E24" s="100"/>
      <c r="F24" s="100"/>
      <c r="G24" s="54"/>
      <c r="H24" s="100"/>
      <c r="I24" s="100"/>
      <c r="J24" s="100"/>
      <c r="K24" s="113"/>
      <c r="L24" s="115">
        <f>SUM(L13:L22)</f>
        <v>1.8635535614348826</v>
      </c>
      <c r="M24" s="100"/>
      <c r="N24" s="54"/>
      <c r="O24" s="54"/>
      <c r="Q24" s="116">
        <f>SUM(Q13:Q18)</f>
        <v>2.7547980521911146</v>
      </c>
      <c r="R24" s="116">
        <f>SUM(R13:R23)</f>
        <v>2.7547980521911146</v>
      </c>
      <c r="S24" s="116">
        <f>SUM(S13:S23)</f>
        <v>2.7547980521911146</v>
      </c>
      <c r="T24" s="124"/>
      <c r="U24" s="116"/>
      <c r="V24" s="173">
        <f>COM_Balance!C70-SUM(V20:V22)</f>
        <v>17129.231198999998</v>
      </c>
    </row>
    <row r="25" spans="3:22" s="16" customFormat="1" ht="15">
      <c r="K25" s="94"/>
      <c r="Q25" s="95"/>
      <c r="U25" s="94"/>
    </row>
    <row r="26" spans="3:22" s="16" customFormat="1" ht="36.75" customHeight="1">
      <c r="J26" s="95"/>
      <c r="K26" s="94"/>
      <c r="U26" s="94"/>
    </row>
    <row r="27" spans="3:22" s="16" customFormat="1" ht="18.75">
      <c r="C27" s="66" t="str">
        <f>"Base-year technologies for commercial space cooling ("&amp;COM_Balance!$S$12&amp;")"</f>
        <v>Base-year technologies for commercial space cooling (Public Services)</v>
      </c>
      <c r="D27" s="66"/>
      <c r="E27" s="64"/>
      <c r="F27" s="64"/>
      <c r="G27" s="64"/>
      <c r="H27" s="64"/>
      <c r="I27" s="68" t="s">
        <v>79</v>
      </c>
      <c r="J27" s="176"/>
      <c r="K27" s="177"/>
      <c r="L27" s="178"/>
      <c r="M27" s="178"/>
      <c r="N27" s="178"/>
      <c r="Q27" s="90"/>
      <c r="R27" s="90"/>
      <c r="S27" s="90"/>
      <c r="T27" s="123" t="s">
        <v>93</v>
      </c>
      <c r="U27" s="134"/>
      <c r="V27" s="85"/>
    </row>
    <row r="28" spans="3:22" s="16" customFormat="1" ht="60.75" thickBot="1">
      <c r="C28" s="127" t="s">
        <v>22</v>
      </c>
      <c r="D28" s="127" t="s">
        <v>603</v>
      </c>
      <c r="E28" s="127" t="s">
        <v>15</v>
      </c>
      <c r="F28" s="127" t="s">
        <v>16</v>
      </c>
      <c r="G28" s="127" t="s">
        <v>94</v>
      </c>
      <c r="H28" s="127" t="s">
        <v>39</v>
      </c>
      <c r="I28" s="127" t="s">
        <v>40</v>
      </c>
      <c r="J28" s="128" t="s">
        <v>81</v>
      </c>
      <c r="K28" s="128" t="s">
        <v>114</v>
      </c>
      <c r="L28" s="128" t="s">
        <v>29</v>
      </c>
      <c r="M28" s="128" t="s">
        <v>30</v>
      </c>
      <c r="N28" s="128" t="s">
        <v>111</v>
      </c>
      <c r="O28" s="128" t="s">
        <v>31</v>
      </c>
      <c r="Q28" s="125" t="s">
        <v>126</v>
      </c>
      <c r="R28" s="125" t="s">
        <v>128</v>
      </c>
      <c r="S28" s="125" t="s">
        <v>129</v>
      </c>
      <c r="T28" s="166" t="s">
        <v>145</v>
      </c>
      <c r="U28" s="125" t="s">
        <v>99</v>
      </c>
      <c r="V28" s="125" t="s">
        <v>100</v>
      </c>
    </row>
    <row r="29" spans="3:22" s="16" customFormat="1" ht="47.25">
      <c r="C29" s="131" t="s">
        <v>25</v>
      </c>
      <c r="D29" s="131"/>
      <c r="E29" s="131"/>
      <c r="F29" s="131"/>
      <c r="G29" s="131" t="s">
        <v>109</v>
      </c>
      <c r="H29" s="131"/>
      <c r="I29" s="131"/>
      <c r="J29" s="131"/>
      <c r="K29" s="133" t="s">
        <v>38</v>
      </c>
      <c r="L29" s="133" t="s">
        <v>113</v>
      </c>
      <c r="M29" s="133" t="s">
        <v>34</v>
      </c>
      <c r="N29" s="133" t="s">
        <v>63</v>
      </c>
      <c r="O29" s="133" t="s">
        <v>112</v>
      </c>
      <c r="Q29" s="133" t="s">
        <v>10</v>
      </c>
      <c r="R29" s="133" t="s">
        <v>10</v>
      </c>
      <c r="S29" s="133" t="s">
        <v>10</v>
      </c>
      <c r="T29" s="154"/>
      <c r="U29" s="133" t="s">
        <v>38</v>
      </c>
      <c r="V29" s="133" t="s">
        <v>32</v>
      </c>
    </row>
    <row r="30" spans="3:22" s="16" customFormat="1" ht="15">
      <c r="C30" s="54" t="str">
        <f t="shared" ref="C30:C35" si="5">$C$8</f>
        <v>CCPS</v>
      </c>
      <c r="D30" s="54" t="str">
        <f>_xlfn.TEXTJOIN(",",TRUE,IF(LEFT(Regions!$C$3,1)&lt;&gt;"*",Regions!$C$3,""),IF(LEFT(Regions!$D$3,1)&lt;&gt;"*",Regions!$D$3,""))</f>
        <v>IE,National</v>
      </c>
      <c r="E30" s="54" t="str">
        <f>LEFT(C30,5)&amp;RIGHT(H30,3)&amp;"_00"</f>
        <v>CCPSGAS_00</v>
      </c>
      <c r="F30" s="106" t="str">
        <f>"Existing commercial - "&amp;RIGHT(C30,2)&amp;" Space Cooling "&amp;RIGHT(H30,3)</f>
        <v>Existing commercial - PS Space Cooling GAS</v>
      </c>
      <c r="G30" s="54"/>
      <c r="H30" s="54" t="str">
        <f>COM_Balance!$G$13</f>
        <v>COMGAS</v>
      </c>
      <c r="I30" s="54"/>
      <c r="J30" s="157">
        <v>3.2</v>
      </c>
      <c r="K30" s="207">
        <f>U30</f>
        <v>3.5510362011231068E-4</v>
      </c>
      <c r="L30" s="163">
        <f t="shared" ref="L30:L35" si="6">K30*V30/O30/N30</f>
        <v>0</v>
      </c>
      <c r="M30" s="183">
        <v>15</v>
      </c>
      <c r="N30" s="157">
        <v>0.15</v>
      </c>
      <c r="O30" s="54">
        <v>31.536000000000001</v>
      </c>
      <c r="Q30" s="90">
        <f t="shared" ref="Q30:Q35" si="7">IF(J30=0,0,L30*N30*O30/J30)</f>
        <v>0</v>
      </c>
      <c r="R30" s="90">
        <f>COM_Balance!G37</f>
        <v>0</v>
      </c>
      <c r="S30" s="90">
        <f>R30-Q37</f>
        <v>0</v>
      </c>
      <c r="T30" s="124">
        <f t="shared" ref="T30:T35" si="8">J30</f>
        <v>3.2</v>
      </c>
      <c r="U30" s="116">
        <f>IF(V41=0,0,SUMPRODUCT(T30:T35,R30:R35)/(V41))</f>
        <v>3.5510362011231068E-4</v>
      </c>
      <c r="V30" s="76">
        <f t="shared" ref="V30:V35" si="9">IF($S$41=0,0,T30*S30/SUMPRODUCT($S$30:$S$35,$T$30:$T$35)*$V$41)</f>
        <v>0</v>
      </c>
    </row>
    <row r="31" spans="3:22" s="16" customFormat="1" ht="15.75" thickBot="1">
      <c r="C31" s="54" t="str">
        <f t="shared" si="5"/>
        <v>CCPS</v>
      </c>
      <c r="D31" s="54" t="str">
        <f>_xlfn.TEXTJOIN(",",TRUE,IF(LEFT(Regions!$C$3,1)&lt;&gt;"*",Regions!$C$3,""),IF(LEFT(Regions!$D$3,1)&lt;&gt;"*",Regions!$D$3,""))</f>
        <v>IE,National</v>
      </c>
      <c r="E31" s="54" t="str">
        <f>LEFT(C31,5)&amp;RIGHT(H31,3)&amp;"_00"</f>
        <v>CCPSGEO_00</v>
      </c>
      <c r="F31" s="106" t="str">
        <f>"Existing commercial - "&amp;RIGHT(C31,2)&amp;" Space Cooling "&amp;RIGHT(H31,3)</f>
        <v>Existing commercial - PS Space Cooling GEO</v>
      </c>
      <c r="G31" s="54"/>
      <c r="H31" s="54" t="str">
        <f>COM_Balance!$K$13</f>
        <v>COMGEO</v>
      </c>
      <c r="I31" s="54"/>
      <c r="J31" s="157">
        <v>3</v>
      </c>
      <c r="K31" s="116">
        <f>K30</f>
        <v>3.5510362011231068E-4</v>
      </c>
      <c r="L31" s="163">
        <f t="shared" si="6"/>
        <v>0</v>
      </c>
      <c r="M31" s="183">
        <v>15</v>
      </c>
      <c r="N31" s="157">
        <v>0.15</v>
      </c>
      <c r="O31" s="54">
        <v>31.536000000000001</v>
      </c>
      <c r="Q31" s="90">
        <f t="shared" si="7"/>
        <v>0</v>
      </c>
      <c r="R31" s="90">
        <f>COM_Balance!K37</f>
        <v>0</v>
      </c>
      <c r="S31" s="90">
        <f>R31</f>
        <v>0</v>
      </c>
      <c r="T31" s="124">
        <f t="shared" si="8"/>
        <v>3</v>
      </c>
      <c r="U31" s="116"/>
      <c r="V31" s="76">
        <f t="shared" si="9"/>
        <v>0</v>
      </c>
    </row>
    <row r="32" spans="3:22" s="16" customFormat="1" ht="15">
      <c r="C32" s="54" t="str">
        <f t="shared" si="5"/>
        <v>CCPS</v>
      </c>
      <c r="D32" s="54" t="str">
        <f>_xlfn.TEXTJOIN(",",TRUE,IF(LEFT(Regions!$C$3,1)&lt;&gt;"*",Regions!$C$3,""),IF(LEFT(Regions!$D$3,1)&lt;&gt;"*",Regions!$D$3,""))</f>
        <v>IE,National</v>
      </c>
      <c r="E32" s="54" t="str">
        <f>LEFT(C32,5)&amp;RIGHT(H32,3)&amp;"_00_Cen"</f>
        <v>CCPSELC_00_Cen</v>
      </c>
      <c r="F32" s="106" t="str">
        <f>"Existing commercial - "&amp;RIGHT(C32,2)&amp;" Space Cooling "&amp;RIGHT(H32,3)&amp;" Central"</f>
        <v>Existing commercial - PS Space Cooling ELC Central</v>
      </c>
      <c r="G32" s="180">
        <v>8.7401223026174271E-3</v>
      </c>
      <c r="H32" s="54" t="str">
        <f>COM_Balance!$L$13</f>
        <v>COMELC</v>
      </c>
      <c r="I32" s="54"/>
      <c r="J32" s="157">
        <v>3.2</v>
      </c>
      <c r="K32" s="116">
        <f>K31</f>
        <v>3.5510362011231068E-4</v>
      </c>
      <c r="L32" s="163">
        <f t="shared" si="6"/>
        <v>7.9682300846100531E-3</v>
      </c>
      <c r="M32" s="183">
        <v>15</v>
      </c>
      <c r="N32" s="157">
        <v>0.15</v>
      </c>
      <c r="O32" s="54">
        <v>31.536000000000001</v>
      </c>
      <c r="Q32" s="90">
        <f t="shared" si="7"/>
        <v>1.1779036122574809E-2</v>
      </c>
      <c r="R32" s="90">
        <f>COM_Balance!$L$37*G32</f>
        <v>1.1779036122574811E-2</v>
      </c>
      <c r="S32" s="90">
        <f>(COM_Balance!$L$37-$Q$39)*G32</f>
        <v>1.1779036122574811E-2</v>
      </c>
      <c r="T32" s="124">
        <f t="shared" si="8"/>
        <v>3.2</v>
      </c>
      <c r="U32" s="116"/>
      <c r="V32" s="76">
        <f t="shared" si="9"/>
        <v>106.14624424363242</v>
      </c>
    </row>
    <row r="33" spans="3:22" s="16" customFormat="1" ht="15">
      <c r="C33" s="54" t="str">
        <f t="shared" si="5"/>
        <v>CCPS</v>
      </c>
      <c r="D33" s="54" t="str">
        <f>_xlfn.TEXTJOIN(",",TRUE,IF(LEFT(Regions!$C$3,1)&lt;&gt;"*",Regions!$C$3,""),IF(LEFT(Regions!$D$3,1)&lt;&gt;"*",Regions!$D$3,""))</f>
        <v>IE,National</v>
      </c>
      <c r="E33" s="54" t="str">
        <f>LEFT(C33,5)&amp;RIGHT(H33,3)&amp;"_00_Roo"</f>
        <v>CCPSELC_00_Roo</v>
      </c>
      <c r="F33" s="106" t="str">
        <f>"Existing commercial - "&amp;RIGHT(C33,2)&amp;" Space Cooling "&amp;RIGHT(H33,3)&amp;" Room"</f>
        <v>Existing commercial - PS Space Cooling ELC Room</v>
      </c>
      <c r="G33" s="182">
        <v>0.92838300055076362</v>
      </c>
      <c r="H33" s="54" t="str">
        <f>COM_Balance!$L$13</f>
        <v>COMELC</v>
      </c>
      <c r="I33" s="54"/>
      <c r="J33" s="157">
        <f>J32</f>
        <v>3.2</v>
      </c>
      <c r="K33" s="116">
        <f>K32</f>
        <v>3.5510362011231068E-4</v>
      </c>
      <c r="L33" s="163">
        <f t="shared" si="6"/>
        <v>0.84639197243427333</v>
      </c>
      <c r="M33" s="183">
        <v>15</v>
      </c>
      <c r="N33" s="157">
        <v>0.15</v>
      </c>
      <c r="O33" s="54">
        <v>31.536000000000001</v>
      </c>
      <c r="Q33" s="90">
        <f t="shared" si="7"/>
        <v>1.2511789332509644</v>
      </c>
      <c r="R33" s="90">
        <f>COM_Balance!$L$37*G33</f>
        <v>1.2511789332509644</v>
      </c>
      <c r="S33" s="90">
        <f>(COM_Balance!$L$37-$Q$39)*G33</f>
        <v>1.2511789332509644</v>
      </c>
      <c r="T33" s="124">
        <f t="shared" si="8"/>
        <v>3.2</v>
      </c>
      <c r="U33" s="116"/>
      <c r="V33" s="76">
        <f t="shared" si="9"/>
        <v>11274.941621650576</v>
      </c>
    </row>
    <row r="34" spans="3:22" s="16" customFormat="1" ht="15.75" thickBot="1">
      <c r="C34" s="54" t="str">
        <f t="shared" si="5"/>
        <v>CCPS</v>
      </c>
      <c r="D34" s="54" t="str">
        <f>_xlfn.TEXTJOIN(",",TRUE,IF(LEFT(Regions!$C$3,1)&lt;&gt;"*",Regions!$C$3,""),IF(LEFT(Regions!$D$3,1)&lt;&gt;"*",Regions!$D$3,""))</f>
        <v>IE,National</v>
      </c>
      <c r="E34" s="54" t="str">
        <f>LEFT(C34,5)&amp;RIGHT(H34,3)&amp;"_00_Fan"</f>
        <v>CCPSELC_00_Fan</v>
      </c>
      <c r="F34" s="106" t="str">
        <f>"Existing commercial - "&amp;RIGHT(C34,2)&amp;" Space Cooling "&amp;RIGHT(H34,3)&amp;" Fans"</f>
        <v>Existing commercial - PS Space Cooling ELC Fans</v>
      </c>
      <c r="G34" s="181">
        <v>6.2876877146618965E-2</v>
      </c>
      <c r="H34" s="54" t="str">
        <f>COM_Balance!$L$13</f>
        <v>COMELC</v>
      </c>
      <c r="I34" s="54"/>
      <c r="J34" s="157">
        <f>J33</f>
        <v>3.2</v>
      </c>
      <c r="K34" s="116">
        <f>K33</f>
        <v>3.5510362011231068E-4</v>
      </c>
      <c r="L34" s="163">
        <f t="shared" si="6"/>
        <v>5.732384590956794E-2</v>
      </c>
      <c r="M34" s="183">
        <v>15</v>
      </c>
      <c r="N34" s="157">
        <v>0.15</v>
      </c>
      <c r="O34" s="54">
        <v>31.536000000000001</v>
      </c>
      <c r="Q34" s="90">
        <f t="shared" si="7"/>
        <v>8.4738975215818801E-2</v>
      </c>
      <c r="R34" s="90">
        <f>COM_Balance!$L$37*G34</f>
        <v>8.4738975215818815E-2</v>
      </c>
      <c r="S34" s="90">
        <f>(COM_Balance!$L$37-$Q$39)*G34</f>
        <v>8.4738975215818815E-2</v>
      </c>
      <c r="T34" s="124">
        <f t="shared" si="8"/>
        <v>3.2</v>
      </c>
      <c r="U34" s="116"/>
      <c r="V34" s="76">
        <f t="shared" si="9"/>
        <v>763.62139198935051</v>
      </c>
    </row>
    <row r="35" spans="3:22" s="16" customFormat="1" ht="15">
      <c r="C35" s="54" t="str">
        <f t="shared" si="5"/>
        <v>CCPS</v>
      </c>
      <c r="D35" s="54" t="str">
        <f>_xlfn.TEXTJOIN(",",TRUE,IF(LEFT(Regions!$C$3,1)&lt;&gt;"*",Regions!$C$3,""),IF(LEFT(Regions!$D$3,1)&lt;&gt;"*",Regions!$D$3,""))</f>
        <v>IE,National</v>
      </c>
      <c r="E35" s="54" t="str">
        <f>LEFT(C35,5)&amp;RIGHT(H35,3)&amp;"_00"</f>
        <v>CCPSCOO_00</v>
      </c>
      <c r="F35" s="106" t="str">
        <f>"Existing commercial - "&amp;RIGHT(C35,2)&amp;" Space Cooling "&amp;RIGHT(H35,3)</f>
        <v>Existing commercial - PS Space Cooling COO</v>
      </c>
      <c r="G35" s="80"/>
      <c r="H35" s="80" t="str">
        <f>COM_Commodities!$D$18</f>
        <v>COMCOO</v>
      </c>
      <c r="I35" s="54"/>
      <c r="J35" s="157">
        <v>0.96</v>
      </c>
      <c r="K35" s="116">
        <f>K34</f>
        <v>3.5510362011231068E-4</v>
      </c>
      <c r="L35" s="163">
        <f t="shared" si="6"/>
        <v>0</v>
      </c>
      <c r="M35" s="183">
        <v>20</v>
      </c>
      <c r="N35" s="157">
        <v>0.15</v>
      </c>
      <c r="O35" s="54">
        <v>31.536000000000001</v>
      </c>
      <c r="Q35" s="90">
        <f t="shared" si="7"/>
        <v>0</v>
      </c>
      <c r="R35" s="90">
        <f>COM_Balance!N37</f>
        <v>0</v>
      </c>
      <c r="S35" s="90">
        <f>R35</f>
        <v>0</v>
      </c>
      <c r="T35" s="124">
        <f t="shared" si="8"/>
        <v>0.96</v>
      </c>
      <c r="U35" s="116"/>
      <c r="V35" s="76">
        <f t="shared" si="9"/>
        <v>0</v>
      </c>
    </row>
    <row r="36" spans="3:22" s="16" customFormat="1" ht="15">
      <c r="C36" s="161" t="s">
        <v>23</v>
      </c>
      <c r="D36" s="161" t="str">
        <f>_xlfn.TEXTJOIN(",",TRUE,IF(LEFT(Regions!$C$3,1)&lt;&gt;"*",Regions!$C$3,""),IF(LEFT(Regions!$D$3,1)&lt;&gt;"*",Regions!$D$3,""))</f>
        <v>IE,National</v>
      </c>
      <c r="E36" s="159" t="str">
        <f>COM_CH!D51</f>
        <v>CHPSGAS_00_HP</v>
      </c>
      <c r="F36" s="159" t="str">
        <f>COM_CH!E51</f>
        <v>Existing commercial - PS Space Heat GAS Heat Pump</v>
      </c>
      <c r="G36" s="159"/>
      <c r="H36" s="159" t="str">
        <f>COM_Balance!$G$13</f>
        <v>COMGAS</v>
      </c>
      <c r="I36" s="160" t="str">
        <f>COM_CH!H51</f>
        <v>CHPS</v>
      </c>
      <c r="J36" s="170"/>
      <c r="K36" s="159"/>
      <c r="L36" s="159"/>
      <c r="M36" s="159"/>
      <c r="N36" s="159"/>
      <c r="O36" s="161"/>
      <c r="Q36" s="76"/>
      <c r="R36" s="76"/>
      <c r="S36" s="76"/>
      <c r="T36" s="124"/>
      <c r="U36" s="116"/>
      <c r="V36" s="76"/>
    </row>
    <row r="37" spans="3:22" s="16" customFormat="1" ht="15">
      <c r="C37" s="161" t="s">
        <v>23</v>
      </c>
      <c r="D37" s="161"/>
      <c r="E37" s="159"/>
      <c r="F37" s="159"/>
      <c r="G37" s="159"/>
      <c r="H37" s="159"/>
      <c r="I37" s="160" t="str">
        <f>COM_CH!H52</f>
        <v>CCPS</v>
      </c>
      <c r="J37" s="160">
        <f>COM_CH!J52</f>
        <v>3.2</v>
      </c>
      <c r="K37" s="160"/>
      <c r="L37" s="159">
        <f>COM_CH!N51</f>
        <v>0</v>
      </c>
      <c r="M37" s="159"/>
      <c r="N37" s="159">
        <v>0.15</v>
      </c>
      <c r="O37" s="161">
        <v>31.536000000000001</v>
      </c>
      <c r="Q37" s="90">
        <f>IF(J37=0,0,L37*N37*O37/J37)*(1-COM_CH!K51)</f>
        <v>0</v>
      </c>
      <c r="R37" s="116"/>
      <c r="S37" s="116"/>
      <c r="T37" s="124">
        <f>J37</f>
        <v>3.2</v>
      </c>
      <c r="U37" s="116"/>
      <c r="V37" s="76">
        <f>COM_CH!W51</f>
        <v>0</v>
      </c>
    </row>
    <row r="38" spans="3:22" s="16" customFormat="1" ht="15">
      <c r="C38" s="161" t="s">
        <v>23</v>
      </c>
      <c r="D38" s="161" t="str">
        <f>_xlfn.TEXTJOIN(",",TRUE,IF(LEFT(Regions!$C$3,1)&lt;&gt;"*",Regions!$C$3,""),IF(LEFT(Regions!$D$3,1)&lt;&gt;"*",Regions!$D$3,""))</f>
        <v>IE,National</v>
      </c>
      <c r="E38" s="159" t="str">
        <f>COM_CH!D64</f>
        <v>CHPSELC_00_HP</v>
      </c>
      <c r="F38" s="159" t="str">
        <f>COM_CH!E64</f>
        <v>Existing commercial - PS Space Heat ELC Heat Pump</v>
      </c>
      <c r="G38" s="159"/>
      <c r="H38" s="159" t="str">
        <f>COM_Balance!$L$13</f>
        <v>COMELC</v>
      </c>
      <c r="I38" s="160" t="str">
        <f>COM_CH!H64</f>
        <v>CHPS</v>
      </c>
      <c r="J38" s="160"/>
      <c r="K38" s="160"/>
      <c r="L38" s="159"/>
      <c r="M38" s="159"/>
      <c r="N38" s="159"/>
      <c r="O38" s="161"/>
      <c r="Q38" s="116"/>
      <c r="R38" s="116"/>
      <c r="S38" s="116"/>
      <c r="T38" s="124"/>
      <c r="U38" s="116"/>
      <c r="V38" s="76"/>
    </row>
    <row r="39" spans="3:22" s="16" customFormat="1" ht="15">
      <c r="C39" s="161" t="s">
        <v>23</v>
      </c>
      <c r="D39" s="161"/>
      <c r="E39" s="159"/>
      <c r="F39" s="159"/>
      <c r="G39" s="159"/>
      <c r="H39" s="159"/>
      <c r="I39" s="160" t="str">
        <f>COM_CH!H65</f>
        <v>CCPS</v>
      </c>
      <c r="J39" s="160">
        <f>COM_CH!J65</f>
        <v>3.2</v>
      </c>
      <c r="K39" s="160"/>
      <c r="L39" s="159">
        <f>COM_CH!N64</f>
        <v>0</v>
      </c>
      <c r="M39" s="159"/>
      <c r="N39" s="159">
        <v>0.15</v>
      </c>
      <c r="O39" s="161">
        <v>31.536000000000001</v>
      </c>
      <c r="Q39" s="90">
        <f>IF(J39=0,0,L39*N39*O39/J39)*(1-COM_CH!K64)</f>
        <v>0</v>
      </c>
      <c r="R39" s="116"/>
      <c r="S39" s="116"/>
      <c r="T39" s="124">
        <f>J39</f>
        <v>3.2</v>
      </c>
      <c r="U39" s="116"/>
      <c r="V39" s="76">
        <f>COM_CH!W64</f>
        <v>0</v>
      </c>
    </row>
    <row r="40" spans="3:22" s="16" customFormat="1" ht="15">
      <c r="C40" s="161" t="s">
        <v>23</v>
      </c>
      <c r="D40" s="161"/>
      <c r="E40" s="159"/>
      <c r="F40" s="159"/>
      <c r="G40" s="159"/>
      <c r="H40" s="159"/>
      <c r="I40" s="160"/>
      <c r="J40" s="170"/>
      <c r="K40" s="159"/>
      <c r="L40" s="159"/>
      <c r="M40" s="159"/>
      <c r="N40" s="159"/>
      <c r="O40" s="161"/>
      <c r="Q40" s="116"/>
      <c r="R40" s="116"/>
      <c r="S40" s="116"/>
      <c r="T40" s="124"/>
      <c r="U40" s="116"/>
      <c r="V40" s="54"/>
    </row>
    <row r="41" spans="3:22" s="16" customFormat="1" ht="15">
      <c r="C41" s="108" t="s">
        <v>83</v>
      </c>
      <c r="D41" s="108"/>
      <c r="E41" s="100"/>
      <c r="F41" s="100"/>
      <c r="G41" s="54"/>
      <c r="H41" s="100"/>
      <c r="I41" s="100"/>
      <c r="J41" s="100"/>
      <c r="K41" s="113"/>
      <c r="L41" s="115">
        <f>SUM(L30:L39)</f>
        <v>0.9116840484284513</v>
      </c>
      <c r="M41" s="100"/>
      <c r="N41" s="54"/>
      <c r="O41" s="54"/>
      <c r="Q41" s="116">
        <f>SUM(Q30:Q35)</f>
        <v>1.3476969445893581</v>
      </c>
      <c r="R41" s="116">
        <f>SUM(R30:R40)</f>
        <v>1.3476969445893581</v>
      </c>
      <c r="S41" s="116">
        <f>SUM(S30:S40)</f>
        <v>1.3476969445893581</v>
      </c>
      <c r="T41" s="124"/>
      <c r="U41" s="116"/>
      <c r="V41" s="173">
        <f>COM_Balance!C71-SUM(V37:V39)</f>
        <v>12144.709257883558</v>
      </c>
    </row>
    <row r="42" spans="3:22" s="16" customFormat="1" ht="15">
      <c r="J42" s="94"/>
      <c r="P42" s="95"/>
      <c r="T42" s="94"/>
    </row>
    <row r="43" spans="3:22" s="16" customFormat="1" ht="15"/>
    <row r="44" spans="3:22" s="16" customFormat="1" ht="15"/>
    <row r="45" spans="3:22" s="16" customFormat="1" ht="15"/>
    <row r="46" spans="3:22" s="16" customFormat="1" ht="15"/>
    <row r="47" spans="3:22" s="16" customFormat="1" ht="15"/>
    <row r="48" spans="3:22" s="16" customFormat="1" ht="15"/>
    <row r="49" s="16" customFormat="1" ht="15"/>
    <row r="50" s="16" customFormat="1" ht="15"/>
    <row r="51" s="16" customFormat="1" ht="15"/>
    <row r="52" s="16" customFormat="1" ht="15"/>
    <row r="53" s="16" customFormat="1" ht="15"/>
    <row r="54" s="16" customFormat="1" ht="15"/>
    <row r="55" s="16" customFormat="1" ht="15"/>
    <row r="56" s="16" customFormat="1" ht="15"/>
    <row r="57" s="16" customFormat="1" ht="15"/>
    <row r="58" s="16" customFormat="1" ht="15"/>
    <row r="59" s="16" customFormat="1" ht="15"/>
    <row r="60" s="16" customFormat="1" ht="15"/>
    <row r="61" s="16" customFormat="1" ht="15"/>
    <row r="62" s="16" customFormat="1" ht="15"/>
    <row r="63" s="16" customFormat="1" ht="15"/>
    <row r="64" s="16" customFormat="1" ht="15"/>
    <row r="65" s="16" customFormat="1" ht="15"/>
    <row r="66" s="16" customFormat="1" ht="15"/>
    <row r="67" s="16" customFormat="1" ht="15"/>
    <row r="68" s="16" customFormat="1" ht="15"/>
    <row r="69" s="16" customFormat="1" ht="15"/>
    <row r="70" s="16" customFormat="1" ht="15"/>
    <row r="71" s="16" customFormat="1" ht="15"/>
    <row r="72" s="16" customFormat="1" ht="15"/>
    <row r="73" s="16" customFormat="1" ht="15"/>
    <row r="74" s="16" customFormat="1" ht="15"/>
    <row r="75" s="16" customFormat="1" ht="15"/>
    <row r="76" s="16" customFormat="1" ht="15"/>
    <row r="77" s="16" customFormat="1" ht="15"/>
    <row r="78" s="16" customFormat="1" ht="15"/>
    <row r="79" s="16" customFormat="1" ht="15"/>
    <row r="80" s="16" customFormat="1" ht="15"/>
    <row r="81" s="16" customFormat="1" ht="15"/>
    <row r="82" s="16" customFormat="1" ht="15"/>
    <row r="83" s="16" customFormat="1" ht="15"/>
    <row r="84" s="16" customFormat="1" ht="15"/>
    <row r="85" s="16" customFormat="1" ht="15"/>
    <row r="86" s="16" customFormat="1" ht="15"/>
    <row r="87" s="16" customFormat="1" ht="15"/>
    <row r="88" s="16" customFormat="1" ht="15"/>
    <row r="89" s="16" customFormat="1" ht="15"/>
    <row r="90" s="16" customFormat="1" ht="15"/>
    <row r="91" s="16" customFormat="1" ht="15"/>
    <row r="92" s="16" customFormat="1" ht="15"/>
    <row r="93" s="16" customFormat="1" ht="15"/>
    <row r="94" s="16" customFormat="1" ht="15"/>
    <row r="95" s="16" customFormat="1" ht="15"/>
    <row r="96" s="16" customFormat="1" ht="15"/>
    <row r="97" s="16" customFormat="1" ht="15"/>
    <row r="98" s="16" customFormat="1" ht="15"/>
    <row r="99" s="16" customFormat="1" ht="15"/>
    <row r="100" s="16" customFormat="1" ht="15"/>
    <row r="101" s="16" customFormat="1" ht="15"/>
    <row r="102" s="16" customFormat="1" ht="15"/>
    <row r="103" s="16" customFormat="1" ht="15"/>
    <row r="104" s="16" customFormat="1" ht="15"/>
    <row r="105" s="16" customFormat="1" ht="15"/>
    <row r="106" s="16" customFormat="1" ht="15"/>
    <row r="107" s="16" customFormat="1" ht="15"/>
    <row r="108" s="16" customFormat="1" ht="15"/>
    <row r="109" s="16" customFormat="1" ht="15"/>
    <row r="110" s="16" customFormat="1" ht="15"/>
    <row r="111" s="16" customFormat="1" ht="15"/>
    <row r="112" s="16" customFormat="1" ht="15"/>
    <row r="113" s="16" customFormat="1" ht="15"/>
    <row r="114" s="16" customFormat="1" ht="15"/>
    <row r="115" s="16" customFormat="1" ht="15"/>
    <row r="116" s="16" customFormat="1" ht="15"/>
    <row r="117" s="16" customFormat="1" ht="15"/>
    <row r="118" s="16" customFormat="1" ht="15"/>
    <row r="119" s="16" customFormat="1" ht="15"/>
    <row r="120" s="16" customFormat="1" ht="15"/>
    <row r="121" s="16" customFormat="1" ht="15"/>
    <row r="122" s="16" customFormat="1" ht="15"/>
    <row r="123" s="16" customFormat="1" ht="15"/>
    <row r="124" s="16" customFormat="1" ht="15"/>
    <row r="125" s="16" customFormat="1" ht="15"/>
    <row r="126" s="16" customFormat="1" ht="15"/>
    <row r="127" s="16" customFormat="1" ht="15"/>
    <row r="128" s="16" customFormat="1" ht="15"/>
    <row r="129" s="16" customFormat="1" ht="15"/>
    <row r="130" s="16" customFormat="1" ht="15"/>
    <row r="131" s="16" customFormat="1" ht="15"/>
    <row r="132" s="16" customFormat="1" ht="15"/>
    <row r="133" s="16" customFormat="1" ht="15"/>
    <row r="134" s="16" customFormat="1" ht="15"/>
    <row r="135" s="16" customFormat="1" ht="15"/>
    <row r="136" s="16" customFormat="1" ht="15"/>
    <row r="137" s="16" customFormat="1" ht="15"/>
    <row r="138" s="16" customFormat="1" ht="15"/>
    <row r="139" s="16" customFormat="1" ht="15"/>
    <row r="140" s="16" customFormat="1" ht="15"/>
    <row r="141" s="16" customFormat="1" ht="15"/>
    <row r="142" s="16" customFormat="1" ht="15"/>
    <row r="143" s="16" customFormat="1" ht="15"/>
    <row r="144" s="16" customFormat="1" ht="15"/>
    <row r="145" s="16" customFormat="1" ht="15"/>
    <row r="146" s="16" customFormat="1" ht="15"/>
    <row r="147" s="16" customFormat="1" ht="15"/>
    <row r="148" s="16" customFormat="1" ht="15"/>
    <row r="149" s="16" customFormat="1" ht="15"/>
    <row r="150" s="16" customFormat="1" ht="15"/>
    <row r="151" s="16" customFormat="1" ht="15"/>
    <row r="152" s="16" customFormat="1" ht="15"/>
    <row r="153" s="16" customFormat="1" ht="15"/>
    <row r="154" s="16" customFormat="1" ht="15"/>
    <row r="155" s="16" customFormat="1" ht="15"/>
    <row r="156" s="16" customFormat="1" ht="15"/>
    <row r="157" s="16" customFormat="1" ht="15"/>
    <row r="158" s="16" customFormat="1" ht="15"/>
    <row r="159" s="16" customFormat="1" ht="15"/>
    <row r="160" s="16" customFormat="1" ht="15"/>
    <row r="161" s="16" customFormat="1" ht="15"/>
    <row r="162" s="16" customFormat="1" ht="15"/>
    <row r="163" s="16" customFormat="1" ht="15"/>
    <row r="164" s="16" customFormat="1" ht="15"/>
    <row r="165" s="16" customFormat="1" ht="15"/>
    <row r="166" s="16" customFormat="1" ht="15"/>
    <row r="167" s="16" customFormat="1" ht="15"/>
    <row r="168" s="16" customFormat="1" ht="15"/>
    <row r="169" s="16" customFormat="1" ht="15"/>
    <row r="170" s="16" customFormat="1" ht="15"/>
    <row r="171" s="16" customFormat="1" ht="15"/>
    <row r="172" s="16" customFormat="1" ht="15"/>
    <row r="173" s="16" customFormat="1" ht="15"/>
    <row r="174" s="16" customFormat="1" ht="15"/>
    <row r="175" s="16" customFormat="1" ht="15"/>
    <row r="176" s="16" customFormat="1" ht="15"/>
    <row r="177" s="16" customFormat="1" ht="15"/>
    <row r="178" s="16" customFormat="1" ht="15"/>
    <row r="179" s="16" customFormat="1" ht="15"/>
    <row r="180" s="16" customFormat="1" ht="15"/>
    <row r="181" s="16" customFormat="1" ht="15"/>
    <row r="182" s="16" customFormat="1" ht="15"/>
    <row r="183" s="16" customFormat="1" ht="15"/>
    <row r="184" s="16" customFormat="1" ht="15"/>
    <row r="185" s="16" customFormat="1" ht="15"/>
    <row r="186" s="16" customFormat="1" ht="15"/>
    <row r="187" s="16" customFormat="1" ht="15"/>
    <row r="188" s="16" customFormat="1" ht="15"/>
    <row r="189" s="16" customFormat="1" ht="15"/>
    <row r="190" s="16" customFormat="1" ht="15"/>
    <row r="191" s="16" customFormat="1" ht="15"/>
    <row r="192" s="16" customFormat="1" ht="15"/>
    <row r="193" s="16" customFormat="1" ht="15"/>
    <row r="194" s="16" customFormat="1" ht="15"/>
    <row r="195" s="16" customFormat="1" ht="15"/>
    <row r="196" s="16" customFormat="1" ht="15"/>
    <row r="197" s="16" customFormat="1" ht="15"/>
    <row r="198" s="16" customFormat="1" ht="15"/>
    <row r="199" s="16" customFormat="1" ht="15"/>
    <row r="200" s="16" customFormat="1" ht="15"/>
    <row r="201" s="16" customFormat="1" ht="15"/>
    <row r="202" s="16" customFormat="1" ht="15"/>
    <row r="203" s="16" customFormat="1" ht="15"/>
    <row r="204" s="16" customFormat="1" ht="15"/>
    <row r="205" s="16" customFormat="1" ht="15"/>
    <row r="206" s="16" customFormat="1" ht="15"/>
    <row r="207" s="16" customFormat="1" ht="15"/>
    <row r="208" s="16" customFormat="1" ht="15"/>
    <row r="209" s="16" customFormat="1" ht="15"/>
    <row r="210" s="16" customFormat="1" ht="15"/>
    <row r="211" s="16" customFormat="1" ht="15"/>
    <row r="212" s="16" customFormat="1" ht="15"/>
    <row r="213" s="16" customFormat="1" ht="15"/>
    <row r="214" s="16" customFormat="1" ht="15"/>
    <row r="215" s="16" customFormat="1" ht="15"/>
    <row r="216" s="16" customFormat="1" ht="15"/>
    <row r="217" s="16" customFormat="1" ht="15"/>
    <row r="218" s="16" customFormat="1" ht="15"/>
    <row r="219" s="16" customFormat="1" ht="15"/>
    <row r="220" s="16" customFormat="1" ht="15"/>
    <row r="221" s="16" customFormat="1" ht="15"/>
    <row r="222" s="16" customFormat="1" ht="15"/>
    <row r="223" s="16" customFormat="1" ht="15"/>
    <row r="224" s="16" customFormat="1" ht="15"/>
    <row r="225" s="16" customFormat="1" ht="15"/>
    <row r="226" s="16" customFormat="1" ht="15"/>
    <row r="227" s="16" customFormat="1" ht="15"/>
    <row r="228" s="16" customFormat="1" ht="15"/>
    <row r="229" s="16" customFormat="1" ht="15"/>
    <row r="230" s="16" customFormat="1" ht="15"/>
    <row r="231" s="16" customFormat="1" ht="15"/>
    <row r="232" s="16" customFormat="1" ht="15"/>
    <row r="233" s="16" customFormat="1" ht="15"/>
    <row r="234" s="16" customFormat="1" ht="15"/>
    <row r="235" s="16" customFormat="1" ht="15"/>
    <row r="236" s="16" customFormat="1" ht="15"/>
    <row r="237" s="16" customFormat="1" ht="15"/>
    <row r="238" s="16" customFormat="1" ht="15"/>
    <row r="239" s="16" customFormat="1" ht="15"/>
    <row r="240" s="16" customFormat="1" ht="15"/>
    <row r="241" s="16" customFormat="1" ht="15"/>
    <row r="242" s="16" customFormat="1" ht="15"/>
    <row r="243" s="16" customFormat="1" ht="15"/>
    <row r="244" s="16" customFormat="1" ht="15"/>
    <row r="245" s="16" customFormat="1" ht="15"/>
    <row r="246" s="16" customFormat="1" ht="15"/>
    <row r="247" s="16" customFormat="1" ht="15"/>
    <row r="248" s="16" customFormat="1" ht="15"/>
    <row r="249" s="16" customFormat="1" ht="15"/>
    <row r="250" s="16" customFormat="1" ht="15"/>
    <row r="251" s="16" customFormat="1" ht="15"/>
    <row r="252" s="16" customFormat="1" ht="15"/>
    <row r="253" s="16" customFormat="1" ht="15"/>
    <row r="254" s="16" customFormat="1" ht="15"/>
    <row r="255" s="16" customFormat="1" ht="15"/>
    <row r="256" s="16" customFormat="1" ht="15"/>
    <row r="257" s="16" customFormat="1" ht="15"/>
    <row r="258" s="16" customFormat="1" ht="15"/>
    <row r="259" s="16" customFormat="1" ht="15"/>
    <row r="260" s="16" customFormat="1" ht="15"/>
    <row r="261" s="16" customFormat="1" ht="15"/>
    <row r="262" s="16" customFormat="1" ht="15"/>
    <row r="263" s="16" customFormat="1" ht="15"/>
    <row r="264" s="16" customFormat="1" ht="15"/>
    <row r="265" s="16" customFormat="1" ht="15"/>
    <row r="266" s="16" customFormat="1" ht="15"/>
    <row r="267" s="16" customFormat="1" ht="15"/>
    <row r="268" s="16" customFormat="1" ht="15"/>
    <row r="269" s="16" customFormat="1" ht="15"/>
    <row r="270" s="16" customFormat="1" ht="15"/>
    <row r="271" s="16" customFormat="1" ht="15"/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74B2-BC67-4F08-B572-2D160C87B034}">
  <sheetPr>
    <tabColor rgb="FFFFC000"/>
  </sheetPr>
  <dimension ref="B3:R15"/>
  <sheetViews>
    <sheetView topLeftCell="A4" zoomScale="90" zoomScaleNormal="90" workbookViewId="0">
      <selection activeCell="P24" sqref="P24"/>
    </sheetView>
  </sheetViews>
  <sheetFormatPr defaultRowHeight="12.75"/>
  <cols>
    <col min="2" max="2" width="52.85546875" bestFit="1" customWidth="1"/>
    <col min="3" max="3" width="10.7109375" bestFit="1" customWidth="1"/>
    <col min="4" max="4" width="11.5703125" bestFit="1" customWidth="1"/>
    <col min="5" max="5" width="50.5703125" bestFit="1" customWidth="1"/>
    <col min="6" max="6" width="8.28515625" bestFit="1" customWidth="1"/>
    <col min="9" max="9" width="8.42578125" bestFit="1" customWidth="1"/>
  </cols>
  <sheetData>
    <row r="3" spans="2:18" ht="18.75">
      <c r="B3" s="66" t="s">
        <v>250</v>
      </c>
      <c r="C3" s="64"/>
      <c r="D3" s="64"/>
      <c r="E3" s="64"/>
    </row>
    <row r="4" spans="2:18" ht="15">
      <c r="B4" s="68" t="s">
        <v>602</v>
      </c>
      <c r="C4" s="16"/>
      <c r="D4" s="16"/>
      <c r="E4" s="16"/>
    </row>
    <row r="5" spans="2:18" ht="16.5" thickBot="1">
      <c r="B5" s="96" t="s">
        <v>17</v>
      </c>
      <c r="C5" s="812" t="s">
        <v>262</v>
      </c>
      <c r="D5" s="812" t="s">
        <v>565</v>
      </c>
      <c r="E5" s="99"/>
    </row>
    <row r="6" spans="2:18" ht="31.5" customHeight="1">
      <c r="B6" s="22" t="s">
        <v>147</v>
      </c>
      <c r="C6" s="22" t="s">
        <v>10</v>
      </c>
      <c r="D6" s="188" t="str">
        <f>C6</f>
        <v>PJ</v>
      </c>
      <c r="E6" s="98" t="s">
        <v>232</v>
      </c>
    </row>
    <row r="7" spans="2:18" ht="15">
      <c r="B7" t="s">
        <v>642</v>
      </c>
      <c r="C7">
        <v>7.8120000000000003</v>
      </c>
      <c r="D7" s="378">
        <v>7.8120000000000003</v>
      </c>
      <c r="E7" s="811" t="s">
        <v>643</v>
      </c>
    </row>
    <row r="8" spans="2:18" s="378" customFormat="1" ht="15">
      <c r="E8" s="25"/>
    </row>
    <row r="9" spans="2:18" s="378" customFormat="1" ht="15">
      <c r="E9" s="25"/>
    </row>
    <row r="11" spans="2:18" ht="18.75">
      <c r="B11" s="66" t="s">
        <v>88</v>
      </c>
      <c r="C11" s="66"/>
      <c r="D11" s="64"/>
      <c r="E11" s="64"/>
      <c r="F11" s="64"/>
      <c r="G11" s="68" t="s">
        <v>79</v>
      </c>
      <c r="H11" s="101"/>
      <c r="I11" s="102"/>
      <c r="J11" s="103"/>
      <c r="K11" s="104"/>
    </row>
    <row r="12" spans="2:18" ht="45.75" thickBot="1">
      <c r="B12" s="189" t="s">
        <v>22</v>
      </c>
      <c r="C12" s="189" t="s">
        <v>603</v>
      </c>
      <c r="D12" s="189" t="s">
        <v>15</v>
      </c>
      <c r="E12" s="189" t="s">
        <v>16</v>
      </c>
      <c r="F12" s="189" t="s">
        <v>94</v>
      </c>
      <c r="G12" s="189" t="s">
        <v>39</v>
      </c>
      <c r="H12" s="185" t="s">
        <v>81</v>
      </c>
      <c r="I12" s="128" t="s">
        <v>210</v>
      </c>
      <c r="J12" s="128" t="s">
        <v>238</v>
      </c>
      <c r="K12" s="128" t="s">
        <v>111</v>
      </c>
      <c r="N12" s="90" t="s">
        <v>237</v>
      </c>
      <c r="O12" s="90"/>
      <c r="P12" s="202"/>
      <c r="Q12" s="134"/>
      <c r="R12" s="85"/>
    </row>
    <row r="13" spans="2:18" ht="75.75" thickBot="1">
      <c r="B13" s="190" t="s">
        <v>25</v>
      </c>
      <c r="C13" s="190"/>
      <c r="D13" s="190"/>
      <c r="E13" s="190"/>
      <c r="F13" s="190" t="s">
        <v>109</v>
      </c>
      <c r="G13" s="190"/>
      <c r="H13" s="190"/>
      <c r="I13" s="201"/>
      <c r="J13" s="201" t="s">
        <v>34</v>
      </c>
      <c r="K13" s="201" t="s">
        <v>35</v>
      </c>
      <c r="N13" s="125" t="s">
        <v>36</v>
      </c>
      <c r="O13" s="125" t="s">
        <v>644</v>
      </c>
      <c r="P13" s="166" t="s">
        <v>23</v>
      </c>
      <c r="Q13" s="125" t="s">
        <v>99</v>
      </c>
      <c r="R13" s="125" t="s">
        <v>100</v>
      </c>
    </row>
    <row r="14" spans="2:18" ht="47.25">
      <c r="B14" s="54" t="s">
        <v>642</v>
      </c>
      <c r="C14" s="54" t="s">
        <v>645</v>
      </c>
      <c r="D14" s="54" t="str">
        <f>LEFT(B14,5)&amp;RIGHT(G14,3)&amp;"_00"</f>
        <v>CDCEELC_00</v>
      </c>
      <c r="E14" s="106" t="str">
        <f>"Existing commercial - Data Centres "&amp;RIGHT(G14,3)</f>
        <v>Existing commercial - Data Centres ELC</v>
      </c>
      <c r="F14" s="54"/>
      <c r="G14" s="54" t="str">
        <f>COM_Balance!$L$13</f>
        <v>COMELC</v>
      </c>
      <c r="H14" s="92">
        <v>1</v>
      </c>
      <c r="I14" s="138">
        <v>1</v>
      </c>
      <c r="J14" s="70"/>
      <c r="K14" s="72"/>
      <c r="N14" s="133" t="s">
        <v>10</v>
      </c>
      <c r="O14" s="133" t="s">
        <v>10</v>
      </c>
      <c r="P14" s="154"/>
      <c r="Q14" s="133" t="s">
        <v>38</v>
      </c>
      <c r="R14" s="133" t="s">
        <v>32</v>
      </c>
    </row>
    <row r="15" spans="2:18" ht="15">
      <c r="N15" s="139">
        <v>7.8120000000000003</v>
      </c>
      <c r="O15" s="139">
        <v>7.8120000000000003</v>
      </c>
      <c r="P15" s="203"/>
      <c r="Q15" s="73"/>
      <c r="R15" s="7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>
    <tabColor rgb="FFFFC000"/>
  </sheetPr>
  <dimension ref="B2:P42"/>
  <sheetViews>
    <sheetView zoomScale="80" zoomScaleNormal="80" workbookViewId="0">
      <selection activeCell="B9" sqref="B9"/>
    </sheetView>
  </sheetViews>
  <sheetFormatPr defaultRowHeight="12.75"/>
  <cols>
    <col min="1" max="1" width="4.42578125" customWidth="1"/>
    <col min="2" max="2" width="12.140625" style="378" bestFit="1" customWidth="1"/>
    <col min="3" max="3" width="21.42578125" customWidth="1"/>
    <col min="4" max="4" width="30.85546875" bestFit="1" customWidth="1"/>
    <col min="5" max="5" width="10" bestFit="1" customWidth="1"/>
    <col min="6" max="6" width="11.7109375" bestFit="1" customWidth="1"/>
    <col min="7" max="7" width="13" customWidth="1"/>
    <col min="8" max="8" width="15.28515625" bestFit="1" customWidth="1"/>
    <col min="9" max="9" width="11.7109375" bestFit="1" customWidth="1"/>
    <col min="10" max="10" width="12.28515625" customWidth="1"/>
    <col min="11" max="11" width="9.140625" customWidth="1"/>
    <col min="12" max="12" width="14" customWidth="1"/>
    <col min="13" max="257" width="11.42578125" customWidth="1"/>
  </cols>
  <sheetData>
    <row r="2" spans="2:16" ht="26.25">
      <c r="C2" s="82" t="s">
        <v>231</v>
      </c>
    </row>
    <row r="3" spans="2:16" ht="26.25">
      <c r="C3" s="83" t="s">
        <v>247</v>
      </c>
    </row>
    <row r="5" spans="2:16">
      <c r="H5" s="7"/>
      <c r="J5" s="7"/>
      <c r="L5" s="10"/>
    </row>
    <row r="6" spans="2:16" ht="18">
      <c r="B6" s="4" t="s">
        <v>146</v>
      </c>
      <c r="C6" s="3"/>
      <c r="D6" s="3"/>
      <c r="E6" s="3"/>
      <c r="F6" s="6" t="s">
        <v>79</v>
      </c>
      <c r="G6" s="6"/>
      <c r="I6" s="12"/>
      <c r="J6" s="13"/>
      <c r="K6" s="14"/>
      <c r="L6" s="14"/>
      <c r="M6" s="14"/>
      <c r="N6" s="1"/>
      <c r="O6" s="1"/>
    </row>
    <row r="7" spans="2:16" s="16" customFormat="1" ht="15.75" thickBot="1">
      <c r="B7" s="527" t="s">
        <v>603</v>
      </c>
      <c r="C7" s="184" t="s">
        <v>15</v>
      </c>
      <c r="D7" s="184" t="s">
        <v>16</v>
      </c>
      <c r="E7" s="184" t="s">
        <v>39</v>
      </c>
      <c r="F7" s="184" t="s">
        <v>40</v>
      </c>
      <c r="G7" s="185" t="s">
        <v>246</v>
      </c>
      <c r="H7" s="512" t="s">
        <v>563</v>
      </c>
      <c r="I7" s="185" t="s">
        <v>81</v>
      </c>
      <c r="J7" s="185" t="s">
        <v>210</v>
      </c>
      <c r="K7" s="185" t="s">
        <v>29</v>
      </c>
      <c r="L7" s="185" t="s">
        <v>30</v>
      </c>
      <c r="M7" s="185" t="s">
        <v>110</v>
      </c>
      <c r="N7" s="69"/>
      <c r="O7" s="818" t="s">
        <v>237</v>
      </c>
      <c r="P7" s="818"/>
    </row>
    <row r="8" spans="2:16" s="16" customFormat="1" ht="15">
      <c r="B8" s="186" t="s">
        <v>147</v>
      </c>
      <c r="C8" s="186" t="s">
        <v>147</v>
      </c>
      <c r="D8" s="186"/>
      <c r="E8" s="186"/>
      <c r="F8" s="186"/>
      <c r="G8" s="186"/>
      <c r="H8" s="186"/>
      <c r="I8" s="186"/>
      <c r="J8" s="186"/>
      <c r="K8" s="186" t="s">
        <v>113</v>
      </c>
      <c r="L8" s="186" t="s">
        <v>34</v>
      </c>
      <c r="M8" s="186" t="s">
        <v>108</v>
      </c>
      <c r="N8" s="69"/>
      <c r="O8" s="186" t="s">
        <v>256</v>
      </c>
      <c r="P8" s="186" t="s">
        <v>149</v>
      </c>
    </row>
    <row r="9" spans="2:16" s="16" customFormat="1" ht="15">
      <c r="B9" s="140" t="str">
        <f>_xlfn.TEXTJOIN(",",TRUE,IF(LEFT(Regions!$C$3,1)&lt;&gt;"*",Regions!$C$3,""),IF(LEFT(Regions!$D$3,1)&lt;&gt;"*",Regions!$D$3,""))</f>
        <v>IE,National</v>
      </c>
      <c r="C9" s="140" t="s">
        <v>532</v>
      </c>
      <c r="D9" s="140" t="s">
        <v>525</v>
      </c>
      <c r="E9" s="54" t="s">
        <v>70</v>
      </c>
      <c r="F9" s="54" t="s">
        <v>72</v>
      </c>
      <c r="G9" s="54"/>
      <c r="H9" s="54"/>
      <c r="I9" s="73">
        <v>1</v>
      </c>
      <c r="J9" s="54">
        <v>31.536000000000001</v>
      </c>
      <c r="K9" s="121">
        <f>P9/(M9*J9)</f>
        <v>1.6967369414688071E-3</v>
      </c>
      <c r="L9" s="54">
        <v>15</v>
      </c>
      <c r="M9" s="54">
        <v>0.13</v>
      </c>
      <c r="N9" s="69"/>
      <c r="O9" s="311">
        <f>J9*K9*M9</f>
        <v>6.95607850420084E-3</v>
      </c>
      <c r="P9" s="311">
        <f>0.16614308073471*COM_Balance!$S$5</f>
        <v>6.9560785042008392E-3</v>
      </c>
    </row>
    <row r="10" spans="2:16" s="16" customFormat="1" ht="15">
      <c r="C10" s="54"/>
      <c r="D10" s="54"/>
      <c r="E10" s="54"/>
      <c r="F10" s="54" t="s">
        <v>366</v>
      </c>
      <c r="G10" s="73">
        <v>0.3</v>
      </c>
      <c r="H10" s="515">
        <v>5</v>
      </c>
      <c r="I10" s="54"/>
      <c r="J10" s="54"/>
      <c r="K10" s="54"/>
      <c r="L10" s="54"/>
      <c r="M10" s="54"/>
      <c r="N10" s="69"/>
      <c r="O10" s="69"/>
      <c r="P10" s="69"/>
    </row>
    <row r="11" spans="2:16" s="16" customFormat="1" ht="15">
      <c r="N11" s="310"/>
    </row>
    <row r="12" spans="2:16" s="16" customFormat="1" ht="15"/>
    <row r="13" spans="2:16" s="16" customFormat="1" ht="15"/>
    <row r="14" spans="2:16" s="16" customFormat="1" ht="15"/>
    <row r="15" spans="2:16" s="16" customFormat="1" ht="15"/>
    <row r="16" spans="2:16" s="16" customFormat="1" ht="15"/>
    <row r="17" spans="3:3" s="16" customFormat="1" ht="15">
      <c r="C17" s="312"/>
    </row>
    <row r="18" spans="3:3" s="16" customFormat="1" ht="15"/>
    <row r="19" spans="3:3" s="16" customFormat="1" ht="15"/>
    <row r="20" spans="3:3" s="16" customFormat="1" ht="15"/>
    <row r="21" spans="3:3" s="16" customFormat="1" ht="15"/>
    <row r="22" spans="3:3" s="16" customFormat="1" ht="15"/>
    <row r="23" spans="3:3" s="16" customFormat="1" ht="15"/>
    <row r="24" spans="3:3" s="16" customFormat="1" ht="15"/>
    <row r="25" spans="3:3" s="16" customFormat="1" ht="15"/>
    <row r="26" spans="3:3" s="16" customFormat="1" ht="15"/>
    <row r="27" spans="3:3" s="16" customFormat="1" ht="15"/>
    <row r="28" spans="3:3" s="16" customFormat="1" ht="15"/>
    <row r="29" spans="3:3" s="16" customFormat="1" ht="15"/>
    <row r="30" spans="3:3" s="16" customFormat="1" ht="15"/>
    <row r="31" spans="3:3" s="16" customFormat="1" ht="15"/>
    <row r="32" spans="3:3" s="16" customFormat="1" ht="15"/>
    <row r="33" s="16" customFormat="1" ht="15"/>
    <row r="34" s="16" customFormat="1" ht="15"/>
    <row r="35" s="16" customFormat="1" ht="15"/>
    <row r="36" s="16" customFormat="1" ht="15"/>
    <row r="37" s="16" customFormat="1" ht="15"/>
    <row r="38" s="16" customFormat="1" ht="15"/>
    <row r="39" s="16" customFormat="1" ht="15"/>
    <row r="40" s="16" customFormat="1" ht="15"/>
    <row r="41" s="16" customFormat="1" ht="15"/>
    <row r="42" s="16" customFormat="1" ht="15"/>
  </sheetData>
  <mergeCells count="1">
    <mergeCell ref="O7:P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5">
    <tabColor theme="5" tint="0.39997558519241921"/>
  </sheetPr>
  <dimension ref="B4:I59"/>
  <sheetViews>
    <sheetView workbookViewId="0">
      <selection activeCell="C8" sqref="C8"/>
    </sheetView>
  </sheetViews>
  <sheetFormatPr defaultColWidth="9.140625" defaultRowHeight="15"/>
  <cols>
    <col min="1" max="1" width="9.140625" style="326"/>
    <col min="2" max="2" width="27.7109375" style="324" customWidth="1"/>
    <col min="3" max="3" width="19.5703125" style="325" bestFit="1" customWidth="1"/>
    <col min="4" max="4" width="14.28515625" style="325" bestFit="1" customWidth="1"/>
    <col min="5" max="5" width="15.140625" style="325" bestFit="1" customWidth="1"/>
    <col min="6" max="7" width="14.28515625" style="325" bestFit="1" customWidth="1"/>
    <col min="8" max="8" width="9.140625" style="326"/>
    <col min="9" max="9" width="10.85546875" style="326" bestFit="1" customWidth="1"/>
    <col min="10" max="16384" width="9.140625" style="326"/>
  </cols>
  <sheetData>
    <row r="4" spans="2:9">
      <c r="I4" s="326" t="s">
        <v>403</v>
      </c>
    </row>
    <row r="5" spans="2:9">
      <c r="B5" s="327"/>
      <c r="C5" s="328" t="s">
        <v>404</v>
      </c>
      <c r="D5" s="328" t="s">
        <v>405</v>
      </c>
      <c r="E5" s="328" t="s">
        <v>406</v>
      </c>
      <c r="F5" s="328" t="s">
        <v>407</v>
      </c>
      <c r="G5" s="328" t="s">
        <v>408</v>
      </c>
    </row>
    <row r="6" spans="2:9">
      <c r="B6" s="329" t="s">
        <v>409</v>
      </c>
      <c r="C6" s="330">
        <v>42283</v>
      </c>
      <c r="D6" s="330">
        <v>39559</v>
      </c>
      <c r="E6" s="330">
        <v>16377</v>
      </c>
      <c r="F6" s="330">
        <v>7564</v>
      </c>
      <c r="G6" s="330">
        <v>3570</v>
      </c>
    </row>
    <row r="7" spans="2:9" ht="30">
      <c r="B7" s="329" t="s">
        <v>410</v>
      </c>
      <c r="C7" s="331">
        <v>0.39</v>
      </c>
      <c r="D7" s="331">
        <v>0.36</v>
      </c>
      <c r="E7" s="331">
        <v>0.15</v>
      </c>
      <c r="F7" s="331">
        <v>7.0000000000000007E-2</v>
      </c>
      <c r="G7" s="331">
        <v>0.03</v>
      </c>
      <c r="I7" s="326" t="s">
        <v>411</v>
      </c>
    </row>
    <row r="8" spans="2:9">
      <c r="B8" s="329" t="s">
        <v>412</v>
      </c>
      <c r="C8" s="492">
        <f>'CSO data'!C36</f>
        <v>728</v>
      </c>
      <c r="D8" s="492">
        <f>'CSO data'!B36</f>
        <v>302</v>
      </c>
      <c r="E8" s="492">
        <f>'CSO data'!D36</f>
        <v>297</v>
      </c>
      <c r="F8" s="492">
        <f>'CSO data'!F36</f>
        <v>1142</v>
      </c>
      <c r="G8" s="492">
        <f>'CSO data'!E36</f>
        <v>3365</v>
      </c>
      <c r="I8" s="498" t="s">
        <v>483</v>
      </c>
    </row>
    <row r="9" spans="2:9" ht="30">
      <c r="B9" s="329" t="s">
        <v>501</v>
      </c>
      <c r="C9" s="377">
        <f>(SUM(C19:C21)*1000000000)/(C8*C6)</f>
        <v>116.95137395773585</v>
      </c>
      <c r="D9" s="377">
        <f>(SUM(D19:D21)*1000000000)/(D8*D6)</f>
        <v>569.18921841782469</v>
      </c>
      <c r="E9" s="377">
        <f>(SUM(E19:E21)*1000000000)/(E8*E6)</f>
        <v>596.220905190802</v>
      </c>
      <c r="F9" s="377">
        <f>(SUM(F19:F21)*1000000000)/(F8*F6)</f>
        <v>173.64953911096993</v>
      </c>
      <c r="G9" s="377">
        <f>(SUM(G19:G21)*1000000000)/(G8*G6)</f>
        <v>274.70126237716482</v>
      </c>
    </row>
    <row r="10" spans="2:9">
      <c r="B10" s="329" t="s">
        <v>413</v>
      </c>
      <c r="C10" s="330">
        <v>85140.600241231703</v>
      </c>
      <c r="D10" s="330">
        <v>171895.14396218307</v>
      </c>
      <c r="E10" s="330">
        <v>177077.6088416682</v>
      </c>
      <c r="F10" s="330">
        <v>198307.77366472766</v>
      </c>
      <c r="G10" s="330">
        <v>924369.74789915967</v>
      </c>
    </row>
    <row r="11" spans="2:9" ht="30">
      <c r="B11" s="329" t="s">
        <v>414</v>
      </c>
      <c r="C11" s="330">
        <v>40205.283447248308</v>
      </c>
      <c r="D11" s="330">
        <v>73308.223160342794</v>
      </c>
      <c r="E11" s="330">
        <v>91591.866642242167</v>
      </c>
      <c r="F11" s="330">
        <v>92543.627710206245</v>
      </c>
      <c r="G11" s="330">
        <v>532212.8851540616</v>
      </c>
      <c r="I11" s="491"/>
    </row>
    <row r="12" spans="2:9">
      <c r="B12" s="327"/>
      <c r="C12" s="333"/>
      <c r="D12" s="333"/>
      <c r="E12" s="333"/>
      <c r="F12" s="333"/>
      <c r="G12" s="333"/>
    </row>
    <row r="13" spans="2:9" ht="30">
      <c r="B13" s="327" t="s">
        <v>415</v>
      </c>
      <c r="C13" s="328"/>
      <c r="D13" s="328"/>
      <c r="E13" s="328"/>
      <c r="F13" s="328"/>
      <c r="G13" s="328"/>
      <c r="I13" s="490"/>
    </row>
    <row r="14" spans="2:9">
      <c r="B14" s="334" t="s">
        <v>416</v>
      </c>
      <c r="C14" s="335">
        <v>0.21555878668166398</v>
      </c>
      <c r="D14" s="335">
        <v>0.320210693808126</v>
      </c>
      <c r="E14" s="335">
        <v>7.9293663639772111E-2</v>
      </c>
      <c r="F14" s="335">
        <v>4.6692820498751751E-2</v>
      </c>
      <c r="G14" s="335">
        <v>3.1091968213034851E-3</v>
      </c>
    </row>
    <row r="15" spans="2:9">
      <c r="B15" s="334" t="s">
        <v>417</v>
      </c>
      <c r="C15" s="335">
        <v>2.9381909961317933E-2</v>
      </c>
      <c r="D15" s="335">
        <v>1.3003758470275163E-2</v>
      </c>
      <c r="E15" s="335">
        <v>3.0835916710103974E-2</v>
      </c>
      <c r="F15" s="335">
        <v>2.8348559253061189E-3</v>
      </c>
      <c r="G15" s="335">
        <v>3.6853127028979543E-3</v>
      </c>
    </row>
    <row r="16" spans="2:9">
      <c r="B16" s="334" t="s">
        <v>37</v>
      </c>
      <c r="C16" s="335">
        <v>0.14172450687223945</v>
      </c>
      <c r="D16" s="335">
        <v>2.8540597880259342E-2</v>
      </c>
      <c r="E16" s="335">
        <v>3.9633114775086187E-2</v>
      </c>
      <c r="F16" s="335">
        <v>1.9642808153411431E-2</v>
      </c>
      <c r="G16" s="335">
        <v>2.5852057099485154E-2</v>
      </c>
    </row>
    <row r="17" spans="2:9">
      <c r="B17" s="327"/>
      <c r="C17" s="336"/>
      <c r="D17" s="337"/>
      <c r="E17" s="336"/>
      <c r="F17" s="336"/>
      <c r="G17" s="336"/>
    </row>
    <row r="18" spans="2:9" ht="45">
      <c r="B18" s="327" t="s">
        <v>418</v>
      </c>
      <c r="C18" s="336"/>
      <c r="D18" s="336"/>
      <c r="E18" s="336"/>
      <c r="F18" s="336"/>
      <c r="G18" s="336"/>
      <c r="I18" s="326" t="s">
        <v>419</v>
      </c>
    </row>
    <row r="19" spans="2:9">
      <c r="B19" s="334" t="s">
        <v>416</v>
      </c>
      <c r="C19" s="338">
        <v>3</v>
      </c>
      <c r="D19" s="338">
        <v>6.5</v>
      </c>
      <c r="E19" s="338">
        <v>2.2999999999999998</v>
      </c>
      <c r="F19" s="338">
        <v>1.4</v>
      </c>
      <c r="G19" s="338">
        <v>2.2999999999999998</v>
      </c>
      <c r="I19" s="326" t="s">
        <v>419</v>
      </c>
    </row>
    <row r="20" spans="2:9">
      <c r="B20" s="334" t="s">
        <v>417</v>
      </c>
      <c r="C20" s="338">
        <v>0.2</v>
      </c>
      <c r="D20" s="338">
        <v>0.2</v>
      </c>
      <c r="E20" s="338">
        <v>0.4</v>
      </c>
      <c r="F20" s="338">
        <v>0.1</v>
      </c>
      <c r="G20" s="338">
        <v>0.6</v>
      </c>
      <c r="I20" s="326" t="s">
        <v>419</v>
      </c>
    </row>
    <row r="21" spans="2:9">
      <c r="B21" s="334" t="s">
        <v>37</v>
      </c>
      <c r="C21" s="338">
        <v>0.4</v>
      </c>
      <c r="D21" s="338">
        <v>0.1</v>
      </c>
      <c r="E21" s="338">
        <v>0.2</v>
      </c>
      <c r="F21" s="338">
        <v>0</v>
      </c>
      <c r="G21" s="338">
        <v>0.4</v>
      </c>
      <c r="I21" s="326" t="s">
        <v>419</v>
      </c>
    </row>
    <row r="22" spans="2:9">
      <c r="B22" s="327"/>
      <c r="C22" s="336"/>
      <c r="D22" s="336"/>
      <c r="E22" s="336"/>
      <c r="F22" s="336"/>
      <c r="G22" s="336"/>
    </row>
    <row r="23" spans="2:9" ht="45">
      <c r="B23" s="327" t="s">
        <v>420</v>
      </c>
      <c r="C23" s="336"/>
      <c r="D23" s="336"/>
      <c r="E23" s="336"/>
      <c r="F23" s="336"/>
      <c r="G23" s="336"/>
      <c r="I23" s="326" t="s">
        <v>419</v>
      </c>
    </row>
    <row r="24" spans="2:9">
      <c r="B24" s="334" t="s">
        <v>416</v>
      </c>
      <c r="C24" s="332">
        <v>1.3</v>
      </c>
      <c r="D24" s="332">
        <v>2.7</v>
      </c>
      <c r="E24" s="332">
        <v>0.9</v>
      </c>
      <c r="F24" s="332">
        <v>0.6</v>
      </c>
      <c r="G24" s="332">
        <v>0.9</v>
      </c>
      <c r="I24" s="326" t="s">
        <v>419</v>
      </c>
    </row>
    <row r="25" spans="2:9">
      <c r="B25" s="334" t="s">
        <v>417</v>
      </c>
      <c r="C25" s="332">
        <v>0.3</v>
      </c>
      <c r="D25" s="332">
        <v>0.1</v>
      </c>
      <c r="E25" s="332">
        <v>0.4</v>
      </c>
      <c r="F25" s="332">
        <v>0.1</v>
      </c>
      <c r="G25" s="332">
        <v>0.6</v>
      </c>
      <c r="I25" s="326" t="s">
        <v>419</v>
      </c>
    </row>
    <row r="26" spans="2:9">
      <c r="B26" s="334" t="s">
        <v>37</v>
      </c>
      <c r="C26" s="332">
        <v>0.1</v>
      </c>
      <c r="D26" s="332">
        <v>0.1</v>
      </c>
      <c r="E26" s="332">
        <v>0.2</v>
      </c>
      <c r="F26" s="332">
        <v>0</v>
      </c>
      <c r="G26" s="332">
        <v>0.4</v>
      </c>
      <c r="I26" s="326" t="s">
        <v>419</v>
      </c>
    </row>
    <row r="27" spans="2:9">
      <c r="B27" s="327"/>
      <c r="C27" s="336"/>
      <c r="D27" s="336"/>
      <c r="E27" s="336"/>
      <c r="F27" s="336"/>
      <c r="G27" s="336"/>
    </row>
    <row r="28" spans="2:9">
      <c r="B28" s="339" t="s">
        <v>421</v>
      </c>
      <c r="C28" s="336"/>
      <c r="D28" s="336"/>
      <c r="E28" s="336"/>
      <c r="F28" s="336"/>
      <c r="G28" s="336"/>
    </row>
    <row r="29" spans="2:9">
      <c r="B29" s="334" t="s">
        <v>422</v>
      </c>
      <c r="C29" s="331">
        <v>0.45</v>
      </c>
      <c r="D29" s="331">
        <v>0.35</v>
      </c>
      <c r="E29" s="331">
        <v>0.35</v>
      </c>
      <c r="F29" s="331">
        <v>0.2</v>
      </c>
      <c r="G29" s="331">
        <v>0.45</v>
      </c>
    </row>
    <row r="30" spans="2:9">
      <c r="B30" s="334" t="s">
        <v>423</v>
      </c>
      <c r="C30" s="331">
        <v>0.5</v>
      </c>
      <c r="D30" s="331">
        <v>0.45</v>
      </c>
      <c r="E30" s="331">
        <v>0.5</v>
      </c>
      <c r="F30" s="331">
        <v>0.2</v>
      </c>
      <c r="G30" s="331">
        <v>0.5</v>
      </c>
    </row>
    <row r="31" spans="2:9">
      <c r="B31" s="334" t="s">
        <v>424</v>
      </c>
      <c r="C31" s="331">
        <v>0.05</v>
      </c>
      <c r="D31" s="331">
        <v>0.2</v>
      </c>
      <c r="E31" s="331">
        <v>0.15</v>
      </c>
      <c r="F31" s="331">
        <v>0.6</v>
      </c>
      <c r="G31" s="331">
        <v>0.05</v>
      </c>
    </row>
    <row r="32" spans="2:9">
      <c r="B32" s="339"/>
      <c r="C32" s="336"/>
      <c r="D32" s="336"/>
      <c r="E32" s="336"/>
      <c r="F32" s="336"/>
      <c r="G32" s="336"/>
    </row>
    <row r="33" spans="2:7" ht="30">
      <c r="B33" s="327" t="s">
        <v>425</v>
      </c>
      <c r="C33" s="336"/>
      <c r="D33" s="336"/>
      <c r="E33" s="336"/>
      <c r="F33" s="336"/>
      <c r="G33" s="336"/>
    </row>
    <row r="34" spans="2:7">
      <c r="B34" s="329" t="s">
        <v>426</v>
      </c>
      <c r="C34" s="331">
        <v>0.8</v>
      </c>
      <c r="D34" s="331">
        <v>0.55000000000000004</v>
      </c>
      <c r="E34" s="331">
        <v>0.55000000000000004</v>
      </c>
      <c r="F34" s="331">
        <v>0.3</v>
      </c>
      <c r="G34" s="331">
        <v>0.85</v>
      </c>
    </row>
    <row r="35" spans="2:7">
      <c r="B35" s="334" t="s">
        <v>427</v>
      </c>
      <c r="C35" s="331">
        <v>0.2</v>
      </c>
      <c r="D35" s="331">
        <v>0.45</v>
      </c>
      <c r="E35" s="331">
        <v>0.45</v>
      </c>
      <c r="F35" s="331">
        <v>0.7</v>
      </c>
      <c r="G35" s="331">
        <v>0.15</v>
      </c>
    </row>
    <row r="36" spans="2:7">
      <c r="B36" s="340"/>
      <c r="C36" s="336"/>
      <c r="D36" s="336"/>
      <c r="E36" s="336"/>
      <c r="F36" s="336"/>
      <c r="G36" s="336"/>
    </row>
    <row r="37" spans="2:7">
      <c r="B37" s="341" t="s">
        <v>428</v>
      </c>
      <c r="C37" s="336"/>
      <c r="D37" s="336"/>
      <c r="E37" s="336"/>
      <c r="F37" s="336"/>
      <c r="G37" s="336"/>
    </row>
    <row r="38" spans="2:7" ht="30">
      <c r="B38" s="329" t="s">
        <v>429</v>
      </c>
      <c r="C38" s="331">
        <v>0.05</v>
      </c>
      <c r="D38" s="331">
        <v>0.2</v>
      </c>
      <c r="E38" s="331">
        <v>0.05</v>
      </c>
      <c r="F38" s="331">
        <v>0.6</v>
      </c>
      <c r="G38" s="331">
        <v>0</v>
      </c>
    </row>
    <row r="39" spans="2:7" ht="30">
      <c r="B39" s="329" t="s">
        <v>430</v>
      </c>
      <c r="C39" s="331">
        <v>0.7</v>
      </c>
      <c r="D39" s="331">
        <v>0.5</v>
      </c>
      <c r="E39" s="331">
        <v>0.6</v>
      </c>
      <c r="F39" s="331">
        <v>0.35</v>
      </c>
      <c r="G39" s="331">
        <v>0.7</v>
      </c>
    </row>
    <row r="40" spans="2:7" ht="30">
      <c r="B40" s="329" t="s">
        <v>431</v>
      </c>
      <c r="C40" s="331">
        <v>0.2</v>
      </c>
      <c r="D40" s="331">
        <v>0.3</v>
      </c>
      <c r="E40" s="331">
        <v>0.35</v>
      </c>
      <c r="F40" s="331">
        <v>0.05</v>
      </c>
      <c r="G40" s="331">
        <v>0.3</v>
      </c>
    </row>
    <row r="41" spans="2:7">
      <c r="B41" s="327"/>
      <c r="C41" s="336"/>
      <c r="D41" s="336"/>
      <c r="E41" s="336"/>
      <c r="F41" s="336"/>
      <c r="G41" s="336"/>
    </row>
    <row r="42" spans="2:7" ht="30">
      <c r="B42" s="327" t="s">
        <v>432</v>
      </c>
      <c r="C42" s="336"/>
      <c r="D42" s="336"/>
      <c r="E42" s="336"/>
      <c r="F42" s="336"/>
      <c r="G42" s="336"/>
    </row>
    <row r="43" spans="2:7">
      <c r="B43" s="329" t="s">
        <v>433</v>
      </c>
      <c r="C43" s="331">
        <v>0.15</v>
      </c>
      <c r="D43" s="331">
        <v>0.15</v>
      </c>
      <c r="E43" s="331">
        <v>0.1</v>
      </c>
      <c r="F43" s="331">
        <v>0.5</v>
      </c>
      <c r="G43" s="331">
        <v>0</v>
      </c>
    </row>
    <row r="44" spans="2:7">
      <c r="B44" s="342" t="s">
        <v>434</v>
      </c>
      <c r="C44" s="331">
        <v>0.45</v>
      </c>
      <c r="D44" s="331">
        <v>0.45</v>
      </c>
      <c r="E44" s="331">
        <v>0.55000000000000004</v>
      </c>
      <c r="F44" s="331">
        <v>0.6</v>
      </c>
      <c r="G44" s="331">
        <v>0.5</v>
      </c>
    </row>
    <row r="45" spans="2:7">
      <c r="B45" s="342" t="s">
        <v>435</v>
      </c>
      <c r="C45" s="331">
        <v>0.4</v>
      </c>
      <c r="D45" s="331">
        <v>0.4</v>
      </c>
      <c r="E45" s="331">
        <v>0.35</v>
      </c>
      <c r="F45" s="331">
        <v>0.35</v>
      </c>
      <c r="G45" s="331">
        <v>0.5</v>
      </c>
    </row>
    <row r="49" spans="2:7" ht="13.5" thickBot="1">
      <c r="B49" s="343"/>
      <c r="C49" s="343"/>
      <c r="D49" s="343"/>
      <c r="E49" s="343"/>
      <c r="F49" s="343"/>
      <c r="G49" s="343"/>
    </row>
    <row r="50" spans="2:7" ht="12.75">
      <c r="B50" s="343"/>
      <c r="C50" s="344"/>
      <c r="D50" s="345"/>
      <c r="E50" s="345"/>
      <c r="F50" s="346"/>
      <c r="G50" s="343"/>
    </row>
    <row r="51" spans="2:7" ht="12.75">
      <c r="B51" s="343"/>
      <c r="C51" s="347"/>
      <c r="D51" s="348"/>
      <c r="E51" s="348"/>
      <c r="F51" s="349"/>
      <c r="G51" s="343"/>
    </row>
    <row r="52" spans="2:7" ht="12.75">
      <c r="B52" s="343"/>
      <c r="C52" s="347"/>
      <c r="D52" s="348"/>
      <c r="E52" s="348"/>
      <c r="F52" s="349"/>
      <c r="G52" s="343"/>
    </row>
    <row r="53" spans="2:7">
      <c r="B53" s="343"/>
      <c r="C53" s="819" t="s">
        <v>484</v>
      </c>
      <c r="D53" s="820"/>
      <c r="E53" s="820"/>
      <c r="F53" s="821"/>
      <c r="G53" s="343"/>
    </row>
    <row r="54" spans="2:7" ht="12.75">
      <c r="B54" s="343"/>
      <c r="C54" s="347"/>
      <c r="D54" s="348"/>
      <c r="E54" s="348"/>
      <c r="F54" s="349"/>
      <c r="G54" s="343"/>
    </row>
    <row r="55" spans="2:7" ht="18.75">
      <c r="B55" s="343"/>
      <c r="C55" s="350"/>
      <c r="D55" s="348"/>
      <c r="E55" s="348"/>
      <c r="F55" s="349"/>
      <c r="G55" s="343"/>
    </row>
    <row r="56" spans="2:7">
      <c r="B56" s="343"/>
      <c r="C56" s="822">
        <v>42703</v>
      </c>
      <c r="D56" s="823"/>
      <c r="E56" s="823"/>
      <c r="F56" s="824"/>
      <c r="G56" s="343"/>
    </row>
    <row r="57" spans="2:7" ht="15.75" thickBot="1">
      <c r="B57" s="351"/>
      <c r="C57" s="352"/>
      <c r="D57" s="353"/>
      <c r="E57" s="353"/>
      <c r="F57" s="354"/>
      <c r="G57" s="351"/>
    </row>
    <row r="58" spans="2:7">
      <c r="B58" s="351"/>
      <c r="C58" s="351"/>
      <c r="D58" s="351"/>
      <c r="E58" s="351"/>
      <c r="F58" s="351"/>
      <c r="G58" s="351"/>
    </row>
    <row r="59" spans="2:7">
      <c r="B59" s="351"/>
      <c r="C59" s="351"/>
      <c r="D59" s="351"/>
      <c r="E59" s="351"/>
      <c r="F59" s="351"/>
      <c r="G59" s="351"/>
    </row>
  </sheetData>
  <mergeCells count="2">
    <mergeCell ref="C53:F53"/>
    <mergeCell ref="C56:F56"/>
  </mergeCells>
  <hyperlinks>
    <hyperlink ref="I8" r:id="rId1" xr:uid="{71E71926-C5B3-4D32-BC40-B79B201E7EDE}"/>
  </hyperlinks>
  <pageMargins left="0.7" right="0.7" top="0.75" bottom="0.75" header="0.3" footer="0.3"/>
  <pageSetup paperSize="9"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6">
    <tabColor theme="5" tint="0.39997558519241921"/>
  </sheetPr>
  <dimension ref="B2:J40"/>
  <sheetViews>
    <sheetView workbookViewId="0">
      <selection activeCell="H19" sqref="H19"/>
    </sheetView>
  </sheetViews>
  <sheetFormatPr defaultColWidth="9.140625" defaultRowHeight="12.75"/>
  <cols>
    <col min="1" max="2" width="9.140625" style="378"/>
    <col min="3" max="3" width="38.85546875" style="378" bestFit="1" customWidth="1"/>
    <col min="4" max="4" width="9.42578125" style="378" bestFit="1" customWidth="1"/>
    <col min="5" max="5" width="12.85546875" style="378" bestFit="1" customWidth="1"/>
    <col min="6" max="6" width="13.28515625" style="378" bestFit="1" customWidth="1"/>
    <col min="7" max="7" width="9.140625" style="379"/>
    <col min="8" max="8" width="32.28515625" style="378" customWidth="1"/>
    <col min="9" max="9" width="10.28515625" style="378" bestFit="1" customWidth="1"/>
    <col min="10" max="10" width="10.7109375" style="378" bestFit="1" customWidth="1"/>
    <col min="11" max="16384" width="9.140625" style="378"/>
  </cols>
  <sheetData>
    <row r="2" spans="2:10" ht="15">
      <c r="B2" s="378" t="s">
        <v>502</v>
      </c>
      <c r="C2" s="498" t="s">
        <v>551</v>
      </c>
    </row>
    <row r="5" spans="2:10" ht="15">
      <c r="C5" s="380" t="s">
        <v>550</v>
      </c>
      <c r="H5" s="380" t="s">
        <v>550</v>
      </c>
    </row>
    <row r="6" spans="2:10" ht="15">
      <c r="C6" s="381"/>
      <c r="D6" s="381" t="s">
        <v>503</v>
      </c>
      <c r="E6" s="381" t="s">
        <v>504</v>
      </c>
      <c r="F6" s="493" t="s">
        <v>505</v>
      </c>
      <c r="H6" s="381" t="s">
        <v>506</v>
      </c>
      <c r="I6" s="381" t="s">
        <v>507</v>
      </c>
      <c r="J6" s="381" t="s">
        <v>508</v>
      </c>
    </row>
    <row r="7" spans="2:10">
      <c r="C7" s="381" t="s">
        <v>509</v>
      </c>
      <c r="D7" s="382">
        <v>225</v>
      </c>
      <c r="E7" s="381">
        <v>121</v>
      </c>
      <c r="F7" s="381">
        <v>43</v>
      </c>
      <c r="H7" s="383">
        <f>D7/$D$16</f>
        <v>4.5703839122486288E-2</v>
      </c>
      <c r="I7" s="383">
        <f>E7/$E$16</f>
        <v>3.873239436619718E-2</v>
      </c>
      <c r="J7" s="383">
        <f>F7/$F$16</f>
        <v>2.0149953139643861E-2</v>
      </c>
    </row>
    <row r="8" spans="2:10">
      <c r="C8" s="381" t="s">
        <v>510</v>
      </c>
      <c r="D8" s="382">
        <v>870</v>
      </c>
      <c r="E8" s="381">
        <v>864</v>
      </c>
      <c r="F8" s="384">
        <v>1475</v>
      </c>
      <c r="H8" s="383">
        <f t="shared" ref="H8:H14" si="0">D8/$D$16</f>
        <v>0.17672151127361366</v>
      </c>
      <c r="I8" s="383">
        <f t="shared" ref="I8:I14" si="1">E8/$E$16</f>
        <v>0.27656850192061461</v>
      </c>
      <c r="J8" s="383">
        <f t="shared" ref="J8:J14" si="2">F8/$F$16</f>
        <v>0.69119025304592319</v>
      </c>
    </row>
    <row r="9" spans="2:10" ht="15">
      <c r="C9" s="494" t="s">
        <v>555</v>
      </c>
      <c r="D9" s="382">
        <v>496</v>
      </c>
      <c r="E9" s="381">
        <v>339</v>
      </c>
      <c r="F9" s="381">
        <v>10</v>
      </c>
      <c r="H9" s="383">
        <f t="shared" si="0"/>
        <v>0.10075157424334755</v>
      </c>
      <c r="I9" s="383">
        <f t="shared" si="1"/>
        <v>0.10851472471190782</v>
      </c>
      <c r="J9" s="383">
        <f t="shared" si="2"/>
        <v>4.6860356138706651E-3</v>
      </c>
    </row>
    <row r="10" spans="2:10">
      <c r="C10" s="381" t="s">
        <v>511</v>
      </c>
      <c r="D10" s="382">
        <v>780</v>
      </c>
      <c r="E10" s="381">
        <v>885</v>
      </c>
      <c r="F10" s="381">
        <v>82</v>
      </c>
      <c r="H10" s="383">
        <f t="shared" si="0"/>
        <v>0.15843997562461914</v>
      </c>
      <c r="I10" s="383">
        <f t="shared" si="1"/>
        <v>0.28329065300896289</v>
      </c>
      <c r="J10" s="383">
        <f t="shared" si="2"/>
        <v>3.8425492033739454E-2</v>
      </c>
    </row>
    <row r="11" spans="2:10">
      <c r="C11" s="381" t="s">
        <v>512</v>
      </c>
      <c r="D11" s="382">
        <v>199</v>
      </c>
      <c r="E11" s="381">
        <v>157</v>
      </c>
      <c r="F11" s="381">
        <v>209</v>
      </c>
      <c r="H11" s="383">
        <f t="shared" si="0"/>
        <v>4.0422506601665652E-2</v>
      </c>
      <c r="I11" s="383">
        <f t="shared" si="1"/>
        <v>5.0256081946222789E-2</v>
      </c>
      <c r="J11" s="383">
        <f t="shared" si="2"/>
        <v>9.7938144329896906E-2</v>
      </c>
    </row>
    <row r="12" spans="2:10">
      <c r="C12" s="381" t="s">
        <v>513</v>
      </c>
      <c r="D12" s="385">
        <v>1768</v>
      </c>
      <c r="E12" s="381">
        <v>282</v>
      </c>
      <c r="F12" s="381">
        <v>248</v>
      </c>
      <c r="H12" s="383">
        <f t="shared" si="0"/>
        <v>0.35913061141580338</v>
      </c>
      <c r="I12" s="383">
        <f t="shared" si="1"/>
        <v>9.0268886043533933E-2</v>
      </c>
      <c r="J12" s="383">
        <f t="shared" si="2"/>
        <v>0.1162136832239925</v>
      </c>
    </row>
    <row r="13" spans="2:10">
      <c r="C13" s="381" t="s">
        <v>514</v>
      </c>
      <c r="D13" s="382">
        <v>238</v>
      </c>
      <c r="E13" s="381">
        <v>80</v>
      </c>
      <c r="F13" s="381">
        <v>65</v>
      </c>
      <c r="H13" s="383">
        <f t="shared" si="0"/>
        <v>4.8344505382896606E-2</v>
      </c>
      <c r="I13" s="383">
        <f t="shared" si="1"/>
        <v>2.5608194622279128E-2</v>
      </c>
      <c r="J13" s="383">
        <f t="shared" si="2"/>
        <v>3.0459231490159326E-2</v>
      </c>
    </row>
    <row r="14" spans="2:10" ht="15">
      <c r="C14" s="494" t="s">
        <v>556</v>
      </c>
      <c r="D14" s="382">
        <v>347</v>
      </c>
      <c r="E14" s="381">
        <v>396</v>
      </c>
      <c r="F14" s="381">
        <v>2</v>
      </c>
      <c r="H14" s="383">
        <f t="shared" si="0"/>
        <v>7.0485476335567745E-2</v>
      </c>
      <c r="I14" s="383">
        <f t="shared" si="1"/>
        <v>0.12676056338028169</v>
      </c>
      <c r="J14" s="383">
        <f t="shared" si="2"/>
        <v>9.372071227741331E-4</v>
      </c>
    </row>
    <row r="15" spans="2:10">
      <c r="C15" s="381"/>
      <c r="D15" s="382"/>
      <c r="E15" s="381"/>
      <c r="F15" s="381"/>
      <c r="H15" s="379"/>
      <c r="I15" s="379"/>
      <c r="J15" s="379"/>
    </row>
    <row r="16" spans="2:10">
      <c r="C16" s="381"/>
      <c r="D16" s="381">
        <f>SUM(D7:D14)</f>
        <v>4923</v>
      </c>
      <c r="E16" s="381">
        <f>SUM(E7:E14)</f>
        <v>3124</v>
      </c>
      <c r="F16" s="381">
        <f>SUM(F7:F14)</f>
        <v>2134</v>
      </c>
      <c r="H16" s="379"/>
      <c r="I16" s="379"/>
      <c r="J16" s="379"/>
    </row>
    <row r="17" spans="3:10">
      <c r="C17" s="381"/>
      <c r="D17" s="383">
        <f>D16/SUM(D16:F16)</f>
        <v>0.48354778508987328</v>
      </c>
      <c r="E17" s="383">
        <f>E16/SUM(D16:F16)</f>
        <v>0.30684608584618406</v>
      </c>
      <c r="F17" s="383">
        <f>F16/SUM(D16:F16)</f>
        <v>0.20960612906394263</v>
      </c>
      <c r="H17" s="379"/>
      <c r="I17" s="379"/>
      <c r="J17" s="379"/>
    </row>
    <row r="18" spans="3:10">
      <c r="D18" s="387">
        <f>D16*3.6/1000</f>
        <v>17.722799999999999</v>
      </c>
      <c r="E18" s="387">
        <f>E16*3.6/1000</f>
        <v>11.2464</v>
      </c>
      <c r="F18" s="387">
        <f>F16*3.6/1000</f>
        <v>7.6824000000000003</v>
      </c>
      <c r="G18" s="379" t="s">
        <v>10</v>
      </c>
      <c r="H18" s="388"/>
    </row>
    <row r="19" spans="3:10">
      <c r="D19" s="388">
        <f>D18/0.041868</f>
        <v>423.30180567497848</v>
      </c>
      <c r="E19" s="388">
        <f>E18/0.041868</f>
        <v>268.61564918314701</v>
      </c>
      <c r="F19" s="388">
        <f>F18/0.041868</f>
        <v>183.49097162510748</v>
      </c>
      <c r="G19" s="379" t="s">
        <v>500</v>
      </c>
    </row>
    <row r="20" spans="3:10">
      <c r="F20" s="388">
        <f>SUM(D19:F19)</f>
        <v>875.40842648323292</v>
      </c>
    </row>
    <row r="23" spans="3:10" ht="15">
      <c r="C23" s="386" t="s">
        <v>552</v>
      </c>
      <c r="D23" s="381" t="s">
        <v>515</v>
      </c>
      <c r="E23" s="381" t="s">
        <v>63</v>
      </c>
      <c r="H23" s="386" t="s">
        <v>554</v>
      </c>
      <c r="I23" s="381" t="s">
        <v>515</v>
      </c>
      <c r="J23" s="381" t="s">
        <v>63</v>
      </c>
    </row>
    <row r="24" spans="3:10" ht="15">
      <c r="C24" s="382" t="s">
        <v>516</v>
      </c>
      <c r="D24" s="381">
        <v>609</v>
      </c>
      <c r="E24" s="383">
        <f>D24/$D$34</f>
        <v>0.12370505789152955</v>
      </c>
      <c r="H24" s="382" t="s">
        <v>518</v>
      </c>
      <c r="I24" s="381">
        <v>539</v>
      </c>
      <c r="J24" s="495">
        <f t="shared" ref="J24:J32" si="3">I24/$I$34</f>
        <v>0.30677290836653387</v>
      </c>
    </row>
    <row r="25" spans="3:10" ht="15">
      <c r="C25" s="382" t="s">
        <v>517</v>
      </c>
      <c r="D25" s="381">
        <v>775</v>
      </c>
      <c r="E25" s="383">
        <f t="shared" ref="E25:E33" si="4">D25/$D$34</f>
        <v>0.15742433475523054</v>
      </c>
      <c r="H25" s="382" t="s">
        <v>517</v>
      </c>
      <c r="I25" s="381">
        <v>461</v>
      </c>
      <c r="J25" s="495">
        <f t="shared" si="3"/>
        <v>0.26237905520774046</v>
      </c>
    </row>
    <row r="26" spans="3:10" ht="15">
      <c r="C26" s="382" t="s">
        <v>518</v>
      </c>
      <c r="D26" s="381">
        <v>773</v>
      </c>
      <c r="E26" s="383">
        <f t="shared" si="4"/>
        <v>0.15701807840747511</v>
      </c>
      <c r="H26" s="382" t="s">
        <v>519</v>
      </c>
      <c r="I26" s="381">
        <v>309</v>
      </c>
      <c r="J26" s="495">
        <f t="shared" si="3"/>
        <v>0.17586795674445077</v>
      </c>
    </row>
    <row r="27" spans="3:10" ht="15">
      <c r="C27" s="382" t="s">
        <v>519</v>
      </c>
      <c r="D27" s="381">
        <v>454</v>
      </c>
      <c r="E27" s="383">
        <f t="shared" si="4"/>
        <v>9.2220190940483449E-2</v>
      </c>
      <c r="H27" s="382" t="s">
        <v>516</v>
      </c>
      <c r="I27" s="381">
        <v>216</v>
      </c>
      <c r="J27" s="495">
        <f t="shared" si="3"/>
        <v>0.12293682413204325</v>
      </c>
    </row>
    <row r="28" spans="3:10" ht="15">
      <c r="C28" s="382" t="s">
        <v>520</v>
      </c>
      <c r="D28" s="381">
        <v>883</v>
      </c>
      <c r="E28" s="383">
        <f t="shared" si="4"/>
        <v>0.17936217753402398</v>
      </c>
      <c r="H28" s="381" t="s">
        <v>521</v>
      </c>
      <c r="I28" s="381">
        <v>128</v>
      </c>
      <c r="J28" s="495">
        <f t="shared" si="3"/>
        <v>7.2851451337507117E-2</v>
      </c>
    </row>
    <row r="29" spans="3:10" ht="15">
      <c r="C29" s="382" t="s">
        <v>42</v>
      </c>
      <c r="D29" s="381">
        <v>402</v>
      </c>
      <c r="E29" s="389">
        <f t="shared" si="4"/>
        <v>8.1657525898842176E-2</v>
      </c>
      <c r="H29" s="497" t="s">
        <v>553</v>
      </c>
      <c r="I29" s="381">
        <v>50</v>
      </c>
      <c r="J29" s="495">
        <f t="shared" si="3"/>
        <v>2.8457598178713718E-2</v>
      </c>
    </row>
    <row r="30" spans="3:10" ht="15">
      <c r="C30" s="497" t="s">
        <v>553</v>
      </c>
      <c r="D30" s="381">
        <v>356</v>
      </c>
      <c r="E30" s="389">
        <f t="shared" si="4"/>
        <v>7.2313629900467191E-2</v>
      </c>
      <c r="H30" s="381" t="s">
        <v>424</v>
      </c>
      <c r="I30" s="381">
        <v>41</v>
      </c>
      <c r="J30" s="495">
        <f t="shared" si="3"/>
        <v>2.3335230506545249E-2</v>
      </c>
    </row>
    <row r="31" spans="3:10" ht="15">
      <c r="C31" s="382" t="s">
        <v>138</v>
      </c>
      <c r="D31" s="381">
        <v>178</v>
      </c>
      <c r="E31" s="383">
        <f t="shared" si="4"/>
        <v>3.6156814950233596E-2</v>
      </c>
      <c r="H31" s="382" t="s">
        <v>520</v>
      </c>
      <c r="I31" s="381">
        <v>10</v>
      </c>
      <c r="J31" s="495">
        <f t="shared" si="3"/>
        <v>5.6915196357427431E-3</v>
      </c>
    </row>
    <row r="32" spans="3:10" ht="15">
      <c r="C32" s="382" t="s">
        <v>424</v>
      </c>
      <c r="D32" s="381">
        <v>147</v>
      </c>
      <c r="E32" s="383">
        <f t="shared" si="4"/>
        <v>2.9859841560024376E-2</v>
      </c>
      <c r="H32" s="497" t="s">
        <v>557</v>
      </c>
      <c r="I32" s="381">
        <v>3</v>
      </c>
      <c r="J32" s="495">
        <f t="shared" si="3"/>
        <v>1.7074558907228231E-3</v>
      </c>
    </row>
    <row r="33" spans="3:10">
      <c r="C33" s="382" t="s">
        <v>521</v>
      </c>
      <c r="D33" s="381">
        <v>346</v>
      </c>
      <c r="E33" s="383">
        <f t="shared" si="4"/>
        <v>7.0282348161690031E-2</v>
      </c>
      <c r="H33" s="381"/>
      <c r="I33" s="381"/>
      <c r="J33" s="381"/>
    </row>
    <row r="34" spans="3:10">
      <c r="C34" s="382" t="s">
        <v>2</v>
      </c>
      <c r="D34" s="384">
        <f>SUM(D24:D33)</f>
        <v>4923</v>
      </c>
      <c r="E34" s="381"/>
      <c r="H34" s="381"/>
      <c r="I34" s="381">
        <f>SUM(I24:I32)</f>
        <v>1757</v>
      </c>
      <c r="J34" s="381"/>
    </row>
    <row r="36" spans="3:10" ht="15">
      <c r="C36" s="378" t="s">
        <v>523</v>
      </c>
      <c r="D36" s="378">
        <f>SUM(D24:D27)</f>
        <v>2611</v>
      </c>
      <c r="E36" s="391">
        <f>D36/SUM($D$36:$D$38)</f>
        <v>0.55026343519494203</v>
      </c>
    </row>
    <row r="37" spans="3:10" ht="15">
      <c r="C37" s="378" t="s">
        <v>424</v>
      </c>
      <c r="D37" s="378">
        <f>D28+D30+D329+D33+D32</f>
        <v>1732</v>
      </c>
      <c r="E37" s="391">
        <f>D37/SUM($D$36:$D$38)</f>
        <v>0.36501580611169654</v>
      </c>
    </row>
    <row r="38" spans="3:10" ht="15">
      <c r="C38" s="496" t="s">
        <v>42</v>
      </c>
      <c r="D38" s="378">
        <f>D29</f>
        <v>402</v>
      </c>
      <c r="E38" s="391">
        <f>D38/SUM($D$36:$D$38)</f>
        <v>8.4720758693361431E-2</v>
      </c>
    </row>
    <row r="40" spans="3:10">
      <c r="D40" s="390">
        <f>D34-SUM(D36:D38)</f>
        <v>178</v>
      </c>
    </row>
  </sheetData>
  <hyperlinks>
    <hyperlink ref="C2" r:id="rId1" xr:uid="{1F0AF542-437F-4BCA-B2EF-351EA77A094C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>
    <tabColor theme="5" tint="0.39997558519241921"/>
    <pageSetUpPr fitToPage="1"/>
  </sheetPr>
  <dimension ref="A1:O40"/>
  <sheetViews>
    <sheetView zoomScaleNormal="100" zoomScaleSheetLayoutView="100" workbookViewId="0">
      <selection activeCell="G15" sqref="G15"/>
    </sheetView>
  </sheetViews>
  <sheetFormatPr defaultRowHeight="15" customHeight="1"/>
  <cols>
    <col min="1" max="1" width="18" style="362" customWidth="1"/>
    <col min="2" max="15" width="13.7109375" style="355" customWidth="1"/>
    <col min="16" max="241" width="9.140625" style="355"/>
    <col min="242" max="242" width="18" style="355" customWidth="1"/>
    <col min="243" max="256" width="13.7109375" style="355" customWidth="1"/>
    <col min="257" max="497" width="9.140625" style="355"/>
    <col min="498" max="498" width="18" style="355" customWidth="1"/>
    <col min="499" max="512" width="13.7109375" style="355" customWidth="1"/>
    <col min="513" max="753" width="9.140625" style="355"/>
    <col min="754" max="754" width="18" style="355" customWidth="1"/>
    <col min="755" max="768" width="13.7109375" style="355" customWidth="1"/>
    <col min="769" max="1009" width="9.140625" style="355"/>
    <col min="1010" max="1010" width="18" style="355" customWidth="1"/>
    <col min="1011" max="1024" width="13.7109375" style="355" customWidth="1"/>
    <col min="1025" max="1265" width="9.140625" style="355"/>
    <col min="1266" max="1266" width="18" style="355" customWidth="1"/>
    <col min="1267" max="1280" width="13.7109375" style="355" customWidth="1"/>
    <col min="1281" max="1521" width="9.140625" style="355"/>
    <col min="1522" max="1522" width="18" style="355" customWidth="1"/>
    <col min="1523" max="1536" width="13.7109375" style="355" customWidth="1"/>
    <col min="1537" max="1777" width="9.140625" style="355"/>
    <col min="1778" max="1778" width="18" style="355" customWidth="1"/>
    <col min="1779" max="1792" width="13.7109375" style="355" customWidth="1"/>
    <col min="1793" max="2033" width="9.140625" style="355"/>
    <col min="2034" max="2034" width="18" style="355" customWidth="1"/>
    <col min="2035" max="2048" width="13.7109375" style="355" customWidth="1"/>
    <col min="2049" max="2289" width="9.140625" style="355"/>
    <col min="2290" max="2290" width="18" style="355" customWidth="1"/>
    <col min="2291" max="2304" width="13.7109375" style="355" customWidth="1"/>
    <col min="2305" max="2545" width="9.140625" style="355"/>
    <col min="2546" max="2546" width="18" style="355" customWidth="1"/>
    <col min="2547" max="2560" width="13.7109375" style="355" customWidth="1"/>
    <col min="2561" max="2801" width="9.140625" style="355"/>
    <col min="2802" max="2802" width="18" style="355" customWidth="1"/>
    <col min="2803" max="2816" width="13.7109375" style="355" customWidth="1"/>
    <col min="2817" max="3057" width="9.140625" style="355"/>
    <col min="3058" max="3058" width="18" style="355" customWidth="1"/>
    <col min="3059" max="3072" width="13.7109375" style="355" customWidth="1"/>
    <col min="3073" max="3313" width="9.140625" style="355"/>
    <col min="3314" max="3314" width="18" style="355" customWidth="1"/>
    <col min="3315" max="3328" width="13.7109375" style="355" customWidth="1"/>
    <col min="3329" max="3569" width="9.140625" style="355"/>
    <col min="3570" max="3570" width="18" style="355" customWidth="1"/>
    <col min="3571" max="3584" width="13.7109375" style="355" customWidth="1"/>
    <col min="3585" max="3825" width="9.140625" style="355"/>
    <col min="3826" max="3826" width="18" style="355" customWidth="1"/>
    <col min="3827" max="3840" width="13.7109375" style="355" customWidth="1"/>
    <col min="3841" max="4081" width="9.140625" style="355"/>
    <col min="4082" max="4082" width="18" style="355" customWidth="1"/>
    <col min="4083" max="4096" width="13.7109375" style="355" customWidth="1"/>
    <col min="4097" max="4337" width="9.140625" style="355"/>
    <col min="4338" max="4338" width="18" style="355" customWidth="1"/>
    <col min="4339" max="4352" width="13.7109375" style="355" customWidth="1"/>
    <col min="4353" max="4593" width="9.140625" style="355"/>
    <col min="4594" max="4594" width="18" style="355" customWidth="1"/>
    <col min="4595" max="4608" width="13.7109375" style="355" customWidth="1"/>
    <col min="4609" max="4849" width="9.140625" style="355"/>
    <col min="4850" max="4850" width="18" style="355" customWidth="1"/>
    <col min="4851" max="4864" width="13.7109375" style="355" customWidth="1"/>
    <col min="4865" max="5105" width="9.140625" style="355"/>
    <col min="5106" max="5106" width="18" style="355" customWidth="1"/>
    <col min="5107" max="5120" width="13.7109375" style="355" customWidth="1"/>
    <col min="5121" max="5361" width="9.140625" style="355"/>
    <col min="5362" max="5362" width="18" style="355" customWidth="1"/>
    <col min="5363" max="5376" width="13.7109375" style="355" customWidth="1"/>
    <col min="5377" max="5617" width="9.140625" style="355"/>
    <col min="5618" max="5618" width="18" style="355" customWidth="1"/>
    <col min="5619" max="5632" width="13.7109375" style="355" customWidth="1"/>
    <col min="5633" max="5873" width="9.140625" style="355"/>
    <col min="5874" max="5874" width="18" style="355" customWidth="1"/>
    <col min="5875" max="5888" width="13.7109375" style="355" customWidth="1"/>
    <col min="5889" max="6129" width="9.140625" style="355"/>
    <col min="6130" max="6130" width="18" style="355" customWidth="1"/>
    <col min="6131" max="6144" width="13.7109375" style="355" customWidth="1"/>
    <col min="6145" max="6385" width="9.140625" style="355"/>
    <col min="6386" max="6386" width="18" style="355" customWidth="1"/>
    <col min="6387" max="6400" width="13.7109375" style="355" customWidth="1"/>
    <col min="6401" max="6641" width="9.140625" style="355"/>
    <col min="6642" max="6642" width="18" style="355" customWidth="1"/>
    <col min="6643" max="6656" width="13.7109375" style="355" customWidth="1"/>
    <col min="6657" max="6897" width="9.140625" style="355"/>
    <col min="6898" max="6898" width="18" style="355" customWidth="1"/>
    <col min="6899" max="6912" width="13.7109375" style="355" customWidth="1"/>
    <col min="6913" max="7153" width="9.140625" style="355"/>
    <col min="7154" max="7154" width="18" style="355" customWidth="1"/>
    <col min="7155" max="7168" width="13.7109375" style="355" customWidth="1"/>
    <col min="7169" max="7409" width="9.140625" style="355"/>
    <col min="7410" max="7410" width="18" style="355" customWidth="1"/>
    <col min="7411" max="7424" width="13.7109375" style="355" customWidth="1"/>
    <col min="7425" max="7665" width="9.140625" style="355"/>
    <col min="7666" max="7666" width="18" style="355" customWidth="1"/>
    <col min="7667" max="7680" width="13.7109375" style="355" customWidth="1"/>
    <col min="7681" max="7921" width="9.140625" style="355"/>
    <col min="7922" max="7922" width="18" style="355" customWidth="1"/>
    <col min="7923" max="7936" width="13.7109375" style="355" customWidth="1"/>
    <col min="7937" max="8177" width="9.140625" style="355"/>
    <col min="8178" max="8178" width="18" style="355" customWidth="1"/>
    <col min="8179" max="8192" width="13.7109375" style="355" customWidth="1"/>
    <col min="8193" max="8433" width="9.140625" style="355"/>
    <col min="8434" max="8434" width="18" style="355" customWidth="1"/>
    <col min="8435" max="8448" width="13.7109375" style="355" customWidth="1"/>
    <col min="8449" max="8689" width="9.140625" style="355"/>
    <col min="8690" max="8690" width="18" style="355" customWidth="1"/>
    <col min="8691" max="8704" width="13.7109375" style="355" customWidth="1"/>
    <col min="8705" max="8945" width="9.140625" style="355"/>
    <col min="8946" max="8946" width="18" style="355" customWidth="1"/>
    <col min="8947" max="8960" width="13.7109375" style="355" customWidth="1"/>
    <col min="8961" max="9201" width="9.140625" style="355"/>
    <col min="9202" max="9202" width="18" style="355" customWidth="1"/>
    <col min="9203" max="9216" width="13.7109375" style="355" customWidth="1"/>
    <col min="9217" max="9457" width="9.140625" style="355"/>
    <col min="9458" max="9458" width="18" style="355" customWidth="1"/>
    <col min="9459" max="9472" width="13.7109375" style="355" customWidth="1"/>
    <col min="9473" max="9713" width="9.140625" style="355"/>
    <col min="9714" max="9714" width="18" style="355" customWidth="1"/>
    <col min="9715" max="9728" width="13.7109375" style="355" customWidth="1"/>
    <col min="9729" max="9969" width="9.140625" style="355"/>
    <col min="9970" max="9970" width="18" style="355" customWidth="1"/>
    <col min="9971" max="9984" width="13.7109375" style="355" customWidth="1"/>
    <col min="9985" max="10225" width="9.140625" style="355"/>
    <col min="10226" max="10226" width="18" style="355" customWidth="1"/>
    <col min="10227" max="10240" width="13.7109375" style="355" customWidth="1"/>
    <col min="10241" max="10481" width="9.140625" style="355"/>
    <col min="10482" max="10482" width="18" style="355" customWidth="1"/>
    <col min="10483" max="10496" width="13.7109375" style="355" customWidth="1"/>
    <col min="10497" max="10737" width="9.140625" style="355"/>
    <col min="10738" max="10738" width="18" style="355" customWidth="1"/>
    <col min="10739" max="10752" width="13.7109375" style="355" customWidth="1"/>
    <col min="10753" max="10993" width="9.140625" style="355"/>
    <col min="10994" max="10994" width="18" style="355" customWidth="1"/>
    <col min="10995" max="11008" width="13.7109375" style="355" customWidth="1"/>
    <col min="11009" max="11249" width="9.140625" style="355"/>
    <col min="11250" max="11250" width="18" style="355" customWidth="1"/>
    <col min="11251" max="11264" width="13.7109375" style="355" customWidth="1"/>
    <col min="11265" max="11505" width="9.140625" style="355"/>
    <col min="11506" max="11506" width="18" style="355" customWidth="1"/>
    <col min="11507" max="11520" width="13.7109375" style="355" customWidth="1"/>
    <col min="11521" max="11761" width="9.140625" style="355"/>
    <col min="11762" max="11762" width="18" style="355" customWidth="1"/>
    <col min="11763" max="11776" width="13.7109375" style="355" customWidth="1"/>
    <col min="11777" max="12017" width="9.140625" style="355"/>
    <col min="12018" max="12018" width="18" style="355" customWidth="1"/>
    <col min="12019" max="12032" width="13.7109375" style="355" customWidth="1"/>
    <col min="12033" max="12273" width="9.140625" style="355"/>
    <col min="12274" max="12274" width="18" style="355" customWidth="1"/>
    <col min="12275" max="12288" width="13.7109375" style="355" customWidth="1"/>
    <col min="12289" max="12529" width="9.140625" style="355"/>
    <col min="12530" max="12530" width="18" style="355" customWidth="1"/>
    <col min="12531" max="12544" width="13.7109375" style="355" customWidth="1"/>
    <col min="12545" max="12785" width="9.140625" style="355"/>
    <col min="12786" max="12786" width="18" style="355" customWidth="1"/>
    <col min="12787" max="12800" width="13.7109375" style="355" customWidth="1"/>
    <col min="12801" max="13041" width="9.140625" style="355"/>
    <col min="13042" max="13042" width="18" style="355" customWidth="1"/>
    <col min="13043" max="13056" width="13.7109375" style="355" customWidth="1"/>
    <col min="13057" max="13297" width="9.140625" style="355"/>
    <col min="13298" max="13298" width="18" style="355" customWidth="1"/>
    <col min="13299" max="13312" width="13.7109375" style="355" customWidth="1"/>
    <col min="13313" max="13553" width="9.140625" style="355"/>
    <col min="13554" max="13554" width="18" style="355" customWidth="1"/>
    <col min="13555" max="13568" width="13.7109375" style="355" customWidth="1"/>
    <col min="13569" max="13809" width="9.140625" style="355"/>
    <col min="13810" max="13810" width="18" style="355" customWidth="1"/>
    <col min="13811" max="13824" width="13.7109375" style="355" customWidth="1"/>
    <col min="13825" max="14065" width="9.140625" style="355"/>
    <col min="14066" max="14066" width="18" style="355" customWidth="1"/>
    <col min="14067" max="14080" width="13.7109375" style="355" customWidth="1"/>
    <col min="14081" max="14321" width="9.140625" style="355"/>
    <col min="14322" max="14322" width="18" style="355" customWidth="1"/>
    <col min="14323" max="14336" width="13.7109375" style="355" customWidth="1"/>
    <col min="14337" max="14577" width="9.140625" style="355"/>
    <col min="14578" max="14578" width="18" style="355" customWidth="1"/>
    <col min="14579" max="14592" width="13.7109375" style="355" customWidth="1"/>
    <col min="14593" max="14833" width="9.140625" style="355"/>
    <col min="14834" max="14834" width="18" style="355" customWidth="1"/>
    <col min="14835" max="14848" width="13.7109375" style="355" customWidth="1"/>
    <col min="14849" max="15089" width="9.140625" style="355"/>
    <col min="15090" max="15090" width="18" style="355" customWidth="1"/>
    <col min="15091" max="15104" width="13.7109375" style="355" customWidth="1"/>
    <col min="15105" max="15345" width="9.140625" style="355"/>
    <col min="15346" max="15346" width="18" style="355" customWidth="1"/>
    <col min="15347" max="15360" width="13.7109375" style="355" customWidth="1"/>
    <col min="15361" max="15601" width="9.140625" style="355"/>
    <col min="15602" max="15602" width="18" style="355" customWidth="1"/>
    <col min="15603" max="15616" width="13.7109375" style="355" customWidth="1"/>
    <col min="15617" max="15857" width="9.140625" style="355"/>
    <col min="15858" max="15858" width="18" style="355" customWidth="1"/>
    <col min="15859" max="15872" width="13.7109375" style="355" customWidth="1"/>
    <col min="15873" max="16113" width="9.140625" style="355"/>
    <col min="16114" max="16114" width="18" style="355" customWidth="1"/>
    <col min="16115" max="16128" width="13.7109375" style="355" customWidth="1"/>
    <col min="16129" max="16369" width="9.140625" style="355"/>
    <col min="16370" max="16384" width="9.140625" style="355" customWidth="1"/>
  </cols>
  <sheetData>
    <row r="1" spans="1:15" ht="15" customHeight="1">
      <c r="A1" s="825" t="s">
        <v>549</v>
      </c>
      <c r="B1" s="825"/>
      <c r="C1" s="825"/>
      <c r="D1" s="825"/>
      <c r="E1" s="825"/>
      <c r="F1" s="825"/>
      <c r="G1" s="825"/>
      <c r="H1" s="825"/>
      <c r="I1" s="825"/>
      <c r="J1" s="825"/>
      <c r="K1" s="825"/>
      <c r="L1" s="826"/>
      <c r="M1" s="826"/>
      <c r="N1" s="826"/>
      <c r="O1" s="826"/>
    </row>
    <row r="2" spans="1:15" ht="15" customHeight="1">
      <c r="A2" s="356" t="s">
        <v>482</v>
      </c>
      <c r="B2" s="369" t="s">
        <v>548</v>
      </c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7"/>
      <c r="O2" s="358" t="s">
        <v>436</v>
      </c>
    </row>
    <row r="3" spans="1:15" ht="33.75" customHeight="1">
      <c r="A3" s="500" t="s">
        <v>437</v>
      </c>
      <c r="B3" s="501" t="s">
        <v>405</v>
      </c>
      <c r="C3" s="501" t="s">
        <v>404</v>
      </c>
      <c r="D3" s="501" t="s">
        <v>438</v>
      </c>
      <c r="E3" s="501" t="s">
        <v>408</v>
      </c>
      <c r="F3" s="501" t="s">
        <v>439</v>
      </c>
      <c r="G3" s="501" t="s">
        <v>440</v>
      </c>
      <c r="H3" s="501" t="s">
        <v>441</v>
      </c>
      <c r="I3" s="501" t="s">
        <v>442</v>
      </c>
      <c r="J3" s="501" t="s">
        <v>443</v>
      </c>
      <c r="K3" s="501" t="s">
        <v>444</v>
      </c>
      <c r="L3" s="501" t="s">
        <v>445</v>
      </c>
      <c r="M3" s="501" t="s">
        <v>446</v>
      </c>
      <c r="N3" s="501" t="s">
        <v>424</v>
      </c>
      <c r="O3" s="501" t="s">
        <v>447</v>
      </c>
    </row>
    <row r="4" spans="1:15" ht="15" customHeight="1">
      <c r="A4" s="504" t="s">
        <v>448</v>
      </c>
      <c r="B4" s="502">
        <v>435</v>
      </c>
      <c r="C4" s="502">
        <v>327</v>
      </c>
      <c r="D4" s="502">
        <v>363</v>
      </c>
      <c r="E4" s="502">
        <v>2588</v>
      </c>
      <c r="F4" s="502">
        <v>870</v>
      </c>
      <c r="G4" s="502">
        <v>706</v>
      </c>
      <c r="H4" s="502">
        <v>3069</v>
      </c>
      <c r="I4" s="502">
        <v>239</v>
      </c>
      <c r="J4" s="502">
        <v>221</v>
      </c>
      <c r="K4" s="502">
        <v>1340</v>
      </c>
      <c r="L4" s="502">
        <v>962</v>
      </c>
      <c r="M4" s="502">
        <v>680</v>
      </c>
      <c r="N4" s="502">
        <v>853</v>
      </c>
      <c r="O4" s="503">
        <v>591</v>
      </c>
    </row>
    <row r="5" spans="1:15" ht="15" customHeight="1">
      <c r="A5" s="504" t="s">
        <v>449</v>
      </c>
      <c r="B5" s="502">
        <v>362</v>
      </c>
      <c r="C5" s="502">
        <v>1166</v>
      </c>
      <c r="D5" s="502">
        <v>334</v>
      </c>
      <c r="E5" s="502">
        <v>4180</v>
      </c>
      <c r="F5" s="502">
        <v>1352</v>
      </c>
      <c r="G5" s="502">
        <v>572</v>
      </c>
      <c r="H5" s="502">
        <v>2697</v>
      </c>
      <c r="I5" s="502">
        <v>664</v>
      </c>
      <c r="J5" s="502">
        <v>370</v>
      </c>
      <c r="K5" s="502">
        <v>1302</v>
      </c>
      <c r="L5" s="502">
        <v>1963</v>
      </c>
      <c r="M5" s="502">
        <v>1330</v>
      </c>
      <c r="N5" s="502">
        <v>915</v>
      </c>
      <c r="O5" s="503">
        <v>903</v>
      </c>
    </row>
    <row r="6" spans="1:15" ht="15" customHeight="1">
      <c r="A6" s="504" t="s">
        <v>450</v>
      </c>
      <c r="B6" s="502">
        <v>265</v>
      </c>
      <c r="C6" s="502">
        <v>514</v>
      </c>
      <c r="D6" s="502">
        <v>346</v>
      </c>
      <c r="E6" s="502">
        <v>5219</v>
      </c>
      <c r="F6" s="502">
        <v>1398</v>
      </c>
      <c r="G6" s="502">
        <v>1189</v>
      </c>
      <c r="H6" s="502">
        <v>3828</v>
      </c>
      <c r="I6" s="502">
        <v>368</v>
      </c>
      <c r="J6" s="502">
        <v>424</v>
      </c>
      <c r="K6" s="502">
        <v>1782</v>
      </c>
      <c r="L6" s="502">
        <v>2478</v>
      </c>
      <c r="M6" s="502">
        <v>1011</v>
      </c>
      <c r="N6" s="502">
        <v>1420</v>
      </c>
      <c r="O6" s="503">
        <v>675</v>
      </c>
    </row>
    <row r="7" spans="1:15" ht="15" customHeight="1">
      <c r="A7" s="504" t="s">
        <v>451</v>
      </c>
      <c r="B7" s="502">
        <v>224</v>
      </c>
      <c r="C7" s="502">
        <v>366</v>
      </c>
      <c r="D7" s="502">
        <v>371</v>
      </c>
      <c r="E7" s="502">
        <v>4223</v>
      </c>
      <c r="F7" s="502">
        <v>986</v>
      </c>
      <c r="G7" s="502">
        <v>617</v>
      </c>
      <c r="H7" s="502">
        <v>7106</v>
      </c>
      <c r="I7" s="502">
        <v>616</v>
      </c>
      <c r="J7" s="502">
        <v>287</v>
      </c>
      <c r="K7" s="502">
        <v>2342</v>
      </c>
      <c r="L7" s="502">
        <v>1406</v>
      </c>
      <c r="M7" s="502">
        <v>1271</v>
      </c>
      <c r="N7" s="502">
        <v>463</v>
      </c>
      <c r="O7" s="503">
        <v>615</v>
      </c>
    </row>
    <row r="8" spans="1:15" ht="15" customHeight="1">
      <c r="A8" s="504" t="s">
        <v>452</v>
      </c>
      <c r="B8" s="502">
        <v>284</v>
      </c>
      <c r="C8" s="502">
        <v>275</v>
      </c>
      <c r="D8" s="502">
        <v>278</v>
      </c>
      <c r="E8" s="502">
        <v>2636</v>
      </c>
      <c r="F8" s="502">
        <v>1156</v>
      </c>
      <c r="G8" s="502">
        <v>666</v>
      </c>
      <c r="H8" s="502">
        <v>1486</v>
      </c>
      <c r="I8" s="502">
        <v>303</v>
      </c>
      <c r="J8" s="502">
        <v>233</v>
      </c>
      <c r="K8" s="502">
        <v>1352</v>
      </c>
      <c r="L8" s="502">
        <v>976</v>
      </c>
      <c r="M8" s="502">
        <v>479</v>
      </c>
      <c r="N8" s="502">
        <v>236</v>
      </c>
      <c r="O8" s="503">
        <v>500</v>
      </c>
    </row>
    <row r="9" spans="1:15" ht="15" customHeight="1">
      <c r="A9" s="504" t="s">
        <v>453</v>
      </c>
      <c r="B9" s="502">
        <v>324</v>
      </c>
      <c r="C9" s="502">
        <v>255</v>
      </c>
      <c r="D9" s="502">
        <v>267</v>
      </c>
      <c r="E9" s="502">
        <v>5795</v>
      </c>
      <c r="F9" s="502">
        <v>884</v>
      </c>
      <c r="G9" s="502">
        <v>567</v>
      </c>
      <c r="H9" s="502">
        <v>4316</v>
      </c>
      <c r="I9" s="502">
        <v>660</v>
      </c>
      <c r="J9" s="502">
        <v>252</v>
      </c>
      <c r="K9" s="502">
        <v>1516</v>
      </c>
      <c r="L9" s="502">
        <v>2261</v>
      </c>
      <c r="M9" s="502">
        <v>1735</v>
      </c>
      <c r="N9" s="502">
        <v>1645</v>
      </c>
      <c r="O9" s="503">
        <v>588</v>
      </c>
    </row>
    <row r="10" spans="1:15" ht="15" customHeight="1">
      <c r="A10" s="504" t="s">
        <v>454</v>
      </c>
      <c r="B10" s="502">
        <v>353</v>
      </c>
      <c r="C10" s="502">
        <v>251</v>
      </c>
      <c r="D10" s="502">
        <v>268</v>
      </c>
      <c r="E10" s="502">
        <v>1167</v>
      </c>
      <c r="F10" s="502">
        <v>1151</v>
      </c>
      <c r="G10" s="502">
        <v>648</v>
      </c>
      <c r="H10" s="502">
        <v>5865</v>
      </c>
      <c r="I10" s="502">
        <v>424</v>
      </c>
      <c r="J10" s="502">
        <v>403</v>
      </c>
      <c r="K10" s="502">
        <v>2019</v>
      </c>
      <c r="L10" s="502">
        <v>906</v>
      </c>
      <c r="M10" s="502">
        <v>707</v>
      </c>
      <c r="N10" s="502">
        <v>196</v>
      </c>
      <c r="O10" s="503">
        <v>627</v>
      </c>
    </row>
    <row r="11" spans="1:15" ht="15" customHeight="1">
      <c r="A11" s="504" t="s">
        <v>455</v>
      </c>
      <c r="B11" s="502">
        <v>305</v>
      </c>
      <c r="C11" s="502">
        <v>555</v>
      </c>
      <c r="D11" s="502">
        <v>319</v>
      </c>
      <c r="E11" s="502">
        <v>4695</v>
      </c>
      <c r="F11" s="502">
        <v>1204</v>
      </c>
      <c r="G11" s="502">
        <v>591</v>
      </c>
      <c r="H11" s="502">
        <v>4248</v>
      </c>
      <c r="I11" s="502">
        <v>342</v>
      </c>
      <c r="J11" s="502">
        <v>200</v>
      </c>
      <c r="K11" s="502">
        <v>1450</v>
      </c>
      <c r="L11" s="502">
        <v>1513</v>
      </c>
      <c r="M11" s="502">
        <v>1790</v>
      </c>
      <c r="N11" s="502">
        <v>775</v>
      </c>
      <c r="O11" s="503">
        <v>666</v>
      </c>
    </row>
    <row r="12" spans="1:15" ht="15" customHeight="1">
      <c r="A12" s="504" t="s">
        <v>456</v>
      </c>
      <c r="B12" s="502">
        <v>235</v>
      </c>
      <c r="C12" s="502">
        <v>383</v>
      </c>
      <c r="D12" s="502">
        <v>297</v>
      </c>
      <c r="E12" s="502">
        <v>4062</v>
      </c>
      <c r="F12" s="502">
        <v>901</v>
      </c>
      <c r="G12" s="502">
        <v>522</v>
      </c>
      <c r="H12" s="502">
        <v>1786</v>
      </c>
      <c r="I12" s="502">
        <v>539</v>
      </c>
      <c r="J12" s="502">
        <v>277</v>
      </c>
      <c r="K12" s="502">
        <v>1525</v>
      </c>
      <c r="L12" s="502">
        <v>1636</v>
      </c>
      <c r="M12" s="502">
        <v>1001</v>
      </c>
      <c r="N12" s="502">
        <v>270</v>
      </c>
      <c r="O12" s="503">
        <v>537</v>
      </c>
    </row>
    <row r="13" spans="1:15" ht="15" customHeight="1">
      <c r="A13" s="504" t="s">
        <v>457</v>
      </c>
      <c r="B13" s="502">
        <v>301</v>
      </c>
      <c r="C13" s="502">
        <v>438</v>
      </c>
      <c r="D13" s="502">
        <v>222</v>
      </c>
      <c r="E13" s="502">
        <v>1949</v>
      </c>
      <c r="F13" s="502">
        <v>960</v>
      </c>
      <c r="G13" s="502">
        <v>663</v>
      </c>
      <c r="H13" s="502">
        <v>1632</v>
      </c>
      <c r="I13" s="502">
        <v>707</v>
      </c>
      <c r="J13" s="502">
        <v>312</v>
      </c>
      <c r="K13" s="502">
        <v>1585</v>
      </c>
      <c r="L13" s="502">
        <v>2469</v>
      </c>
      <c r="M13" s="502">
        <v>372</v>
      </c>
      <c r="N13" s="502">
        <v>139</v>
      </c>
      <c r="O13" s="503">
        <v>580</v>
      </c>
    </row>
    <row r="14" spans="1:15" ht="15" customHeight="1">
      <c r="A14" s="504" t="s">
        <v>458</v>
      </c>
      <c r="B14" s="502">
        <v>298</v>
      </c>
      <c r="C14" s="502">
        <v>533</v>
      </c>
      <c r="D14" s="502">
        <v>243</v>
      </c>
      <c r="E14" s="502">
        <v>2221</v>
      </c>
      <c r="F14" s="502">
        <v>1434</v>
      </c>
      <c r="G14" s="502">
        <v>621</v>
      </c>
      <c r="H14" s="502">
        <v>3215</v>
      </c>
      <c r="I14" s="502">
        <v>1025</v>
      </c>
      <c r="J14" s="502">
        <v>256</v>
      </c>
      <c r="K14" s="502">
        <v>1154</v>
      </c>
      <c r="L14" s="502">
        <v>1960</v>
      </c>
      <c r="M14" s="502">
        <v>1053</v>
      </c>
      <c r="N14" s="502">
        <v>637</v>
      </c>
      <c r="O14" s="503">
        <v>595</v>
      </c>
    </row>
    <row r="15" spans="1:15" ht="15" customHeight="1">
      <c r="A15" s="504" t="s">
        <v>459</v>
      </c>
      <c r="B15" s="502">
        <v>294</v>
      </c>
      <c r="C15" s="502">
        <v>516</v>
      </c>
      <c r="D15" s="502">
        <v>269</v>
      </c>
      <c r="E15" s="502">
        <v>2763</v>
      </c>
      <c r="F15" s="502">
        <v>807</v>
      </c>
      <c r="G15" s="502">
        <v>651</v>
      </c>
      <c r="H15" s="502">
        <v>2074</v>
      </c>
      <c r="I15" s="502">
        <v>456</v>
      </c>
      <c r="J15" s="502">
        <v>360</v>
      </c>
      <c r="K15" s="502">
        <v>1289</v>
      </c>
      <c r="L15" s="502">
        <v>1459</v>
      </c>
      <c r="M15" s="502">
        <v>689</v>
      </c>
      <c r="N15" s="502">
        <v>715</v>
      </c>
      <c r="O15" s="503">
        <v>526</v>
      </c>
    </row>
    <row r="16" spans="1:15" ht="15" customHeight="1">
      <c r="A16" s="504" t="s">
        <v>460</v>
      </c>
      <c r="B16" s="502">
        <v>218</v>
      </c>
      <c r="C16" s="502">
        <v>299</v>
      </c>
      <c r="D16" s="502">
        <v>286</v>
      </c>
      <c r="E16" s="502">
        <v>3896</v>
      </c>
      <c r="F16" s="502">
        <v>646</v>
      </c>
      <c r="G16" s="502">
        <v>424</v>
      </c>
      <c r="H16" s="502">
        <v>2139</v>
      </c>
      <c r="I16" s="502">
        <v>518</v>
      </c>
      <c r="J16" s="502">
        <v>306</v>
      </c>
      <c r="K16" s="502">
        <v>1731</v>
      </c>
      <c r="L16" s="502">
        <v>1701</v>
      </c>
      <c r="M16" s="502">
        <v>778</v>
      </c>
      <c r="N16" s="502">
        <v>280</v>
      </c>
      <c r="O16" s="503">
        <v>495</v>
      </c>
    </row>
    <row r="17" spans="1:15" ht="15" customHeight="1">
      <c r="A17" s="504" t="s">
        <v>461</v>
      </c>
      <c r="B17" s="502">
        <v>221</v>
      </c>
      <c r="C17" s="502">
        <v>482</v>
      </c>
      <c r="D17" s="502">
        <v>293</v>
      </c>
      <c r="E17" s="502">
        <v>2231</v>
      </c>
      <c r="F17" s="502">
        <v>960</v>
      </c>
      <c r="G17" s="502">
        <v>431</v>
      </c>
      <c r="H17" s="502">
        <v>2336</v>
      </c>
      <c r="I17" s="502">
        <v>200</v>
      </c>
      <c r="J17" s="502">
        <v>257</v>
      </c>
      <c r="K17" s="502">
        <v>620</v>
      </c>
      <c r="L17" s="502">
        <v>986</v>
      </c>
      <c r="M17" s="502">
        <v>503</v>
      </c>
      <c r="N17" s="502">
        <v>492</v>
      </c>
      <c r="O17" s="503">
        <v>576</v>
      </c>
    </row>
    <row r="18" spans="1:15" ht="15" customHeight="1">
      <c r="A18" s="504" t="s">
        <v>462</v>
      </c>
      <c r="B18" s="502">
        <v>375</v>
      </c>
      <c r="C18" s="502">
        <v>703</v>
      </c>
      <c r="D18" s="502">
        <v>214</v>
      </c>
      <c r="E18" s="502">
        <v>401</v>
      </c>
      <c r="F18" s="502">
        <v>1262</v>
      </c>
      <c r="G18" s="502">
        <v>414</v>
      </c>
      <c r="H18" s="502">
        <v>2699</v>
      </c>
      <c r="I18" s="502">
        <v>172</v>
      </c>
      <c r="J18" s="502">
        <v>132</v>
      </c>
      <c r="K18" s="505" t="s">
        <v>463</v>
      </c>
      <c r="L18" s="502">
        <v>736</v>
      </c>
      <c r="M18" s="502">
        <v>852</v>
      </c>
      <c r="N18" s="502">
        <v>533</v>
      </c>
      <c r="O18" s="503">
        <v>557</v>
      </c>
    </row>
    <row r="19" spans="1:15" ht="15" customHeight="1">
      <c r="A19" s="504" t="s">
        <v>464</v>
      </c>
      <c r="B19" s="502">
        <v>289</v>
      </c>
      <c r="C19" s="502">
        <v>600</v>
      </c>
      <c r="D19" s="502">
        <v>275</v>
      </c>
      <c r="E19" s="502">
        <v>3339</v>
      </c>
      <c r="F19" s="502">
        <v>968</v>
      </c>
      <c r="G19" s="502">
        <v>475</v>
      </c>
      <c r="H19" s="502">
        <v>3136</v>
      </c>
      <c r="I19" s="502">
        <v>497</v>
      </c>
      <c r="J19" s="502">
        <v>339</v>
      </c>
      <c r="K19" s="502">
        <v>1307</v>
      </c>
      <c r="L19" s="502">
        <v>1501</v>
      </c>
      <c r="M19" s="502">
        <v>829</v>
      </c>
      <c r="N19" s="502">
        <v>711</v>
      </c>
      <c r="O19" s="503">
        <v>581</v>
      </c>
    </row>
    <row r="20" spans="1:15" ht="15" customHeight="1">
      <c r="A20" s="504" t="s">
        <v>465</v>
      </c>
      <c r="B20" s="502">
        <v>265</v>
      </c>
      <c r="C20" s="502">
        <v>281</v>
      </c>
      <c r="D20" s="502">
        <v>276</v>
      </c>
      <c r="E20" s="502">
        <v>2649</v>
      </c>
      <c r="F20" s="502">
        <v>680</v>
      </c>
      <c r="G20" s="502">
        <v>304</v>
      </c>
      <c r="H20" s="502">
        <v>3571</v>
      </c>
      <c r="I20" s="502">
        <v>389</v>
      </c>
      <c r="J20" s="502">
        <v>269</v>
      </c>
      <c r="K20" s="502">
        <v>748</v>
      </c>
      <c r="L20" s="502">
        <v>1023</v>
      </c>
      <c r="M20" s="502">
        <v>467</v>
      </c>
      <c r="N20" s="502">
        <v>328</v>
      </c>
      <c r="O20" s="503">
        <v>493</v>
      </c>
    </row>
    <row r="21" spans="1:15" ht="15" customHeight="1">
      <c r="A21" s="504" t="s">
        <v>466</v>
      </c>
      <c r="B21" s="502">
        <v>253</v>
      </c>
      <c r="C21" s="502">
        <v>500</v>
      </c>
      <c r="D21" s="502">
        <v>268</v>
      </c>
      <c r="E21" s="502">
        <v>7630</v>
      </c>
      <c r="F21" s="502">
        <v>945</v>
      </c>
      <c r="G21" s="502">
        <v>395</v>
      </c>
      <c r="H21" s="502">
        <v>1454</v>
      </c>
      <c r="I21" s="502">
        <v>496</v>
      </c>
      <c r="J21" s="502">
        <v>467</v>
      </c>
      <c r="K21" s="502">
        <v>1521</v>
      </c>
      <c r="L21" s="502">
        <v>854</v>
      </c>
      <c r="M21" s="502">
        <v>677</v>
      </c>
      <c r="N21" s="502">
        <v>3383</v>
      </c>
      <c r="O21" s="503">
        <v>552</v>
      </c>
    </row>
    <row r="22" spans="1:15" ht="15" customHeight="1">
      <c r="A22" s="504" t="s">
        <v>467</v>
      </c>
      <c r="B22" s="502">
        <v>287</v>
      </c>
      <c r="C22" s="502">
        <v>445</v>
      </c>
      <c r="D22" s="502">
        <v>288</v>
      </c>
      <c r="E22" s="502">
        <v>4688</v>
      </c>
      <c r="F22" s="502">
        <v>1153</v>
      </c>
      <c r="G22" s="502">
        <v>464</v>
      </c>
      <c r="H22" s="502">
        <v>3277</v>
      </c>
      <c r="I22" s="502">
        <v>926</v>
      </c>
      <c r="J22" s="502">
        <v>411</v>
      </c>
      <c r="K22" s="502">
        <v>1835</v>
      </c>
      <c r="L22" s="502">
        <v>2488</v>
      </c>
      <c r="M22" s="502">
        <v>1012</v>
      </c>
      <c r="N22" s="502">
        <v>950</v>
      </c>
      <c r="O22" s="503">
        <v>674</v>
      </c>
    </row>
    <row r="23" spans="1:15" ht="15" customHeight="1">
      <c r="A23" s="504" t="s">
        <v>468</v>
      </c>
      <c r="B23" s="502">
        <v>293</v>
      </c>
      <c r="C23" s="502">
        <v>338</v>
      </c>
      <c r="D23" s="502">
        <v>250</v>
      </c>
      <c r="E23" s="502">
        <v>2406</v>
      </c>
      <c r="F23" s="502">
        <v>1622</v>
      </c>
      <c r="G23" s="502">
        <v>432</v>
      </c>
      <c r="H23" s="502">
        <v>3736</v>
      </c>
      <c r="I23" s="502">
        <v>369</v>
      </c>
      <c r="J23" s="502">
        <v>321</v>
      </c>
      <c r="K23" s="502">
        <v>1345</v>
      </c>
      <c r="L23" s="502">
        <v>1270</v>
      </c>
      <c r="M23" s="502">
        <v>576</v>
      </c>
      <c r="N23" s="502">
        <v>188</v>
      </c>
      <c r="O23" s="503">
        <v>621</v>
      </c>
    </row>
    <row r="24" spans="1:15" ht="15" customHeight="1">
      <c r="A24" s="504" t="s">
        <v>469</v>
      </c>
      <c r="B24" s="502">
        <v>268</v>
      </c>
      <c r="C24" s="502">
        <v>440</v>
      </c>
      <c r="D24" s="502">
        <v>349</v>
      </c>
      <c r="E24" s="502">
        <v>3785</v>
      </c>
      <c r="F24" s="502">
        <v>756</v>
      </c>
      <c r="G24" s="502">
        <v>690</v>
      </c>
      <c r="H24" s="502">
        <v>2075</v>
      </c>
      <c r="I24" s="502">
        <v>127</v>
      </c>
      <c r="J24" s="502">
        <v>659</v>
      </c>
      <c r="K24" s="502">
        <v>443</v>
      </c>
      <c r="L24" s="502">
        <v>624</v>
      </c>
      <c r="M24" s="502">
        <v>342</v>
      </c>
      <c r="N24" s="502">
        <v>929</v>
      </c>
      <c r="O24" s="503">
        <v>505</v>
      </c>
    </row>
    <row r="25" spans="1:15" ht="15" customHeight="1">
      <c r="A25" s="504" t="s">
        <v>470</v>
      </c>
      <c r="B25" s="502">
        <v>618</v>
      </c>
      <c r="C25" s="502">
        <v>318</v>
      </c>
      <c r="D25" s="502">
        <v>280</v>
      </c>
      <c r="E25" s="502">
        <v>3395</v>
      </c>
      <c r="F25" s="502">
        <v>1302</v>
      </c>
      <c r="G25" s="502">
        <v>608</v>
      </c>
      <c r="H25" s="502">
        <v>3879</v>
      </c>
      <c r="I25" s="502">
        <v>1053</v>
      </c>
      <c r="J25" s="502">
        <v>154</v>
      </c>
      <c r="K25" s="502">
        <v>1180</v>
      </c>
      <c r="L25" s="502">
        <v>1212</v>
      </c>
      <c r="M25" s="502">
        <v>764</v>
      </c>
      <c r="N25" s="502">
        <v>1114</v>
      </c>
      <c r="O25" s="503">
        <v>813</v>
      </c>
    </row>
    <row r="26" spans="1:15" ht="15" customHeight="1">
      <c r="A26" s="504" t="s">
        <v>471</v>
      </c>
      <c r="B26" s="502">
        <v>285</v>
      </c>
      <c r="C26" s="502">
        <v>327</v>
      </c>
      <c r="D26" s="502">
        <v>203</v>
      </c>
      <c r="E26" s="502">
        <v>4050</v>
      </c>
      <c r="F26" s="502">
        <v>586</v>
      </c>
      <c r="G26" s="502">
        <v>298</v>
      </c>
      <c r="H26" s="502">
        <v>3480</v>
      </c>
      <c r="I26" s="502">
        <v>300</v>
      </c>
      <c r="J26" s="502">
        <v>656</v>
      </c>
      <c r="K26" s="502">
        <v>1490</v>
      </c>
      <c r="L26" s="502">
        <v>2972</v>
      </c>
      <c r="M26" s="502">
        <v>447</v>
      </c>
      <c r="N26" s="502">
        <v>582</v>
      </c>
      <c r="O26" s="503">
        <v>523</v>
      </c>
    </row>
    <row r="27" spans="1:15" ht="15" customHeight="1">
      <c r="A27" s="504" t="s">
        <v>472</v>
      </c>
      <c r="B27" s="502">
        <v>287</v>
      </c>
      <c r="C27" s="502">
        <v>435</v>
      </c>
      <c r="D27" s="502">
        <v>266</v>
      </c>
      <c r="E27" s="502">
        <v>3584</v>
      </c>
      <c r="F27" s="502">
        <v>1097</v>
      </c>
      <c r="G27" s="502">
        <v>489</v>
      </c>
      <c r="H27" s="502">
        <v>1822</v>
      </c>
      <c r="I27" s="502">
        <v>421</v>
      </c>
      <c r="J27" s="502">
        <v>240</v>
      </c>
      <c r="K27" s="502">
        <v>1937</v>
      </c>
      <c r="L27" s="502">
        <v>1292</v>
      </c>
      <c r="M27" s="502">
        <v>960</v>
      </c>
      <c r="N27" s="502">
        <v>449</v>
      </c>
      <c r="O27" s="503">
        <v>596</v>
      </c>
    </row>
    <row r="28" spans="1:15" ht="15" customHeight="1">
      <c r="A28" s="504" t="s">
        <v>473</v>
      </c>
      <c r="B28" s="502">
        <v>233</v>
      </c>
      <c r="C28" s="502">
        <v>855</v>
      </c>
      <c r="D28" s="502">
        <v>276</v>
      </c>
      <c r="E28" s="502">
        <v>1280</v>
      </c>
      <c r="F28" s="502">
        <v>585</v>
      </c>
      <c r="G28" s="502">
        <v>632</v>
      </c>
      <c r="H28" s="502">
        <v>878</v>
      </c>
      <c r="I28" s="505" t="s">
        <v>463</v>
      </c>
      <c r="J28" s="502">
        <v>396</v>
      </c>
      <c r="K28" s="502">
        <v>881</v>
      </c>
      <c r="L28" s="502">
        <v>1298</v>
      </c>
      <c r="M28" s="505" t="s">
        <v>463</v>
      </c>
      <c r="N28" s="502">
        <v>55</v>
      </c>
      <c r="O28" s="503">
        <v>477</v>
      </c>
    </row>
    <row r="29" spans="1:15" ht="15" customHeight="1">
      <c r="A29" s="504" t="s">
        <v>474</v>
      </c>
      <c r="B29" s="502">
        <v>261</v>
      </c>
      <c r="C29" s="502">
        <v>261</v>
      </c>
      <c r="D29" s="502">
        <v>282</v>
      </c>
      <c r="E29" s="502">
        <v>3530</v>
      </c>
      <c r="F29" s="502">
        <v>910</v>
      </c>
      <c r="G29" s="502">
        <v>621</v>
      </c>
      <c r="H29" s="502">
        <v>1916</v>
      </c>
      <c r="I29" s="502">
        <v>993</v>
      </c>
      <c r="J29" s="502">
        <v>256</v>
      </c>
      <c r="K29" s="502">
        <v>1380</v>
      </c>
      <c r="L29" s="502">
        <v>536</v>
      </c>
      <c r="M29" s="502">
        <v>1007</v>
      </c>
      <c r="N29" s="502">
        <v>515</v>
      </c>
      <c r="O29" s="503">
        <v>478</v>
      </c>
    </row>
    <row r="30" spans="1:15" ht="15" customHeight="1">
      <c r="A30" s="504" t="s">
        <v>475</v>
      </c>
      <c r="B30" s="502">
        <v>278</v>
      </c>
      <c r="C30" s="502">
        <v>431</v>
      </c>
      <c r="D30" s="502">
        <v>259</v>
      </c>
      <c r="E30" s="502">
        <v>1944</v>
      </c>
      <c r="F30" s="502">
        <v>810</v>
      </c>
      <c r="G30" s="502">
        <v>523</v>
      </c>
      <c r="H30" s="502">
        <v>3887</v>
      </c>
      <c r="I30" s="502">
        <v>789</v>
      </c>
      <c r="J30" s="502">
        <v>493</v>
      </c>
      <c r="K30" s="502">
        <v>1379</v>
      </c>
      <c r="L30" s="502">
        <v>437</v>
      </c>
      <c r="M30" s="502">
        <v>634</v>
      </c>
      <c r="N30" s="502">
        <v>952</v>
      </c>
      <c r="O30" s="503">
        <v>482</v>
      </c>
    </row>
    <row r="31" spans="1:15" ht="15" customHeight="1">
      <c r="A31" s="504" t="s">
        <v>476</v>
      </c>
      <c r="B31" s="502">
        <v>317</v>
      </c>
      <c r="C31" s="502">
        <v>398</v>
      </c>
      <c r="D31" s="502">
        <v>290</v>
      </c>
      <c r="E31" s="502">
        <v>1222</v>
      </c>
      <c r="F31" s="502">
        <v>946</v>
      </c>
      <c r="G31" s="502">
        <v>441</v>
      </c>
      <c r="H31" s="502">
        <v>2991</v>
      </c>
      <c r="I31" s="502">
        <v>1037</v>
      </c>
      <c r="J31" s="502">
        <v>268</v>
      </c>
      <c r="K31" s="502">
        <v>2137</v>
      </c>
      <c r="L31" s="502">
        <v>1510</v>
      </c>
      <c r="M31" s="502">
        <v>665</v>
      </c>
      <c r="N31" s="502">
        <v>883</v>
      </c>
      <c r="O31" s="503">
        <v>546</v>
      </c>
    </row>
    <row r="32" spans="1:15" ht="15" customHeight="1">
      <c r="A32" s="504" t="s">
        <v>477</v>
      </c>
      <c r="B32" s="502">
        <v>227</v>
      </c>
      <c r="C32" s="502">
        <v>362</v>
      </c>
      <c r="D32" s="502">
        <v>244</v>
      </c>
      <c r="E32" s="502">
        <v>2321</v>
      </c>
      <c r="F32" s="502">
        <v>619</v>
      </c>
      <c r="G32" s="502">
        <v>406</v>
      </c>
      <c r="H32" s="502">
        <v>1709</v>
      </c>
      <c r="I32" s="502">
        <v>383</v>
      </c>
      <c r="J32" s="502">
        <v>348</v>
      </c>
      <c r="K32" s="502">
        <v>3052</v>
      </c>
      <c r="L32" s="502">
        <v>998</v>
      </c>
      <c r="M32" s="502">
        <v>621</v>
      </c>
      <c r="N32" s="502">
        <v>369</v>
      </c>
      <c r="O32" s="503">
        <v>409</v>
      </c>
    </row>
    <row r="33" spans="1:15" ht="15" customHeight="1">
      <c r="A33" s="504" t="s">
        <v>478</v>
      </c>
      <c r="B33" s="502">
        <v>249</v>
      </c>
      <c r="C33" s="502">
        <v>378</v>
      </c>
      <c r="D33" s="502">
        <v>318</v>
      </c>
      <c r="E33" s="502">
        <v>2270</v>
      </c>
      <c r="F33" s="502">
        <v>1187</v>
      </c>
      <c r="G33" s="502">
        <v>487</v>
      </c>
      <c r="H33" s="502">
        <v>2726</v>
      </c>
      <c r="I33" s="502">
        <v>499</v>
      </c>
      <c r="J33" s="502">
        <v>412</v>
      </c>
      <c r="K33" s="502">
        <v>968</v>
      </c>
      <c r="L33" s="502">
        <v>1031</v>
      </c>
      <c r="M33" s="502">
        <v>776</v>
      </c>
      <c r="N33" s="502">
        <v>546</v>
      </c>
      <c r="O33" s="503">
        <v>546</v>
      </c>
    </row>
    <row r="34" spans="1:15" ht="15" customHeight="1">
      <c r="A34" s="504" t="s">
        <v>479</v>
      </c>
      <c r="B34" s="502">
        <v>308</v>
      </c>
      <c r="C34" s="502">
        <v>165</v>
      </c>
      <c r="D34" s="502">
        <v>365</v>
      </c>
      <c r="E34" s="502">
        <v>4972</v>
      </c>
      <c r="F34" s="502">
        <v>1226</v>
      </c>
      <c r="G34" s="502">
        <v>671</v>
      </c>
      <c r="H34" s="502">
        <v>1652</v>
      </c>
      <c r="I34" s="502">
        <v>135</v>
      </c>
      <c r="J34" s="502">
        <v>523</v>
      </c>
      <c r="K34" s="502">
        <v>1196</v>
      </c>
      <c r="L34" s="502">
        <v>1852</v>
      </c>
      <c r="M34" s="502">
        <v>946</v>
      </c>
      <c r="N34" s="502">
        <v>880</v>
      </c>
      <c r="O34" s="503">
        <v>614</v>
      </c>
    </row>
    <row r="35" spans="1:15" ht="15" customHeight="1">
      <c r="A35" s="361"/>
      <c r="B35" s="359"/>
      <c r="C35" s="359"/>
      <c r="D35" s="359"/>
      <c r="E35" s="359"/>
      <c r="F35" s="359"/>
      <c r="G35" s="359"/>
      <c r="H35" s="359"/>
      <c r="I35" s="359"/>
      <c r="J35" s="359"/>
      <c r="K35" s="359"/>
      <c r="L35" s="359"/>
      <c r="M35" s="359"/>
      <c r="N35" s="359"/>
      <c r="O35" s="360"/>
    </row>
    <row r="36" spans="1:15" ht="15" customHeight="1">
      <c r="A36" s="506" t="s">
        <v>480</v>
      </c>
      <c r="B36" s="507">
        <v>302</v>
      </c>
      <c r="C36" s="507">
        <v>728</v>
      </c>
      <c r="D36" s="507">
        <v>297</v>
      </c>
      <c r="E36" s="507">
        <v>3365</v>
      </c>
      <c r="F36" s="507">
        <v>1142</v>
      </c>
      <c r="G36" s="507">
        <v>575</v>
      </c>
      <c r="H36" s="507">
        <v>2859</v>
      </c>
      <c r="I36" s="507">
        <v>547</v>
      </c>
      <c r="J36" s="507">
        <v>331</v>
      </c>
      <c r="K36" s="507">
        <v>1417</v>
      </c>
      <c r="L36" s="507">
        <v>1565</v>
      </c>
      <c r="M36" s="507">
        <v>969</v>
      </c>
      <c r="N36" s="507">
        <v>744</v>
      </c>
      <c r="O36" s="507">
        <v>670</v>
      </c>
    </row>
    <row r="37" spans="1:15" ht="15" customHeight="1">
      <c r="A37" s="827" t="s">
        <v>481</v>
      </c>
      <c r="B37" s="827"/>
      <c r="C37" s="827"/>
      <c r="D37" s="827"/>
      <c r="E37" s="827"/>
      <c r="F37" s="827"/>
      <c r="G37" s="827"/>
      <c r="H37" s="827"/>
      <c r="I37" s="827"/>
      <c r="J37" s="827"/>
      <c r="K37" s="827"/>
      <c r="L37" s="827"/>
      <c r="M37" s="827"/>
      <c r="N37" s="827"/>
      <c r="O37" s="827"/>
    </row>
    <row r="40" spans="1:15" ht="15" customHeight="1"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  <c r="M40" s="362"/>
      <c r="N40" s="362"/>
      <c r="O40" s="362"/>
    </row>
  </sheetData>
  <mergeCells count="2">
    <mergeCell ref="A1:O1"/>
    <mergeCell ref="A37:O37"/>
  </mergeCells>
  <hyperlinks>
    <hyperlink ref="B2" r:id="rId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>
    <tabColor theme="5" tint="0.39997558519241921"/>
  </sheetPr>
  <dimension ref="A2"/>
  <sheetViews>
    <sheetView zoomScale="85" zoomScaleNormal="85" workbookViewId="0">
      <selection activeCell="W32" sqref="W32"/>
    </sheetView>
  </sheetViews>
  <sheetFormatPr defaultColWidth="9.140625" defaultRowHeight="12.75"/>
  <cols>
    <col min="1" max="16384" width="9.140625" style="378"/>
  </cols>
  <sheetData>
    <row r="2" spans="1:1" ht="15">
      <c r="A2" s="499" t="s">
        <v>522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B89BCC-8A48-4F37-9079-7262C21339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ACB2E3-CDF0-4ED0-BEB9-5A15710DBC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7A5D60-A3DF-417A-ABA8-B7F5CA08C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</vt:lpstr>
      <vt:lpstr>Intro</vt:lpstr>
      <vt:lpstr>Regions</vt:lpstr>
      <vt:lpstr>EB2018</vt:lpstr>
      <vt:lpstr>COM_Balance</vt:lpstr>
      <vt:lpstr>COM_Commodities</vt:lpstr>
      <vt:lpstr>COM_Processes</vt:lpstr>
      <vt:lpstr>COM_FuelTechs</vt:lpstr>
      <vt:lpstr>COM_EmiCoeffs</vt:lpstr>
      <vt:lpstr>COM_CH</vt:lpstr>
      <vt:lpstr>COM_CW</vt:lpstr>
      <vt:lpstr>COM_COth</vt:lpstr>
      <vt:lpstr>COM_CC</vt:lpstr>
      <vt:lpstr>COM_DC</vt:lpstr>
      <vt:lpstr>COM_PV</vt:lpstr>
      <vt:lpstr>Commercial SEAI</vt:lpstr>
      <vt:lpstr>Public SEAI</vt:lpstr>
      <vt:lpstr>CSO data</vt:lpstr>
      <vt:lpstr>Public BOC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Ankita Singh Gaur</cp:lastModifiedBy>
  <cp:lastPrinted>2004-11-16T14:57:57Z</cp:lastPrinted>
  <dcterms:created xsi:type="dcterms:W3CDTF">2000-12-13T15:53:11Z</dcterms:created>
  <dcterms:modified xsi:type="dcterms:W3CDTF">2021-02-22T22:50:18Z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se_Yr_Bal">
    <vt:lpwstr>EuroStat.MDB</vt:lpwstr>
  </property>
  <property fmtid="{D5CDD505-2E9C-101B-9397-08002B2CF9AE}" pid="3" name="ImportCode:EuroStat.MDB">
    <vt:lpwstr>58178961698000</vt:lpwstr>
  </property>
  <property fmtid="{D5CDD505-2E9C-101B-9397-08002B2CF9AE}" pid="4" name="Project">
    <vt:lpwstr>NEEDS</vt:lpwstr>
  </property>
  <property fmtid="{D5CDD505-2E9C-101B-9397-08002B2CF9AE}" pid="5" name="TmplVersion">
    <vt:lpwstr>Vrsn000059</vt:lpwstr>
  </property>
  <property fmtid="{D5CDD505-2E9C-101B-9397-08002B2CF9AE}" pid="6" name="ContentTypeId">
    <vt:lpwstr>0x01010087B74FDAF7A4FB4D876E5EA45926113E</vt:lpwstr>
  </property>
  <property fmtid="{D5CDD505-2E9C-101B-9397-08002B2CF9AE}" pid="7" name="SaveCode">
    <vt:r8>291485011577606</vt:r8>
  </property>
</Properties>
</file>